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benjamin.jolley\Desktop\"/>
    </mc:Choice>
  </mc:AlternateContent>
  <bookViews>
    <workbookView xWindow="0" yWindow="0" windowWidth="11490" windowHeight="4755" firstSheet="1" activeTab="3"/>
  </bookViews>
  <sheets>
    <sheet name="Documentation" sheetId="5" r:id="rId1"/>
    <sheet name="Vitals and Labs" sheetId="1" r:id="rId2"/>
    <sheet name="Calculations" sheetId="3" r:id="rId3"/>
    <sheet name="Diagnoses" sheetId="10" r:id="rId4"/>
    <sheet name="Vaccines" sheetId="16" r:id="rId5"/>
    <sheet name="Framingham Men" sheetId="14" r:id="rId6"/>
    <sheet name="Framingham Women" sheetId="15" state="hidden" r:id="rId7"/>
    <sheet name="Drug List" sheetId="4" r:id="rId8"/>
    <sheet name="Adult Male Peak Flow" sheetId="17" state="hidden" r:id="rId9"/>
    <sheet name="Adult Female Peak Flow" sheetId="18" state="hidden" r:id="rId10"/>
    <sheet name="Adolescent Female Peak Flow" sheetId="19" state="hidden" r:id="rId11"/>
    <sheet name="Adolescent Male Peak Flow" sheetId="20" state="hidden" r:id="rId12"/>
    <sheet name="Key Terms" sheetId="7" state="hidden" r:id="rId13"/>
    <sheet name="Abbreviations" sheetId="8" state="hidden" r:id="rId14"/>
    <sheet name="Disease State Table" sheetId="6" state="hidden" r:id="rId15"/>
    <sheet name="10-Year ASCVD" sheetId="11" state="hidden" r:id="rId16"/>
    <sheet name="Lifetime Risk Data" sheetId="12" state="hidden" r:id="rId17"/>
    <sheet name="Omnibus" sheetId="13" state="hidden" r:id="rId18"/>
  </sheets>
  <definedNames>
    <definedName name="A1C">'Vitals and Labs'!$B$79</definedName>
    <definedName name="ABI">Calculations!$B$20</definedName>
    <definedName name="ACEI">'Drug List'!$A$3</definedName>
    <definedName name="Age">'Vitals and Labs'!$B$8</definedName>
    <definedName name="Antihypertensives">'Drug List'!$A$2:$A$79</definedName>
    <definedName name="Bicarb">'Vitals and Labs'!$B$28</definedName>
    <definedName name="BMI">Calculations!$B$4</definedName>
    <definedName name="BSA">Calculations!$B$40</definedName>
    <definedName name="BUN">'Vitals and Labs'!$B$29</definedName>
    <definedName name="CD4_count">'Vitals and Labs'!$B$125</definedName>
    <definedName name="Cl">'Vitals and Labs'!$B$27</definedName>
    <definedName name="Corrected_Sodium">Calculations!$B$32</definedName>
    <definedName name="CrCl">Calculations!$B$3</definedName>
    <definedName name="DBP">'Vitals and Labs'!$B$13</definedName>
    <definedName name="FeNa">Calculations!$B$31</definedName>
    <definedName name="FPG">'Vitals and Labs'!$B$80</definedName>
    <definedName name="Glucose">'Vitals and Labs'!$B$31</definedName>
    <definedName name="Hct">'Vitals and Labs'!$B$46</definedName>
    <definedName name="HDL">'Vitals and Labs'!$B$40</definedName>
    <definedName name="Hgb">'Vitals and Labs'!$B$45</definedName>
    <definedName name="HIV_RNA">'Vitals and Labs'!$B$124</definedName>
    <definedName name="HR">'Vitals and Labs'!$B$14</definedName>
    <definedName name="HTN_Therapy">'Disease State Table'!$H$2</definedName>
    <definedName name="HTN_treated?">'Vitals and Labs'!$B$132</definedName>
    <definedName name="IBW">Calculations!$B$2</definedName>
    <definedName name="K">'Vitals and Labs'!$B$26</definedName>
    <definedName name="LDL">Calculations!$B$13</definedName>
    <definedName name="MAP">Calculations!$B$10</definedName>
    <definedName name="MCV">'Vitals and Labs'!$B$65</definedName>
    <definedName name="Na">'Vitals and Labs'!$B$25</definedName>
    <definedName name="Peritoneal_PMNs">Calculations!$B$23</definedName>
    <definedName name="pH">'Vitals and Labs'!$B$18</definedName>
    <definedName name="Random_PG">'Vitals and Labs'!$B$81</definedName>
    <definedName name="RDW">'Vitals and Labs'!$B$66</definedName>
    <definedName name="Retic">'Vitals and Labs'!$B$67</definedName>
    <definedName name="RPI">Calculations!$B$17</definedName>
    <definedName name="RR">'Vitals and Labs'!$B$15</definedName>
    <definedName name="SAAG">Calculations!$B$22</definedName>
    <definedName name="SBP">'Vitals and Labs'!$B$12</definedName>
    <definedName name="SCr">'Vitals and Labs'!$B$30</definedName>
    <definedName name="Serum_ANC">Calculations!$B$14</definedName>
    <definedName name="Serum_Osmolality">Calculations!$B$5</definedName>
    <definedName name="Sex">'Vitals and Labs'!$B$2</definedName>
    <definedName name="Smoker?">'Vitals and Labs'!$B$131</definedName>
    <definedName name="TC">'Vitals and Labs'!$B$39</definedName>
    <definedName name="Temp">'Vitals and Labs'!$B$16</definedName>
    <definedName name="TIBC">'Vitals and Labs'!$B$72</definedName>
    <definedName name="TSAT">Calculations!$B$18</definedName>
    <definedName name="Weight">'Vitals and Labs'!$B$6</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2" i="1" l="1"/>
  <c r="B31" i="3"/>
  <c r="F93" i="1"/>
  <c r="C75" i="1"/>
  <c r="D17" i="3"/>
  <c r="C92" i="1"/>
  <c r="B17" i="3"/>
  <c r="F17" i="3"/>
  <c r="B18" i="3"/>
  <c r="F71" i="1"/>
  <c r="F69" i="1"/>
  <c r="F68" i="1"/>
  <c r="F66" i="1"/>
  <c r="F65" i="1"/>
  <c r="F137" i="1"/>
  <c r="F134" i="1"/>
  <c r="F140" i="1"/>
  <c r="F139" i="1"/>
  <c r="F142" i="1"/>
  <c r="F141" i="1"/>
  <c r="F138" i="1"/>
  <c r="C11" i="13"/>
  <c r="D15" i="3"/>
  <c r="B15" i="3"/>
  <c r="G137" i="1"/>
  <c r="F136" i="1"/>
  <c r="H90" i="1"/>
  <c r="H89" i="1"/>
  <c r="H88" i="1"/>
  <c r="H87" i="1"/>
  <c r="H86" i="1"/>
  <c r="F91" i="1"/>
  <c r="E136" i="1"/>
  <c r="F92" i="1"/>
  <c r="N13" i="18"/>
  <c r="M13" i="18"/>
  <c r="L13" i="18"/>
  <c r="K13" i="18"/>
  <c r="J13" i="18"/>
  <c r="I13" i="18"/>
  <c r="H13" i="18"/>
  <c r="G13" i="18"/>
  <c r="F13" i="18"/>
  <c r="E13" i="18"/>
  <c r="D13" i="18"/>
  <c r="C13" i="18"/>
  <c r="B13" i="18"/>
  <c r="A13" i="18"/>
  <c r="N11" i="18"/>
  <c r="M11" i="18"/>
  <c r="L11" i="18"/>
  <c r="K11" i="18"/>
  <c r="J11" i="18"/>
  <c r="I11" i="18"/>
  <c r="H11" i="18"/>
  <c r="G11" i="18"/>
  <c r="F11" i="18"/>
  <c r="E11" i="18"/>
  <c r="D11" i="18"/>
  <c r="C11" i="18"/>
  <c r="B11" i="18"/>
  <c r="A11" i="18"/>
  <c r="N9" i="18"/>
  <c r="M9" i="18"/>
  <c r="L9" i="18"/>
  <c r="K9" i="18"/>
  <c r="J9" i="18"/>
  <c r="I9" i="18"/>
  <c r="H9" i="18"/>
  <c r="G9" i="18"/>
  <c r="F9" i="18"/>
  <c r="E9" i="18"/>
  <c r="D9" i="18"/>
  <c r="C9" i="18"/>
  <c r="B9" i="18"/>
  <c r="A9" i="18"/>
  <c r="N7" i="18"/>
  <c r="M7" i="18"/>
  <c r="L7" i="18"/>
  <c r="K7" i="18"/>
  <c r="J7" i="18"/>
  <c r="I7" i="18"/>
  <c r="H7" i="18"/>
  <c r="G7" i="18"/>
  <c r="F7" i="18"/>
  <c r="E7" i="18"/>
  <c r="D7" i="18"/>
  <c r="C7" i="18"/>
  <c r="B7" i="18"/>
  <c r="A7" i="18"/>
  <c r="N5" i="18"/>
  <c r="M5" i="18"/>
  <c r="L5" i="18"/>
  <c r="K5" i="18"/>
  <c r="J5" i="18"/>
  <c r="I5" i="18"/>
  <c r="H5" i="18"/>
  <c r="G5" i="18"/>
  <c r="F5" i="18"/>
  <c r="E5" i="18"/>
  <c r="D5" i="18"/>
  <c r="C5" i="18"/>
  <c r="B5" i="18"/>
  <c r="A5" i="18"/>
  <c r="N3" i="18"/>
  <c r="M3" i="18"/>
  <c r="L3" i="18"/>
  <c r="K3" i="18"/>
  <c r="J3" i="18"/>
  <c r="I3" i="18"/>
  <c r="H3" i="18"/>
  <c r="G3" i="18"/>
  <c r="F3" i="18"/>
  <c r="E3" i="18"/>
  <c r="D3" i="18"/>
  <c r="C3" i="18"/>
  <c r="B3" i="18"/>
  <c r="A3" i="18"/>
  <c r="F87" i="1"/>
  <c r="F88" i="1"/>
  <c r="J19" i="20"/>
  <c r="I19" i="20"/>
  <c r="H19" i="20"/>
  <c r="G19" i="20"/>
  <c r="F19" i="20"/>
  <c r="E19" i="20"/>
  <c r="D19" i="20"/>
  <c r="C19" i="20"/>
  <c r="B19" i="20"/>
  <c r="A19" i="20"/>
  <c r="J17" i="20"/>
  <c r="I17" i="20"/>
  <c r="H17" i="20"/>
  <c r="G17" i="20"/>
  <c r="F17" i="20"/>
  <c r="E17" i="20"/>
  <c r="D17" i="20"/>
  <c r="C17" i="20"/>
  <c r="B17" i="20"/>
  <c r="A17" i="20"/>
  <c r="J15" i="20"/>
  <c r="I15" i="20"/>
  <c r="H15" i="20"/>
  <c r="G15" i="20"/>
  <c r="F15" i="20"/>
  <c r="E15" i="20"/>
  <c r="D15" i="20"/>
  <c r="C15" i="20"/>
  <c r="B15" i="20"/>
  <c r="A15" i="20"/>
  <c r="J13" i="20"/>
  <c r="I13" i="20"/>
  <c r="H13" i="20"/>
  <c r="G13" i="20"/>
  <c r="F13" i="20"/>
  <c r="E13" i="20"/>
  <c r="D13" i="20"/>
  <c r="C13" i="20"/>
  <c r="B13" i="20"/>
  <c r="A13" i="20"/>
  <c r="J11" i="20"/>
  <c r="I11" i="20"/>
  <c r="H11" i="20"/>
  <c r="G11" i="20"/>
  <c r="F11" i="20"/>
  <c r="E11" i="20"/>
  <c r="D11" i="20"/>
  <c r="C11" i="20"/>
  <c r="B11" i="20"/>
  <c r="A11" i="20"/>
  <c r="J9" i="20"/>
  <c r="I9" i="20"/>
  <c r="H9" i="20"/>
  <c r="G9" i="20"/>
  <c r="F9" i="20"/>
  <c r="E9" i="20"/>
  <c r="D9" i="20"/>
  <c r="C9" i="20"/>
  <c r="B9" i="20"/>
  <c r="A9" i="20"/>
  <c r="J7" i="20"/>
  <c r="I7" i="20"/>
  <c r="H7" i="20"/>
  <c r="G7" i="20"/>
  <c r="F7" i="20"/>
  <c r="E7" i="20"/>
  <c r="D7" i="20"/>
  <c r="C7" i="20"/>
  <c r="B7" i="20"/>
  <c r="A7" i="20"/>
  <c r="J5" i="20"/>
  <c r="I5" i="20"/>
  <c r="H5" i="20"/>
  <c r="G5" i="20"/>
  <c r="F5" i="20"/>
  <c r="E5" i="20"/>
  <c r="D5" i="20"/>
  <c r="C5" i="20"/>
  <c r="B5" i="20"/>
  <c r="A5" i="20"/>
  <c r="B3" i="20"/>
  <c r="C3" i="20"/>
  <c r="D3" i="20"/>
  <c r="E3" i="20"/>
  <c r="F3" i="20"/>
  <c r="G3" i="20"/>
  <c r="H3" i="20"/>
  <c r="I3" i="20"/>
  <c r="J3" i="20"/>
  <c r="A3" i="20"/>
  <c r="J15" i="19"/>
  <c r="I15" i="19"/>
  <c r="H15" i="19"/>
  <c r="G15" i="19"/>
  <c r="F15" i="19"/>
  <c r="E15" i="19"/>
  <c r="D15" i="19"/>
  <c r="C15" i="19"/>
  <c r="B15" i="19"/>
  <c r="A15" i="19"/>
  <c r="J13" i="19"/>
  <c r="I13" i="19"/>
  <c r="H13" i="19"/>
  <c r="G13" i="19"/>
  <c r="F13" i="19"/>
  <c r="E13" i="19"/>
  <c r="D13" i="19"/>
  <c r="C13" i="19"/>
  <c r="B13" i="19"/>
  <c r="A13" i="19"/>
  <c r="J11" i="19"/>
  <c r="I11" i="19"/>
  <c r="H11" i="19"/>
  <c r="G11" i="19"/>
  <c r="F11" i="19"/>
  <c r="E11" i="19"/>
  <c r="D11" i="19"/>
  <c r="C11" i="19"/>
  <c r="B11" i="19"/>
  <c r="A11" i="19"/>
  <c r="J9" i="19"/>
  <c r="I9" i="19"/>
  <c r="H9" i="19"/>
  <c r="G9" i="19"/>
  <c r="F9" i="19"/>
  <c r="E9" i="19"/>
  <c r="D9" i="19"/>
  <c r="C9" i="19"/>
  <c r="B9" i="19"/>
  <c r="A9" i="19"/>
  <c r="J7" i="19"/>
  <c r="I7" i="19"/>
  <c r="H7" i="19"/>
  <c r="G7" i="19"/>
  <c r="F7" i="19"/>
  <c r="E7" i="19"/>
  <c r="D7" i="19"/>
  <c r="C7" i="19"/>
  <c r="B7" i="19"/>
  <c r="A7" i="19"/>
  <c r="J5" i="19"/>
  <c r="I5" i="19"/>
  <c r="H5" i="19"/>
  <c r="G5" i="19"/>
  <c r="F5" i="19"/>
  <c r="E5" i="19"/>
  <c r="D5" i="19"/>
  <c r="C5" i="19"/>
  <c r="B5" i="19"/>
  <c r="A5" i="19"/>
  <c r="B3" i="19"/>
  <c r="C3" i="19"/>
  <c r="D3" i="19"/>
  <c r="E3" i="19"/>
  <c r="F3" i="19"/>
  <c r="G3" i="19"/>
  <c r="H3" i="19"/>
  <c r="I3" i="19"/>
  <c r="J3" i="19"/>
  <c r="A3" i="19"/>
  <c r="O4" i="17"/>
  <c r="O5" i="17"/>
  <c r="O6" i="17"/>
  <c r="O7" i="17"/>
  <c r="O8" i="17"/>
  <c r="O9" i="17"/>
  <c r="O10" i="17"/>
  <c r="O11" i="17"/>
  <c r="O12" i="17"/>
  <c r="O13" i="17"/>
  <c r="O14" i="17"/>
  <c r="M4" i="17"/>
  <c r="M5" i="17"/>
  <c r="M6" i="17"/>
  <c r="M7" i="17"/>
  <c r="M8" i="17"/>
  <c r="M9" i="17"/>
  <c r="M10" i="17"/>
  <c r="M11" i="17"/>
  <c r="M12" i="17"/>
  <c r="M13" i="17"/>
  <c r="M14" i="17"/>
  <c r="K4" i="17"/>
  <c r="K5" i="17"/>
  <c r="K6" i="17"/>
  <c r="K7" i="17"/>
  <c r="K8" i="17"/>
  <c r="K9" i="17"/>
  <c r="K10" i="17"/>
  <c r="K11" i="17"/>
  <c r="K12" i="17"/>
  <c r="K13" i="17"/>
  <c r="K14" i="17"/>
  <c r="I4" i="17"/>
  <c r="I5" i="17"/>
  <c r="I6" i="17"/>
  <c r="I7" i="17"/>
  <c r="I8" i="17"/>
  <c r="I9" i="17"/>
  <c r="I10" i="17"/>
  <c r="I11" i="17"/>
  <c r="I12" i="17"/>
  <c r="I13" i="17"/>
  <c r="I14" i="17"/>
  <c r="G4" i="17"/>
  <c r="G5" i="17"/>
  <c r="G6" i="17"/>
  <c r="G7" i="17"/>
  <c r="G8" i="17"/>
  <c r="G9" i="17"/>
  <c r="G10" i="17"/>
  <c r="G11" i="17"/>
  <c r="G12" i="17"/>
  <c r="G13" i="17"/>
  <c r="G14" i="17"/>
  <c r="E4" i="17"/>
  <c r="E5" i="17"/>
  <c r="E6" i="17"/>
  <c r="E7" i="17"/>
  <c r="E8" i="17"/>
  <c r="E9" i="17"/>
  <c r="E10" i="17"/>
  <c r="E11" i="17"/>
  <c r="E12" i="17"/>
  <c r="E13" i="17"/>
  <c r="E14" i="17"/>
  <c r="O3" i="17"/>
  <c r="M3" i="17"/>
  <c r="K3" i="17"/>
  <c r="I3" i="17"/>
  <c r="G3" i="17"/>
  <c r="E3" i="17"/>
  <c r="C4" i="17"/>
  <c r="C5" i="17"/>
  <c r="C6" i="17"/>
  <c r="C7" i="17"/>
  <c r="C8" i="17"/>
  <c r="C9" i="17"/>
  <c r="C10" i="17"/>
  <c r="C11" i="17"/>
  <c r="C12" i="17"/>
  <c r="C13" i="17"/>
  <c r="C14" i="17"/>
  <c r="C3" i="17"/>
  <c r="F14" i="1"/>
  <c r="F15" i="1"/>
  <c r="I8" i="1"/>
  <c r="D15" i="10"/>
  <c r="I12" i="15"/>
  <c r="I11" i="15"/>
  <c r="I10" i="15"/>
  <c r="I9" i="15"/>
  <c r="I8" i="15"/>
  <c r="I7" i="15"/>
  <c r="I6" i="15"/>
  <c r="I5" i="15"/>
  <c r="I4" i="15"/>
  <c r="I3" i="15"/>
  <c r="I12" i="14"/>
  <c r="I4" i="14"/>
  <c r="I5" i="14"/>
  <c r="I6" i="14"/>
  <c r="I7" i="14"/>
  <c r="I8" i="14"/>
  <c r="I9" i="14"/>
  <c r="I10" i="14"/>
  <c r="I11" i="14"/>
  <c r="I3" i="14"/>
  <c r="D16" i="15"/>
  <c r="E16" i="15"/>
  <c r="D15" i="14"/>
  <c r="E15" i="14"/>
  <c r="B48" i="3"/>
  <c r="B49" i="3"/>
  <c r="C9" i="13"/>
  <c r="C10" i="13"/>
  <c r="C8" i="13"/>
  <c r="C7" i="13"/>
  <c r="C6" i="13"/>
  <c r="C5" i="13"/>
  <c r="C4" i="13"/>
  <c r="C3" i="13"/>
  <c r="B17" i="13"/>
  <c r="D2" i="12"/>
  <c r="E2" i="12"/>
  <c r="F2" i="12"/>
  <c r="B31" i="12"/>
  <c r="B32" i="12"/>
  <c r="G20" i="11"/>
  <c r="G18" i="11"/>
  <c r="G17" i="11"/>
  <c r="D10" i="11"/>
  <c r="D8" i="11"/>
  <c r="D7" i="12"/>
  <c r="D6" i="12"/>
  <c r="D8" i="12"/>
  <c r="D5" i="11"/>
  <c r="D7" i="11"/>
  <c r="D12" i="11"/>
  <c r="D6" i="11"/>
  <c r="D9" i="12"/>
  <c r="D4" i="11"/>
  <c r="D11" i="11"/>
  <c r="D5" i="12"/>
  <c r="D3" i="11"/>
  <c r="D4" i="12"/>
  <c r="D3" i="12"/>
  <c r="D9" i="11"/>
  <c r="E12" i="11"/>
  <c r="E8" i="12"/>
  <c r="F8" i="12"/>
  <c r="E18" i="12"/>
  <c r="E17" i="12"/>
  <c r="E9" i="12"/>
  <c r="F9" i="12"/>
  <c r="E3" i="12"/>
  <c r="F3" i="12"/>
  <c r="E14" i="12"/>
  <c r="E7" i="12"/>
  <c r="F7" i="12"/>
  <c r="E6" i="12"/>
  <c r="F6" i="12"/>
  <c r="G6" i="12"/>
  <c r="B15" i="12"/>
  <c r="C15" i="12"/>
  <c r="E13" i="12"/>
  <c r="D15" i="12"/>
  <c r="C12" i="12"/>
  <c r="E4" i="12"/>
  <c r="F4" i="12"/>
  <c r="D12" i="12"/>
  <c r="E12" i="12"/>
  <c r="B12" i="12"/>
  <c r="F38" i="11"/>
  <c r="F35" i="11"/>
  <c r="F30" i="11"/>
  <c r="F37" i="11"/>
  <c r="F36" i="11"/>
  <c r="F32" i="11"/>
  <c r="F29" i="11"/>
  <c r="F3" i="11"/>
  <c r="G3" i="11"/>
  <c r="F31" i="11"/>
  <c r="F5" i="11"/>
  <c r="G5" i="11"/>
  <c r="F9" i="11"/>
  <c r="G9" i="11"/>
  <c r="E10" i="11"/>
  <c r="B20" i="11"/>
  <c r="E9" i="11"/>
  <c r="B19" i="11"/>
  <c r="F10" i="11"/>
  <c r="G10" i="11"/>
  <c r="E11" i="11"/>
  <c r="F11" i="11"/>
  <c r="G11" i="11"/>
  <c r="B16" i="11"/>
  <c r="G16" i="11"/>
  <c r="G27" i="11"/>
  <c r="F4" i="11"/>
  <c r="G4" i="11"/>
  <c r="F8" i="11"/>
  <c r="G8" i="11"/>
  <c r="B18" i="11"/>
  <c r="F7" i="11"/>
  <c r="G7" i="11"/>
  <c r="F6" i="11"/>
  <c r="G6" i="11"/>
  <c r="B17" i="11"/>
  <c r="F12" i="11"/>
  <c r="G12" i="11"/>
  <c r="D25" i="3"/>
  <c r="D24" i="3"/>
  <c r="B27" i="11"/>
  <c r="B16" i="12"/>
  <c r="E15" i="12"/>
  <c r="E19" i="12"/>
  <c r="C16" i="12"/>
  <c r="F10" i="12"/>
  <c r="F11" i="12"/>
  <c r="G13" i="11"/>
  <c r="G14" i="11"/>
  <c r="D16" i="12"/>
  <c r="G26" i="11"/>
  <c r="G24" i="11"/>
  <c r="G22" i="11"/>
  <c r="D37" i="11"/>
  <c r="E37" i="11"/>
  <c r="G25" i="11"/>
  <c r="G23" i="11"/>
  <c r="G21" i="11"/>
  <c r="I13" i="11"/>
  <c r="I14" i="11"/>
  <c r="D31" i="11"/>
  <c r="E31" i="11"/>
  <c r="B24" i="11"/>
  <c r="B25" i="11"/>
  <c r="B23" i="11"/>
  <c r="B21" i="11"/>
  <c r="B26" i="11"/>
  <c r="B22" i="11"/>
  <c r="C25" i="3"/>
  <c r="C24" i="3"/>
  <c r="B38" i="3"/>
  <c r="C33" i="3"/>
  <c r="C34" i="3"/>
  <c r="C36" i="3"/>
  <c r="C35" i="3"/>
  <c r="D38" i="3"/>
  <c r="C38" i="3"/>
  <c r="B26" i="12"/>
  <c r="F26" i="12"/>
  <c r="B22" i="12"/>
  <c r="B25" i="12"/>
  <c r="F22" i="12"/>
  <c r="D38" i="11"/>
  <c r="E38" i="11"/>
  <c r="F25" i="12"/>
  <c r="D29" i="11"/>
  <c r="E29" i="11"/>
  <c r="F23" i="12"/>
  <c r="B23" i="12"/>
  <c r="D30" i="11"/>
  <c r="E30" i="11"/>
  <c r="D36" i="11"/>
  <c r="E36" i="11"/>
  <c r="D35" i="11"/>
  <c r="E35" i="11"/>
  <c r="F24" i="12"/>
  <c r="B24" i="12"/>
  <c r="D32" i="11"/>
  <c r="E32" i="11"/>
  <c r="G38" i="3"/>
  <c r="I25" i="1"/>
  <c r="C27" i="12"/>
  <c r="G29" i="11"/>
  <c r="G30" i="11"/>
  <c r="H29" i="11"/>
  <c r="B13" i="13"/>
  <c r="G35" i="11"/>
  <c r="G36" i="11"/>
  <c r="H35" i="11"/>
  <c r="B14" i="13"/>
  <c r="B46" i="3"/>
  <c r="G27" i="12"/>
  <c r="F113" i="1"/>
  <c r="B45" i="3"/>
  <c r="D14" i="10"/>
  <c r="C31" i="12"/>
  <c r="D31" i="12"/>
  <c r="B16" i="13"/>
  <c r="B47" i="3"/>
  <c r="F38" i="3"/>
  <c r="F25" i="1"/>
  <c r="B5" i="3"/>
  <c r="B34" i="3"/>
  <c r="F34" i="3"/>
  <c r="D34" i="3"/>
  <c r="H2" i="6"/>
  <c r="G34" i="3"/>
  <c r="K42" i="3"/>
  <c r="F26" i="1"/>
  <c r="F34" i="1"/>
  <c r="B43" i="3"/>
  <c r="B29" i="3"/>
  <c r="W42" i="3"/>
  <c r="J42" i="3"/>
  <c r="I42" i="3"/>
  <c r="H42" i="3"/>
  <c r="G42" i="3"/>
  <c r="F103" i="1"/>
  <c r="D104" i="1"/>
  <c r="F104" i="1"/>
  <c r="C104" i="1"/>
  <c r="F40" i="1"/>
  <c r="F11" i="10"/>
  <c r="L11" i="10"/>
  <c r="J11" i="10"/>
  <c r="H11" i="10"/>
  <c r="L13" i="10"/>
  <c r="J13" i="10"/>
  <c r="H13" i="10"/>
  <c r="L2" i="10"/>
  <c r="J2" i="10"/>
  <c r="H2" i="10"/>
  <c r="L3" i="10"/>
  <c r="J3" i="10"/>
  <c r="L10" i="10"/>
  <c r="J10" i="10"/>
  <c r="F8" i="1"/>
  <c r="H25" i="1"/>
  <c r="H4" i="10"/>
  <c r="H5" i="10"/>
  <c r="H6" i="10"/>
  <c r="H7" i="10"/>
  <c r="H8" i="10"/>
  <c r="H10" i="10"/>
  <c r="H3" i="10"/>
  <c r="F10" i="10"/>
  <c r="F13" i="10"/>
  <c r="F4" i="10"/>
  <c r="F5" i="10"/>
  <c r="F6" i="10"/>
  <c r="F7" i="10"/>
  <c r="F8" i="10"/>
  <c r="F9" i="10"/>
  <c r="F15" i="10"/>
  <c r="F3" i="10"/>
  <c r="F2" i="10"/>
  <c r="F43" i="1"/>
  <c r="F39" i="1"/>
  <c r="G39" i="1"/>
  <c r="F41" i="1"/>
  <c r="F18" i="1"/>
  <c r="F16" i="1"/>
  <c r="F124" i="1"/>
  <c r="D10" i="10"/>
  <c r="F125" i="1"/>
  <c r="G18" i="1"/>
  <c r="G41" i="1"/>
  <c r="D83" i="1"/>
  <c r="C83" i="1"/>
  <c r="J26" i="3"/>
  <c r="C11" i="3"/>
  <c r="D12" i="3"/>
  <c r="D7" i="3"/>
  <c r="B2" i="3"/>
  <c r="B3" i="3"/>
  <c r="B44" i="3"/>
  <c r="F2" i="3"/>
  <c r="G26" i="1"/>
  <c r="D40" i="3"/>
  <c r="C40" i="3"/>
  <c r="B40" i="3"/>
  <c r="D39" i="3"/>
  <c r="C39" i="3"/>
  <c r="B39" i="3"/>
  <c r="D32" i="3"/>
  <c r="D31" i="3"/>
  <c r="D20" i="3"/>
  <c r="D23" i="3"/>
  <c r="D14" i="3"/>
  <c r="D22" i="3"/>
  <c r="D9" i="3"/>
  <c r="D18" i="3"/>
  <c r="D13" i="3"/>
  <c r="D11" i="3"/>
  <c r="D2" i="3"/>
  <c r="D5" i="3"/>
  <c r="D6" i="3"/>
  <c r="C3" i="3"/>
  <c r="C2" i="3"/>
  <c r="F47" i="1"/>
  <c r="D46" i="1"/>
  <c r="C46" i="1"/>
  <c r="C45" i="1"/>
  <c r="F45" i="1"/>
  <c r="D45" i="1"/>
  <c r="I26" i="3"/>
  <c r="K26" i="3"/>
  <c r="H26" i="3"/>
  <c r="G26" i="3"/>
  <c r="C26" i="3"/>
  <c r="B25" i="3"/>
  <c r="B24" i="3"/>
  <c r="C81" i="4"/>
  <c r="F39" i="3"/>
  <c r="G2" i="3"/>
  <c r="G24" i="3"/>
  <c r="G40" i="3"/>
  <c r="G39" i="3"/>
  <c r="B26" i="3"/>
  <c r="B27" i="3"/>
  <c r="C20" i="3"/>
  <c r="C23" i="3"/>
  <c r="C22" i="3"/>
  <c r="C14" i="3"/>
  <c r="C13" i="3"/>
  <c r="C32" i="3"/>
  <c r="B32" i="3"/>
  <c r="C31" i="3"/>
  <c r="C30" i="3"/>
  <c r="B23" i="3"/>
  <c r="F23" i="3"/>
  <c r="B22" i="3"/>
  <c r="F22" i="3"/>
  <c r="B20" i="3"/>
  <c r="C18" i="3"/>
  <c r="C17" i="3"/>
  <c r="C15" i="3"/>
  <c r="G15" i="3"/>
  <c r="B14" i="3"/>
  <c r="B13" i="3"/>
  <c r="D13" i="10"/>
  <c r="C12" i="3"/>
  <c r="B12" i="3"/>
  <c r="B11" i="3"/>
  <c r="G11" i="3"/>
  <c r="C10" i="3"/>
  <c r="C9" i="3"/>
  <c r="B9" i="3"/>
  <c r="C8" i="3"/>
  <c r="C7" i="3"/>
  <c r="B7" i="3"/>
  <c r="G113" i="1"/>
  <c r="C6" i="3"/>
  <c r="B6" i="3"/>
  <c r="F6" i="3"/>
  <c r="C5" i="3"/>
  <c r="C7" i="1"/>
  <c r="C6" i="1"/>
  <c r="D3" i="3"/>
  <c r="F94" i="1"/>
  <c r="F13" i="3"/>
  <c r="G9" i="3"/>
  <c r="G12" i="3"/>
  <c r="D35" i="3"/>
  <c r="D30" i="3"/>
  <c r="B33" i="3"/>
  <c r="D33" i="3"/>
  <c r="B35" i="3"/>
  <c r="D36" i="3"/>
  <c r="B30" i="3"/>
  <c r="G18" i="3"/>
  <c r="G32" i="3"/>
  <c r="F20" i="3"/>
  <c r="L42" i="3"/>
  <c r="B41" i="3"/>
  <c r="G14" i="3"/>
  <c r="G5" i="3"/>
  <c r="G17" i="3"/>
  <c r="G31" i="3"/>
  <c r="G22" i="3"/>
  <c r="G23" i="3"/>
  <c r="G13" i="3"/>
  <c r="G7" i="3"/>
  <c r="G20" i="3"/>
  <c r="G6" i="3"/>
  <c r="F5" i="3"/>
  <c r="D8" i="3"/>
  <c r="D4" i="3"/>
  <c r="B8" i="3"/>
  <c r="B4" i="3"/>
  <c r="B10" i="3"/>
  <c r="D10" i="3"/>
  <c r="H6" i="1"/>
  <c r="F6" i="1"/>
  <c r="F7" i="3"/>
  <c r="F79" i="1"/>
  <c r="D2" i="10"/>
  <c r="D4" i="10"/>
  <c r="G33" i="3"/>
  <c r="G30" i="3"/>
  <c r="G35" i="3"/>
  <c r="F3" i="3"/>
  <c r="D114" i="1"/>
  <c r="D35" i="1"/>
  <c r="C114" i="1"/>
  <c r="C35" i="1"/>
  <c r="B36" i="3"/>
  <c r="F36" i="3"/>
  <c r="F35" i="3"/>
  <c r="F41" i="3"/>
  <c r="B42" i="3"/>
  <c r="F12" i="1"/>
  <c r="F13" i="1"/>
  <c r="G3" i="3"/>
  <c r="T6" i="3"/>
  <c r="U5" i="3"/>
  <c r="F4" i="3"/>
  <c r="D11" i="10"/>
  <c r="F9" i="1"/>
  <c r="G8" i="3"/>
  <c r="G10" i="3"/>
  <c r="G4" i="3"/>
  <c r="F10" i="3"/>
  <c r="G36" i="3"/>
  <c r="F114" i="1"/>
  <c r="F35" i="1"/>
  <c r="G35" i="1"/>
  <c r="G114" i="1"/>
  <c r="D3" i="10"/>
  <c r="H12" i="1"/>
</calcChain>
</file>

<file path=xl/sharedStrings.xml><?xml version="1.0" encoding="utf-8"?>
<sst xmlns="http://schemas.openxmlformats.org/spreadsheetml/2006/main" count="3855" uniqueCount="2651">
  <si>
    <t>Systolic BP</t>
  </si>
  <si>
    <t>Diastolic BP</t>
  </si>
  <si>
    <t>Serum Albumin</t>
  </si>
  <si>
    <t>WBC count</t>
  </si>
  <si>
    <t>% Neuts</t>
  </si>
  <si>
    <t>Hematocrit</t>
  </si>
  <si>
    <t>Na</t>
  </si>
  <si>
    <t>K</t>
  </si>
  <si>
    <t>Cl</t>
  </si>
  <si>
    <t>CO2</t>
  </si>
  <si>
    <t>BUN</t>
  </si>
  <si>
    <t>SCr</t>
  </si>
  <si>
    <t>Glucose</t>
  </si>
  <si>
    <t>Ca</t>
  </si>
  <si>
    <t>Mg</t>
  </si>
  <si>
    <t>Ammonia</t>
  </si>
  <si>
    <t>Phosphate</t>
  </si>
  <si>
    <t>Liver Values</t>
  </si>
  <si>
    <t>Peritoneal Albumin</t>
  </si>
  <si>
    <t>Peritoneal WBC</t>
  </si>
  <si>
    <t>Peritoneal % neutrophils</t>
  </si>
  <si>
    <t>Heart Rate</t>
  </si>
  <si>
    <t>Respiratory Rate</t>
  </si>
  <si>
    <t>Temperature</t>
  </si>
  <si>
    <t>O2 Sat</t>
  </si>
  <si>
    <t>Hemoglobin</t>
  </si>
  <si>
    <t>Platelets</t>
  </si>
  <si>
    <t>Tbili</t>
  </si>
  <si>
    <t>AST</t>
  </si>
  <si>
    <t>ALT</t>
  </si>
  <si>
    <t>INR</t>
  </si>
  <si>
    <t>Anemia Values</t>
  </si>
  <si>
    <t>MCV</t>
  </si>
  <si>
    <t>RDW</t>
  </si>
  <si>
    <t>Reticulocyte count</t>
  </si>
  <si>
    <t>Folic Acid</t>
  </si>
  <si>
    <t>Vitamin B12</t>
  </si>
  <si>
    <t>Iron</t>
  </si>
  <si>
    <t>Ferritin</t>
  </si>
  <si>
    <t>TIBC</t>
  </si>
  <si>
    <t>MMA</t>
  </si>
  <si>
    <t>Homocysteine</t>
  </si>
  <si>
    <t>Diabetes</t>
  </si>
  <si>
    <t>A1C</t>
  </si>
  <si>
    <t>FPG</t>
  </si>
  <si>
    <t>Random PG</t>
  </si>
  <si>
    <t>2 hour post prandial glucose</t>
  </si>
  <si>
    <t>Asthma</t>
  </si>
  <si>
    <t>IgE</t>
  </si>
  <si>
    <t>FEV1</t>
  </si>
  <si>
    <t>FEV1/FVC</t>
  </si>
  <si>
    <t>FVC</t>
  </si>
  <si>
    <t>DLCO</t>
  </si>
  <si>
    <t>Asthma Control Test</t>
  </si>
  <si>
    <t>IBW</t>
  </si>
  <si>
    <t>CrCl</t>
  </si>
  <si>
    <t>BMI</t>
  </si>
  <si>
    <t>Serum Osmolality</t>
  </si>
  <si>
    <t>Anion Gap</t>
  </si>
  <si>
    <t>Corrected Calcium</t>
  </si>
  <si>
    <t>RPI</t>
  </si>
  <si>
    <t>Maturation Factor</t>
  </si>
  <si>
    <t>TSAT</t>
  </si>
  <si>
    <t>Calcium-Phosphate Product</t>
  </si>
  <si>
    <t>Pulse Pressure</t>
  </si>
  <si>
    <t>Double Product</t>
  </si>
  <si>
    <t>BUN:SCr Ratio</t>
  </si>
  <si>
    <t>Anemia</t>
  </si>
  <si>
    <t>Sex</t>
  </si>
  <si>
    <t>Male</t>
  </si>
  <si>
    <t>Lower limit of normal</t>
  </si>
  <si>
    <t>Upper limit of normal</t>
  </si>
  <si>
    <t>Female</t>
  </si>
  <si>
    <t>Arterial pH</t>
  </si>
  <si>
    <t>Vital Signs</t>
  </si>
  <si>
    <t>pCO2</t>
  </si>
  <si>
    <t>pO2</t>
  </si>
  <si>
    <t>HCO3</t>
  </si>
  <si>
    <t>Height, weight, age</t>
  </si>
  <si>
    <t>Units</t>
  </si>
  <si>
    <t>mmHg</t>
  </si>
  <si>
    <t>bpm</t>
  </si>
  <si>
    <t>°C</t>
  </si>
  <si>
    <t>%</t>
  </si>
  <si>
    <t>ng/mL</t>
  </si>
  <si>
    <t>mEq/L</t>
  </si>
  <si>
    <t>mg/dL</t>
  </si>
  <si>
    <t>g/dL</t>
  </si>
  <si>
    <t>/mm^3</t>
  </si>
  <si>
    <t>fL</t>
  </si>
  <si>
    <t>PT</t>
  </si>
  <si>
    <t>Alkaline Phosphatase</t>
  </si>
  <si>
    <t>units/L</t>
  </si>
  <si>
    <t>Indirect Bili (unconjugated)</t>
  </si>
  <si>
    <t>Direct Bili (conjugated)</t>
  </si>
  <si>
    <t>seconds</t>
  </si>
  <si>
    <t>N/A</t>
  </si>
  <si>
    <t>Ankle systolic pressure</t>
  </si>
  <si>
    <t>Thyroid</t>
  </si>
  <si>
    <t>TSH</t>
  </si>
  <si>
    <t>PTH</t>
  </si>
  <si>
    <t>GGT</t>
  </si>
  <si>
    <t>Rheumatoid Factor</t>
  </si>
  <si>
    <t>IU/L</t>
  </si>
  <si>
    <t>BNP</t>
  </si>
  <si>
    <t>pg/mL</t>
  </si>
  <si>
    <t>Troponin</t>
  </si>
  <si>
    <t>Renal</t>
  </si>
  <si>
    <t>Urine Albumin</t>
  </si>
  <si>
    <t>Urine creatinine</t>
  </si>
  <si>
    <t>Urine Sodium</t>
  </si>
  <si>
    <t>Urine Osmolality</t>
  </si>
  <si>
    <t>Urine Chloride</t>
  </si>
  <si>
    <t>mOsm/kg</t>
  </si>
  <si>
    <t>Vitamin D</t>
  </si>
  <si>
    <t>mcg/dL</t>
  </si>
  <si>
    <t>Cholesterol</t>
  </si>
  <si>
    <t>HDL</t>
  </si>
  <si>
    <t>Triglycerides</t>
  </si>
  <si>
    <t>CK-MB</t>
  </si>
  <si>
    <t>Myoglobin</t>
  </si>
  <si>
    <t>μmoles/L</t>
  </si>
  <si>
    <t>mmol/L</t>
  </si>
  <si>
    <t>ABI</t>
  </si>
  <si>
    <t>Hypertension</t>
  </si>
  <si>
    <t>Formula</t>
  </si>
  <si>
    <t>Work</t>
  </si>
  <si>
    <t>Value</t>
  </si>
  <si>
    <t>Mean Arterial Pressure</t>
  </si>
  <si>
    <t>in metric</t>
  </si>
  <si>
    <t>lbs</t>
  </si>
  <si>
    <t>inches</t>
  </si>
  <si>
    <t>kg</t>
  </si>
  <si>
    <t>m</t>
  </si>
  <si>
    <t>mL/min</t>
  </si>
  <si>
    <t>mg^2/dL^2</t>
  </si>
  <si>
    <t>mmHg*beats/min</t>
  </si>
  <si>
    <t>LDL Cholesterol</t>
  </si>
  <si>
    <t>Liver</t>
  </si>
  <si>
    <t>SAAG</t>
  </si>
  <si>
    <t>Peritoneal PMNs</t>
  </si>
  <si>
    <t>Serum Absolute Neutrophil Count</t>
  </si>
  <si>
    <t>Tobacco Pack Years</t>
  </si>
  <si>
    <t>Volume</t>
  </si>
  <si>
    <t>Free H20 deficit</t>
  </si>
  <si>
    <t>FeNa</t>
  </si>
  <si>
    <t>Corrected Sodium</t>
  </si>
  <si>
    <t>AST/ULN</t>
  </si>
  <si>
    <t>ALT/ULN</t>
  </si>
  <si>
    <t>Child-Pugh Score</t>
  </si>
  <si>
    <t>Hepatic Encephalopathy Grade</t>
  </si>
  <si>
    <t>Drug Name</t>
  </si>
  <si>
    <t>Brand Name</t>
  </si>
  <si>
    <t>Monograph link</t>
  </si>
  <si>
    <t>Renally dosed?</t>
  </si>
  <si>
    <t>link</t>
  </si>
  <si>
    <t>yes?</t>
  </si>
  <si>
    <t>Action</t>
  </si>
  <si>
    <t>Class</t>
  </si>
  <si>
    <t>albumin</t>
  </si>
  <si>
    <t>Ascites</t>
  </si>
  <si>
    <t>Encephalopathy</t>
  </si>
  <si>
    <t>Ascites: None, Mild, Severe</t>
  </si>
  <si>
    <t>Child-Pugh Grade</t>
  </si>
  <si>
    <t>Tachypnea</t>
  </si>
  <si>
    <t>Low</t>
  </si>
  <si>
    <t>High</t>
  </si>
  <si>
    <t>hypocarbia</t>
  </si>
  <si>
    <t>Hypercarbia</t>
  </si>
  <si>
    <t>hypoxia</t>
  </si>
  <si>
    <t>hypochloremia</t>
  </si>
  <si>
    <t>hyperchloremia</t>
  </si>
  <si>
    <t>Possible AKI or CKD</t>
  </si>
  <si>
    <t>hyperglycemia</t>
  </si>
  <si>
    <t>hypoglycemia</t>
  </si>
  <si>
    <t>hypocalcemia</t>
  </si>
  <si>
    <t>hypercalcemia</t>
  </si>
  <si>
    <t>hypermagnesemia</t>
  </si>
  <si>
    <t>Possible Hepatic Encephalopathy</t>
  </si>
  <si>
    <t>Check Liver function</t>
  </si>
  <si>
    <t>Polycythemia</t>
  </si>
  <si>
    <t>anemia</t>
  </si>
  <si>
    <t>high</t>
  </si>
  <si>
    <t>Interpretation</t>
  </si>
  <si>
    <t>At Risk for precipitation</t>
  </si>
  <si>
    <t>Cells/mm^3</t>
  </si>
  <si>
    <t>Pack-Years</t>
  </si>
  <si>
    <t>points</t>
  </si>
  <si>
    <t>Rheumatoid Factor Positive</t>
  </si>
  <si>
    <t>low</t>
  </si>
  <si>
    <t>normal</t>
  </si>
  <si>
    <t>check liver function and ammonia</t>
  </si>
  <si>
    <t>macrocytic</t>
  </si>
  <si>
    <t>hypoproliferative</t>
  </si>
  <si>
    <t>hyperproliferative</t>
  </si>
  <si>
    <t>Normal Iron</t>
  </si>
  <si>
    <t>rule out IDA</t>
  </si>
  <si>
    <t>possible IDA, check Iron</t>
  </si>
  <si>
    <t>Possible IDA, check TIBC</t>
  </si>
  <si>
    <t>possible Folate deficiency, check Homocysteine</t>
  </si>
  <si>
    <t>possible B12 deficiency, check Homocysteine</t>
  </si>
  <si>
    <t>normal b12 and Folate</t>
  </si>
  <si>
    <t>possible b12 or folate deficiency, check MMA</t>
  </si>
  <si>
    <t>controlled DM</t>
  </si>
  <si>
    <t>uncontrolled DM</t>
  </si>
  <si>
    <t>Probable DM, check other glucose levels and A1C</t>
  </si>
  <si>
    <t>Please input value to calculate ABI</t>
  </si>
  <si>
    <t>Please check value</t>
  </si>
  <si>
    <t>possible heart attack, check history</t>
  </si>
  <si>
    <t>Decompensated Heart Failure, possible exacerbation</t>
  </si>
  <si>
    <t>probable heart attack, check history</t>
  </si>
  <si>
    <t>Urine Albumin:Creatinine Ratio</t>
  </si>
  <si>
    <t>mcg/mg</t>
  </si>
  <si>
    <t>dilute urine, evaluate volume status and serum sodium</t>
  </si>
  <si>
    <t>concentrated urine, evaluate volume status and serum sodium</t>
  </si>
  <si>
    <t>with metabolic alkalosis, "Chloride-resistant"</t>
  </si>
  <si>
    <t>With metabolic alkalosis, "Chloride-sensitive"</t>
  </si>
  <si>
    <t>Body Surface Area</t>
  </si>
  <si>
    <t>m^2</t>
  </si>
  <si>
    <t>Leukocytosis, Possible Infection, check for SIRS, Sepsis, etc.</t>
  </si>
  <si>
    <t>Common Side Effects</t>
  </si>
  <si>
    <t>Indication</t>
  </si>
  <si>
    <t>Drug-Drug Interaction</t>
  </si>
  <si>
    <t>Cytochrome P450…</t>
  </si>
  <si>
    <t>Links to treatment algorithm</t>
  </si>
  <si>
    <t>Patient profile links to drug</t>
  </si>
  <si>
    <t>Disease State table</t>
  </si>
  <si>
    <t>HTN</t>
  </si>
  <si>
    <t>HLD</t>
  </si>
  <si>
    <t>HIV</t>
  </si>
  <si>
    <t>Pertinent Lab values</t>
  </si>
  <si>
    <t>Key terms in patient case</t>
  </si>
  <si>
    <t>Risk Factors</t>
  </si>
  <si>
    <t>Severity staging</t>
  </si>
  <si>
    <t>Etiologies</t>
  </si>
  <si>
    <t>Complications</t>
  </si>
  <si>
    <t>First Line therapy</t>
  </si>
  <si>
    <t>Treatment Algorithm</t>
  </si>
  <si>
    <t>Key terms Table</t>
  </si>
  <si>
    <t>Focal Neurological Deficit</t>
  </si>
  <si>
    <t>Common interpretation</t>
  </si>
  <si>
    <t>Disease States associated</t>
  </si>
  <si>
    <t>Complications associated</t>
  </si>
  <si>
    <t>Abbreviations Table</t>
  </si>
  <si>
    <t>Associated Disease State?</t>
  </si>
  <si>
    <t>Associated Complications</t>
  </si>
  <si>
    <t>DiPiro Chapter?</t>
  </si>
  <si>
    <t>Link to DiPiro or other textbook</t>
  </si>
  <si>
    <t>Notes</t>
  </si>
  <si>
    <t>Route</t>
  </si>
  <si>
    <t>Nucleoside analogs (Guanine Analogs)</t>
  </si>
  <si>
    <t>Acyclovir</t>
  </si>
  <si>
    <t>Oral</t>
  </si>
  <si>
    <t>preferred substrate for viral thymidine kinase</t>
  </si>
  <si>
    <t>Occasionally Nausea, diarrhea, headache; IV can produce neurologic (tremors; seizures, delirium) and Renal (crystal formation)</t>
  </si>
  <si>
    <t>Valacyclovir</t>
  </si>
  <si>
    <t>Prodrug of Acyclovir; l-valyl ester of acyclovir; liver and intestines convert it to acyclovir</t>
  </si>
  <si>
    <t>Penciclovir</t>
  </si>
  <si>
    <t>topical</t>
  </si>
  <si>
    <t>Doesn't cause termination b/c it has a 3' OH group, competes with dGTP for binding</t>
  </si>
  <si>
    <t>Famciclovir</t>
  </si>
  <si>
    <t>Penciclovir prodrug; doesn't cause termination b/c it has a 3' OH group.</t>
  </si>
  <si>
    <t>Ganciclovir</t>
  </si>
  <si>
    <t>HSV entry inhibitor</t>
  </si>
  <si>
    <t>Docosanol (Abreva)</t>
  </si>
  <si>
    <t>Topical</t>
  </si>
  <si>
    <t>Fusion inhibitor; aliphatic alcohol; topical cream</t>
  </si>
  <si>
    <t>Nucleoside analog (Thymidine analog)</t>
  </si>
  <si>
    <t>Trifluridine (Trifluorothymidine)</t>
  </si>
  <si>
    <t>Only topical use; incorporates in host DNA as well.</t>
  </si>
  <si>
    <t>VZV, HHV/HSV</t>
  </si>
  <si>
    <t>NRTI</t>
  </si>
  <si>
    <t>Analog of?</t>
  </si>
  <si>
    <t>Zidovudine (AZT)</t>
  </si>
  <si>
    <t xml:space="preserve">myelosuppression resulting in anemia, neutropenia, thrombocytopenia, Extreme loss of fat, hyperpigmentation of nails, GI problems, headache.  </t>
  </si>
  <si>
    <t>Didanosine (Videx)</t>
  </si>
  <si>
    <t>diarrhea, hypertriglyceridemia, pancreatitis, sensory neuropathy,  cardiomyophathy</t>
  </si>
  <si>
    <t>Emtricitabine (Coviracil)</t>
  </si>
  <si>
    <t>peripheral sensory neuropathy</t>
  </si>
  <si>
    <t>Zalcitabine (HIVid)</t>
  </si>
  <si>
    <t>Lamivudine (Epivir)</t>
  </si>
  <si>
    <t xml:space="preserve">headache, dizziness insomnia, fatigue, GI problems </t>
  </si>
  <si>
    <t>Abacavir (Ziagen)</t>
  </si>
  <si>
    <t>skin rash (50% of pts), fever, pharyngitis, cough, vomiting, diarrhea</t>
  </si>
  <si>
    <t>Stavudine (Zerit)</t>
  </si>
  <si>
    <t>NtRTI</t>
  </si>
  <si>
    <t>Tenofovir (Viread)</t>
  </si>
  <si>
    <t>Gastrointestinal complains: diarrhea, vomiting, flatulence; caution in renal impairment</t>
  </si>
  <si>
    <t>NNRTI</t>
  </si>
  <si>
    <t>Efavirenz (Sustiva)</t>
  </si>
  <si>
    <t>Generally well tolerated; CNS effects, skin rash</t>
  </si>
  <si>
    <t>Delavirdine (Rescriptor)</t>
  </si>
  <si>
    <t>Skin rash, can be teratogenic</t>
  </si>
  <si>
    <t>Nevirapine (Viramune)</t>
  </si>
  <si>
    <t>Severe rash, hepatic damage, fever, nausea</t>
  </si>
  <si>
    <t>PI (Protease Inhibitors)</t>
  </si>
  <si>
    <t>Atazanavir (Reyataz)</t>
  </si>
  <si>
    <t>ALL Pis have these side effects: Redistribution of fat  accumulation in the body: central obesity, facial wasting, breast enlargement, Increased TGs and LDL levels, Hyperglycemia and insulin resistance</t>
  </si>
  <si>
    <t>Darunavir (Prezista)</t>
  </si>
  <si>
    <t>Fosamprenavir (Lexiva)</t>
  </si>
  <si>
    <t>Lopinavir (Kaletra)</t>
  </si>
  <si>
    <t>Nelfinavir (Viracept)</t>
  </si>
  <si>
    <t>Tipranavir (Aptivus)</t>
  </si>
  <si>
    <t>Saquinavir (Invirase)</t>
  </si>
  <si>
    <t>Well tolerated  mild GI discomfort</t>
  </si>
  <si>
    <t>Ritonavir (Norvir)</t>
  </si>
  <si>
    <t>GI disturbances, elevated serum triglycerides and aminotransferase levels</t>
  </si>
  <si>
    <t>Indinavir (Crixivan)</t>
  </si>
  <si>
    <t>Hyperbilirubinemia and nephrolithiasis (crystals forming in the kidneys; importance of water consumption)</t>
  </si>
  <si>
    <t>CCR5 inhibitor</t>
  </si>
  <si>
    <t>Maraviroc (Selzentry)</t>
  </si>
  <si>
    <t>Liver dysfunction due to its use demands caution, Well tolerated, Cough, uRTI, muscle and joint pain, diarrhea</t>
  </si>
  <si>
    <t>Fusion Inhibitor</t>
  </si>
  <si>
    <t>Enfuvirtide (Fuzeon)</t>
  </si>
  <si>
    <t>side effects related to injection site are not uncommon</t>
  </si>
  <si>
    <t>Integrase inhibitor</t>
  </si>
  <si>
    <t>Raltegravir (Isentress)</t>
  </si>
  <si>
    <t>mild: diarrhea, nausea, dizziness, headache</t>
  </si>
  <si>
    <t>Abreva</t>
  </si>
  <si>
    <t>Trifluorothymidine</t>
  </si>
  <si>
    <t>AZT</t>
  </si>
  <si>
    <t>Videx</t>
  </si>
  <si>
    <t>Coviracil</t>
  </si>
  <si>
    <t>HIVid</t>
  </si>
  <si>
    <t>Epivir</t>
  </si>
  <si>
    <t>Ziagen</t>
  </si>
  <si>
    <t>Zerit</t>
  </si>
  <si>
    <t>Viread</t>
  </si>
  <si>
    <t>Sustiva</t>
  </si>
  <si>
    <t>Rescriptor</t>
  </si>
  <si>
    <t>Viramune</t>
  </si>
  <si>
    <t>Reyataz</t>
  </si>
  <si>
    <t>Prezista</t>
  </si>
  <si>
    <t>Lexiva</t>
  </si>
  <si>
    <t>Kaletra</t>
  </si>
  <si>
    <t>Viracept</t>
  </si>
  <si>
    <t>Aptivus</t>
  </si>
  <si>
    <t>Invirase</t>
  </si>
  <si>
    <t>Norvir</t>
  </si>
  <si>
    <t>Crixivan</t>
  </si>
  <si>
    <t>Selzentry</t>
  </si>
  <si>
    <t>Fuzeon</t>
  </si>
  <si>
    <t>Isentress</t>
  </si>
  <si>
    <t>Valtrex</t>
  </si>
  <si>
    <t>deoxythymidine analog</t>
  </si>
  <si>
    <t>deoxyadenosine analog</t>
  </si>
  <si>
    <t>Cytidine analog</t>
  </si>
  <si>
    <t>Guanosine analog</t>
  </si>
  <si>
    <t>Adenosine Phosphate analog</t>
  </si>
  <si>
    <t>Therapeutics Course?</t>
  </si>
  <si>
    <t>Arrhythmia</t>
  </si>
  <si>
    <t>T2</t>
  </si>
  <si>
    <t>T1</t>
  </si>
  <si>
    <t>Depression</t>
  </si>
  <si>
    <t>Outpatient chronic diseases</t>
  </si>
  <si>
    <t>Seizures</t>
  </si>
  <si>
    <t>ID</t>
  </si>
  <si>
    <t>Critical Care</t>
  </si>
  <si>
    <t>Oncology</t>
  </si>
  <si>
    <t>T3</t>
  </si>
  <si>
    <t>T4</t>
  </si>
  <si>
    <t>No</t>
  </si>
  <si>
    <t>Severe =2</t>
  </si>
  <si>
    <t>Benazepril</t>
  </si>
  <si>
    <t>Lotensin</t>
  </si>
  <si>
    <t>Usual Highest dose</t>
  </si>
  <si>
    <t>1 or 2</t>
  </si>
  <si>
    <t>Daily Frequency</t>
  </si>
  <si>
    <t>May cause hyperkalemia in patients with chronic kidney disease or in those receiving a potassium sparing diuretic, aldosterone antagonist, ARB, or direct renin inhibitor; can cause acute kidney failure in patients with severe bilateral renal artery stenosis or severe stenosis in artery to solitary kidney; do not use in pregnancy or in patients with a history of angioedema; starting dose should be reduced 50% in patients who are on a diuretic, are volume depleted, or are very elderly due to risks of hypotension</t>
  </si>
  <si>
    <t>ACE Inhibitor</t>
  </si>
  <si>
    <t>Captopril</t>
  </si>
  <si>
    <t>Capoten</t>
  </si>
  <si>
    <t>2 or 3</t>
  </si>
  <si>
    <t>Vasotec</t>
  </si>
  <si>
    <t>Monopril</t>
  </si>
  <si>
    <t>Prinivil, Zestril</t>
  </si>
  <si>
    <t>Univasc</t>
  </si>
  <si>
    <t>Aceon</t>
  </si>
  <si>
    <t>Accupril</t>
  </si>
  <si>
    <t>Altace</t>
  </si>
  <si>
    <t>Mavik</t>
  </si>
  <si>
    <t>Enalapril</t>
  </si>
  <si>
    <t xml:space="preserve">Fosinopril </t>
  </si>
  <si>
    <t xml:space="preserve">Lisinopril </t>
  </si>
  <si>
    <t>Moexipril</t>
  </si>
  <si>
    <t>Perindopril</t>
  </si>
  <si>
    <t>Quinapril</t>
  </si>
  <si>
    <t xml:space="preserve">Ramipril </t>
  </si>
  <si>
    <t xml:space="preserve">Trandolapril </t>
  </si>
  <si>
    <t>Edarbi</t>
  </si>
  <si>
    <t>Atacand</t>
  </si>
  <si>
    <t>Teveten</t>
  </si>
  <si>
    <t>Avapro</t>
  </si>
  <si>
    <t>Cozaar</t>
  </si>
  <si>
    <t>Benicar</t>
  </si>
  <si>
    <t>Micardis</t>
  </si>
  <si>
    <t>Diovan</t>
  </si>
  <si>
    <t>Azilsartan</t>
  </si>
  <si>
    <t>ARB</t>
  </si>
  <si>
    <t xml:space="preserve">Candesartan </t>
  </si>
  <si>
    <t xml:space="preserve">Eprosartan </t>
  </si>
  <si>
    <t>Irbesartan</t>
  </si>
  <si>
    <t xml:space="preserve">Losartan </t>
  </si>
  <si>
    <t xml:space="preserve">Olmesartan </t>
  </si>
  <si>
    <t xml:space="preserve">Telmisartan </t>
  </si>
  <si>
    <t xml:space="preserve">Valsartan </t>
  </si>
  <si>
    <t>Usual Starting Dose (mg/day)</t>
  </si>
  <si>
    <t>May cause hyperkalemia in patients with chronic kidney disease or in those receiving a potassium sparing diuretic, aldosterone antagonist, ACE inhibitor, or direct renin inhibitor; can cause acute kidney failure in patients with severe bilateral renal artery stenosis or severe stenosis in artery to solitary kidney; do not cause a dry cough like ACE inhibitors may; do not use in pregnancy; starting dose should be reduced 50% in patients who are on
a diuretic, are volume depleted, or are very elderly due to risks of hypotension</t>
  </si>
  <si>
    <t>Short acting dihydropyridines should be avoided, especially immediate release nifedipine and nicardipine; dihydropyridines are more potent peripheral vasodilators than nondihydropyridines and may cause more reflex sympathetic discharge (tachycardia),
dizziness, headache, flushing, and peripheral edema; have additional benefits in Raynaud’s syndrome</t>
  </si>
  <si>
    <t>Nicardipine sustained release</t>
  </si>
  <si>
    <t>Norvasc</t>
  </si>
  <si>
    <t>Plendil</t>
  </si>
  <si>
    <t>DynaCirc</t>
  </si>
  <si>
    <t>DynaCirc SR</t>
  </si>
  <si>
    <t>Cardene SR</t>
  </si>
  <si>
    <t>Sular</t>
  </si>
  <si>
    <t>Adalat CC, Nifedical XL, Procardia XL</t>
  </si>
  <si>
    <t>Nifedipine long acting</t>
  </si>
  <si>
    <t xml:space="preserve">Amlodipine  </t>
  </si>
  <si>
    <t xml:space="preserve">Isradipine </t>
  </si>
  <si>
    <t xml:space="preserve">Isradipine SR </t>
  </si>
  <si>
    <t xml:space="preserve">Nisoldipine </t>
  </si>
  <si>
    <t xml:space="preserve">Felodipine </t>
  </si>
  <si>
    <t>Calcium Channel Blockers</t>
  </si>
  <si>
    <t>Subclass</t>
  </si>
  <si>
    <t>Dihydropyridines</t>
  </si>
  <si>
    <t>Diltiazem sustained release</t>
  </si>
  <si>
    <t>Cardizem SR</t>
  </si>
  <si>
    <t>Non-dihydropyridines</t>
  </si>
  <si>
    <t>Diltiazem extended release</t>
  </si>
  <si>
    <t>Verapamil sustained release</t>
  </si>
  <si>
    <t xml:space="preserve">Cardizem LA </t>
  </si>
  <si>
    <t>1 (morning or evening)</t>
  </si>
  <si>
    <t>Calan SR, Isoptin SR, Verelan</t>
  </si>
  <si>
    <t>Covera HS</t>
  </si>
  <si>
    <t>Verapamil controlled onset, extended release</t>
  </si>
  <si>
    <t>1 (in the evening)</t>
  </si>
  <si>
    <t>Extended release products are preferred for hypertension; these agents reduce heart rate; may produce heart block, especially in combination with βblockers; these products are not AB rated as interchangeable on an equipotent milligram per milligram basis due to different release mechanisms and different bioavailability parameters; Cardizem LA, CoveraHS, and Verelan PM have delayed drug release for several hours after dosing, when dosed in the evening can provide chronotherapeutic drug delivery starting shortly before patients awake from sleep; nondihydropyridines have additional benefits in patients with atrial tachyarrhythmia</t>
  </si>
  <si>
    <t>Hydrochlorothiazide is a “thiazidetype” diuretic; chlorthalidone, indapamide, and metolazone are “thiazidelike” diuretics. Dose in the morning to avoid nocturnal diuresis; thiazides are more effective antihypertensives than loop diuretics in most patients; use usual doses to avoid adverse metabolic effects; hydrochlorothiazide, chlorthalidone, and indapamide are preferred; chlorthalidone is approximately 1.5 times as potent as hydrochlorothiazide; have additional benefits in osteoporosis; use with caution in patients with a history of gout</t>
  </si>
  <si>
    <t>Diuretics</t>
  </si>
  <si>
    <t>Thiazides</t>
  </si>
  <si>
    <t>Dose in the morning
and late afternoon
(when twice daily)
to avoid nocturnal
diuresis; higher
doses may be
needed for patients
with severely
decreased
glomerular filtration
rate or heart failure;
preferred over
thiazides in patient
with concomitant
renal dysfunction
and resistant
hypertension</t>
  </si>
  <si>
    <t>Loops</t>
  </si>
  <si>
    <t>Amiloride/hydrochlorothiazide</t>
  </si>
  <si>
    <t>Triamterene/hydrochlorothiazide</t>
  </si>
  <si>
    <t>10/100</t>
  </si>
  <si>
    <t>5/50</t>
  </si>
  <si>
    <t>37.5/25</t>
  </si>
  <si>
    <t>75/50</t>
  </si>
  <si>
    <t>Potassium Sparing</t>
  </si>
  <si>
    <t>Weak diuretics that are generally used in combination with thiazide diuretics to minimize hypokalemia; do not significantly lower BP unless used with a thiazide diuretic; should generally be reserved for patients experiencing diureticinduced hypokalemia; avoid in patients with chronic kidney disease (estimated creatinine clearance &lt;30 mL/min [&lt;0.5 mL/s]); may cause hyperkalemia, especially in combination with an \ACE inhibitor, ARB, direct renin inhibitor, or potassium supplements</t>
  </si>
  <si>
    <t>Spironolactone/hydrochlorothiazide</t>
  </si>
  <si>
    <t>(Aldactazide)</t>
  </si>
  <si>
    <t>Dose in the morning and late afternoon (when twice daily) to avoid nocturnal diuresis; eplerenone contraindicated in patients with an estimated creatinine clearance &lt;50 mL/min (&lt;0.83 mL/s), elevated serum creatinine (&gt;1.8 mg/dL [159 μmol/L] in women, &gt;2 mg/dL [177 μmol/L] in men), and type 2 diabetes with microalbuminuria; spironolactone often used as addon therapy in resistant hypertension; avoid spironolactone in
patients with chronic kidney disease (estimated creatinine clearance &lt;30 mL/min [&lt;0.5
mL/s]); may cause hyperkalemia, especially in combination with an ACE inhibitor, ARB,
direct renin inhibitor, or potassium supplements</t>
  </si>
  <si>
    <t>25–/25</t>
  </si>
  <si>
    <t>50-/50</t>
  </si>
  <si>
    <t>Aldosterone Antagonists</t>
  </si>
  <si>
    <t>Beta Blockers</t>
  </si>
  <si>
    <t>Cardioselective</t>
  </si>
  <si>
    <t>Nonselective</t>
  </si>
  <si>
    <t>Intrinsic sympathomimetic activiy</t>
  </si>
  <si>
    <t>Mixed Alpha and Beta blockers</t>
  </si>
  <si>
    <t>Nebivolol</t>
  </si>
  <si>
    <t>Bystolic</t>
  </si>
  <si>
    <t>Cardioselective and vasodilatory</t>
  </si>
  <si>
    <t>Hygroton</t>
  </si>
  <si>
    <t>Esidrix, HydroDiuril, Microzide, Oretic</t>
  </si>
  <si>
    <t>Lozol</t>
  </si>
  <si>
    <t>Zaroxolyn</t>
  </si>
  <si>
    <t>Lasix</t>
  </si>
  <si>
    <t>Demadex</t>
  </si>
  <si>
    <t>Midamor</t>
  </si>
  <si>
    <t>Dyrenium</t>
  </si>
  <si>
    <t>Inspra</t>
  </si>
  <si>
    <t>Aldactone</t>
  </si>
  <si>
    <t>Tenormin</t>
  </si>
  <si>
    <t>Kerlone</t>
  </si>
  <si>
    <t>Zebeta</t>
  </si>
  <si>
    <t>Lopressor</t>
  </si>
  <si>
    <t>Toprol XL</t>
  </si>
  <si>
    <t>Corgard</t>
  </si>
  <si>
    <t>Inderal</t>
  </si>
  <si>
    <t>Blocadren</t>
  </si>
  <si>
    <t>Sectral</t>
  </si>
  <si>
    <t>Cartrol</t>
  </si>
  <si>
    <t>Levatol</t>
  </si>
  <si>
    <t>Visken</t>
  </si>
  <si>
    <t>Coreg</t>
  </si>
  <si>
    <t>Coreg CR</t>
  </si>
  <si>
    <t>Normodyne, Trandate</t>
  </si>
  <si>
    <t>Moduretic</t>
  </si>
  <si>
    <t>Dyazide</t>
  </si>
  <si>
    <t>Inderal LA, InnoPran XL</t>
  </si>
  <si>
    <t xml:space="preserve">Chlorthalidone </t>
  </si>
  <si>
    <t xml:space="preserve">Hydrochlorothiazide </t>
  </si>
  <si>
    <t xml:space="preserve">Indapamide </t>
  </si>
  <si>
    <t xml:space="preserve">Metolazone </t>
  </si>
  <si>
    <t xml:space="preserve">Amiloride </t>
  </si>
  <si>
    <t xml:space="preserve">Triamterene </t>
  </si>
  <si>
    <t xml:space="preserve">Eplerenone </t>
  </si>
  <si>
    <t xml:space="preserve">Spironolactone </t>
  </si>
  <si>
    <t xml:space="preserve">Atenolol </t>
  </si>
  <si>
    <t xml:space="preserve">Betaxolol </t>
  </si>
  <si>
    <t xml:space="preserve">Bisoprolol </t>
  </si>
  <si>
    <t xml:space="preserve">Metoprolol tartrate </t>
  </si>
  <si>
    <t xml:space="preserve">Metoprolol succinate extended release </t>
  </si>
  <si>
    <t xml:space="preserve">Nadolol </t>
  </si>
  <si>
    <t xml:space="preserve">Propranolol </t>
  </si>
  <si>
    <t xml:space="preserve">Propranolol long acting </t>
  </si>
  <si>
    <t xml:space="preserve">Timolol </t>
  </si>
  <si>
    <t xml:space="preserve">Acebutolol </t>
  </si>
  <si>
    <t xml:space="preserve">Carteolol </t>
  </si>
  <si>
    <t xml:space="preserve">Penbutolol </t>
  </si>
  <si>
    <t xml:space="preserve">Pindolol </t>
  </si>
  <si>
    <t xml:space="preserve">Carvedilol </t>
  </si>
  <si>
    <t xml:space="preserve">Carvedilol phosphate </t>
  </si>
  <si>
    <t>Labetalol</t>
  </si>
  <si>
    <t xml:space="preserve">Bumetanide </t>
  </si>
  <si>
    <t>Doxazosin</t>
  </si>
  <si>
    <t>Cardura</t>
  </si>
  <si>
    <t>Prazosin</t>
  </si>
  <si>
    <t>Minipress</t>
  </si>
  <si>
    <t>Terazosin</t>
  </si>
  <si>
    <t>Hytrin</t>
  </si>
  <si>
    <t>Alpha 1 blockers</t>
  </si>
  <si>
    <t>Aliskiren</t>
  </si>
  <si>
    <t>Tektuma</t>
  </si>
  <si>
    <t>Direct Renin Inhibitor</t>
  </si>
  <si>
    <t>Clonidine</t>
  </si>
  <si>
    <t>Catapres</t>
  </si>
  <si>
    <t>Central alpha 2 agonist</t>
  </si>
  <si>
    <t>Clonidine patch</t>
  </si>
  <si>
    <t>Catapres-TTS</t>
  </si>
  <si>
    <t>Methyldopa</t>
  </si>
  <si>
    <t>Aldomet</t>
  </si>
  <si>
    <t>Reserpine</t>
  </si>
  <si>
    <t>Peripheral adrenergic antagonist</t>
  </si>
  <si>
    <t>Minoxidil</t>
  </si>
  <si>
    <t>Loniten</t>
  </si>
  <si>
    <t>Hydralazine</t>
  </si>
  <si>
    <t>Apresoline</t>
  </si>
  <si>
    <t>2 to 4</t>
  </si>
  <si>
    <t>Direct arterial vasodilators</t>
  </si>
  <si>
    <t>Renal excretion?</t>
  </si>
  <si>
    <t>yes</t>
  </si>
  <si>
    <t>3A4</t>
  </si>
  <si>
    <t>reduce dose slowly on discontinuance due to possible rebound hypertension</t>
  </si>
  <si>
    <t>taper for discontinuance due to possible rebound hypertension.</t>
  </si>
  <si>
    <t>Drug</t>
  </si>
  <si>
    <t>Count - Rx Number</t>
  </si>
  <si>
    <t>TRUVADA 200-300MG</t>
  </si>
  <si>
    <t>NORVIR 100MG TABLET</t>
  </si>
  <si>
    <t>STRIBILD 150-150-200-300</t>
  </si>
  <si>
    <t>PREZISTA 800MG</t>
  </si>
  <si>
    <t>ATRIPLA 600-200-300MG</t>
  </si>
  <si>
    <t>AMLODIPINE 10MG</t>
  </si>
  <si>
    <t>TIVICAY 50MG</t>
  </si>
  <si>
    <t>COMPLERA 200-25-300MG</t>
  </si>
  <si>
    <t>SULFAMETHOX/TRIMETHOPRIM DS 800-160MG</t>
  </si>
  <si>
    <t>PROAIR HFA</t>
  </si>
  <si>
    <t>ASPIRIN EC 81MG</t>
  </si>
  <si>
    <t>GABAPENTIN 300MG</t>
  </si>
  <si>
    <t>TRAZODONE 100MG</t>
  </si>
  <si>
    <t>HYDROCHLOROTHIAZIDE 25MG</t>
  </si>
  <si>
    <t>ISENTRESS 400MG</t>
  </si>
  <si>
    <t>REYATAZ 300MG</t>
  </si>
  <si>
    <t>OMEPRAZOLE 20MG CAPS</t>
  </si>
  <si>
    <t>VITAMIN D 50,000 UNITS</t>
  </si>
  <si>
    <t>CETIRIZINE 10MG</t>
  </si>
  <si>
    <t>TRAZODONE 50MG</t>
  </si>
  <si>
    <t>CITALOPRAM 20MG</t>
  </si>
  <si>
    <t>LISINOPRIL 40MG</t>
  </si>
  <si>
    <t>MIRTAZAPINE 15MG</t>
  </si>
  <si>
    <t>ZOLPIDEM 10MG</t>
  </si>
  <si>
    <t>INTELENCE 200MG</t>
  </si>
  <si>
    <t>RANITIDINE 150MG</t>
  </si>
  <si>
    <t>ABILIFY 5MG</t>
  </si>
  <si>
    <t>LORATADINE 10MG</t>
  </si>
  <si>
    <t>TRIUMEQ 600-50-300MG</t>
  </si>
  <si>
    <t>LISINOPRIL 20MG</t>
  </si>
  <si>
    <t>ATORVASTATIN 40MG</t>
  </si>
  <si>
    <t>BENZTROPINE 2MG</t>
  </si>
  <si>
    <t>DIVALPROEX 500MG ER</t>
  </si>
  <si>
    <t>LISINOPRIL 10MG</t>
  </si>
  <si>
    <t>AMLODIPINE 5MG</t>
  </si>
  <si>
    <t>AZITHROMYCIN 600MG</t>
  </si>
  <si>
    <t>DULOXETINE 60MG</t>
  </si>
  <si>
    <t>*FLUTICASONE SPR 50MCG</t>
  </si>
  <si>
    <t>MONTELUKAST 10MG</t>
  </si>
  <si>
    <t>GABAPENTIN 600MG</t>
  </si>
  <si>
    <t>METFORMIN 500MG</t>
  </si>
  <si>
    <t>ATORVASTATIN 20MG</t>
  </si>
  <si>
    <t>CITALOPRAM 10MG</t>
  </si>
  <si>
    <t>DOCQLACE 100MG</t>
  </si>
  <si>
    <t>VITAMIN D3 2000UNIT CAP</t>
  </si>
  <si>
    <t>*FOLIC ACID 1MG</t>
  </si>
  <si>
    <t>EPZICOM 600-300MG</t>
  </si>
  <si>
    <t>FERROUS SULF 325MG</t>
  </si>
  <si>
    <t>PRENATAL PLUS</t>
  </si>
  <si>
    <t>BENZTROPINE 1MG</t>
  </si>
  <si>
    <t>FUROSEMIDE 40MG</t>
  </si>
  <si>
    <t>TAMSULOSIN 0.4MG</t>
  </si>
  <si>
    <t>VIREAD 300MG</t>
  </si>
  <si>
    <t>SPIRIVA HANDIHALER</t>
  </si>
  <si>
    <t>ABILIFY 10MG</t>
  </si>
  <si>
    <t>DAPSONE 100MG</t>
  </si>
  <si>
    <t>OMEPRAZOLE 40MG</t>
  </si>
  <si>
    <t>PREZISTA 600MG</t>
  </si>
  <si>
    <t>VITAMIN D3 2000UNIT TAB</t>
  </si>
  <si>
    <t>HALOPERIDOL DEC 100MG/ML</t>
  </si>
  <si>
    <t>RISPERIDONE 2MG</t>
  </si>
  <si>
    <t>VENTOLIN HFA</t>
  </si>
  <si>
    <t>BUSPIRONE 10MG</t>
  </si>
  <si>
    <t>CITALOPRAM 40MG</t>
  </si>
  <si>
    <t>DAILY-VITES W/IRON TABLET</t>
  </si>
  <si>
    <t>DIPHENHYDRAMINE 50MG</t>
  </si>
  <si>
    <t>LANTUS SOLOSTAR PEN</t>
  </si>
  <si>
    <t>PRAVASTATIN 40MG</t>
  </si>
  <si>
    <t>DIPHENHYDRAMINE 25MG</t>
  </si>
  <si>
    <t>METFORMIN 1000MG</t>
  </si>
  <si>
    <t>METOPROLOL TARTRATE 25MG</t>
  </si>
  <si>
    <t>RISPERIDONE 3MG</t>
  </si>
  <si>
    <t>SERTRALINE 50MG</t>
  </si>
  <si>
    <t>ASPIRIN 81MG EC</t>
  </si>
  <si>
    <t>CLOPIDOGREL 75MG</t>
  </si>
  <si>
    <t>LISINOPRIL 5MG</t>
  </si>
  <si>
    <t>RANITIDINE 300MG</t>
  </si>
  <si>
    <t>*SERTRALINE 100MG</t>
  </si>
  <si>
    <t>ALLOPURINOL 100MG</t>
  </si>
  <si>
    <t>CYCLOBENZAPRINE 10MG</t>
  </si>
  <si>
    <t>MIRTAZAPINE 30MG</t>
  </si>
  <si>
    <t>QUETIAPINE 100MG</t>
  </si>
  <si>
    <t>CARVEDILOL 25MG</t>
  </si>
  <si>
    <t>CHLORTHALIDONE 25MG</t>
  </si>
  <si>
    <t>CLONAZEPAM 0.5MG</t>
  </si>
  <si>
    <t>FLUOXETINE 40MG CAPS</t>
  </si>
  <si>
    <t>FLUTICASONE 50MCG NS</t>
  </si>
  <si>
    <t>LOSARTAN 100MG</t>
  </si>
  <si>
    <t>METHYLPHENIDATE 36MG ER</t>
  </si>
  <si>
    <t>METHYLPHENIDATE 54MG ER</t>
  </si>
  <si>
    <t>METOPROLOL TARTRATE 50MG</t>
  </si>
  <si>
    <t>NASONEX 50MCG NASAL SPRAY</t>
  </si>
  <si>
    <t>ONE TOUCH ULTRA BLUE TEST STRIPS</t>
  </si>
  <si>
    <t>SPIRONOLACTONE 25MG</t>
  </si>
  <si>
    <t>DESMOPRESSIN 0.2MG</t>
  </si>
  <si>
    <t>ADVAIR DISKUS 250/50</t>
  </si>
  <si>
    <t>ATORVASTATIN 10MG</t>
  </si>
  <si>
    <t>COMBIVENT RESPIMAT</t>
  </si>
  <si>
    <t>ESCITALOPRAM 20MG</t>
  </si>
  <si>
    <t>QUETIAPINE 300MG</t>
  </si>
  <si>
    <t>RISPERIDONE 1MG</t>
  </si>
  <si>
    <t>SYMBICORT 160-4.5</t>
  </si>
  <si>
    <t>TRAMADOL HCL 50MG</t>
  </si>
  <si>
    <t>VITAMIN D 50000UNT</t>
  </si>
  <si>
    <t>ACYCLOVIR 400MG</t>
  </si>
  <si>
    <t>AMITRIPTYLINE 25MG</t>
  </si>
  <si>
    <t>ARIPIPRAZOLE 5 MG</t>
  </si>
  <si>
    <t>ASPIRIN EC 325MG</t>
  </si>
  <si>
    <t>BUPROPION 150MG XL</t>
  </si>
  <si>
    <t>DULOXETINE 30MG</t>
  </si>
  <si>
    <t>IBUPROFEN 800MG</t>
  </si>
  <si>
    <t>NAPROXEN 500MG</t>
  </si>
  <si>
    <t>TRAZODONE 150MG</t>
  </si>
  <si>
    <t>ALPRAZOLAM 0.5MG</t>
  </si>
  <si>
    <t>CARBAMAZEPINE 200MG IR TAB</t>
  </si>
  <si>
    <t>CARVEDILOL 12.5MG</t>
  </si>
  <si>
    <t>FLUOXETINE 20MG</t>
  </si>
  <si>
    <t>FUROSEMIDE 20MG</t>
  </si>
  <si>
    <t>GUANFACINE 1MG</t>
  </si>
  <si>
    <t>IBUPROFEN 600MG</t>
  </si>
  <si>
    <t>POTASSIUM 20MEQ</t>
  </si>
  <si>
    <t>RISPERIDONE 0.5MG</t>
  </si>
  <si>
    <t>SIMVASTATIN 20MG</t>
  </si>
  <si>
    <t>*CLONAZEPAM 1MG</t>
  </si>
  <si>
    <t>EUCERIN CREME</t>
  </si>
  <si>
    <t>FLUOXETINE 20MG CAPS</t>
  </si>
  <si>
    <t>HALOPERIDOL 10MG</t>
  </si>
  <si>
    <t>HYDROXYZINE PAM 25MG</t>
  </si>
  <si>
    <t>LISINOPRIL/HCTZ 20-12.5</t>
  </si>
  <si>
    <t>METHYLPHENIDATE 5MG</t>
  </si>
  <si>
    <t>NEXIUM 40MG</t>
  </si>
  <si>
    <t>OYST SHELL/D 500MG</t>
  </si>
  <si>
    <t>POLYETHYLENE GLYCOL 527GM</t>
  </si>
  <si>
    <t>POTASSIUM 10MEQ ER TABLETS</t>
  </si>
  <si>
    <t>RISPERIDONE 4MG</t>
  </si>
  <si>
    <t>SERTRALINE 100MG</t>
  </si>
  <si>
    <t>SIMVASTATIN 40MG</t>
  </si>
  <si>
    <t>*ZOLPIDEM 5MG</t>
  </si>
  <si>
    <t>ABILIFY 2MG</t>
  </si>
  <si>
    <t>ATORVASTATIN 80MG</t>
  </si>
  <si>
    <t>DIVALPROEX 250MG DR</t>
  </si>
  <si>
    <t>DIVALPROEX 500MG DR</t>
  </si>
  <si>
    <t>ESCITALOPRAM 10MG</t>
  </si>
  <si>
    <t>FERROUS SULFATE 325MG</t>
  </si>
  <si>
    <t>FINASTERIDE 5MG</t>
  </si>
  <si>
    <t>INVEGA SUSTENA 156MG/1ML</t>
  </si>
  <si>
    <t>ISOSORBIDE MONO 30MG</t>
  </si>
  <si>
    <t>LEVETIRACETAM 500MG</t>
  </si>
  <si>
    <t>METOPROLOL SUCC 50MG ER</t>
  </si>
  <si>
    <t>PANTOPRAZOLE 40MG</t>
  </si>
  <si>
    <t>PAROXETINE 20MG</t>
  </si>
  <si>
    <t>VENLAFAXINE 150MG ER</t>
  </si>
  <si>
    <t>*NAPROXEN 500MG</t>
  </si>
  <si>
    <t>ADVAIR DISKUS 500/50</t>
  </si>
  <si>
    <t>ALPRAZOLAM 1MG</t>
  </si>
  <si>
    <t>BD ALCOHOL SWAB 100 COUNT</t>
  </si>
  <si>
    <t>BUPROPION 300MG XL</t>
  </si>
  <si>
    <t>CLONIDINE 0.1MG</t>
  </si>
  <si>
    <t>EMTRIVA 200MG</t>
  </si>
  <si>
    <t>GABAPENTIN 100MG</t>
  </si>
  <si>
    <t>LEVOTHYROXINE 100MCG</t>
  </si>
  <si>
    <t>LISINOPRIL/HCTZ 20-25MG</t>
  </si>
  <si>
    <t>LITHIUM CARB 300MG CAP</t>
  </si>
  <si>
    <t>LOSARTAN 50MG</t>
  </si>
  <si>
    <t>METOPROLOL 100MG ER</t>
  </si>
  <si>
    <t>MIRTAZAPINE 45MG</t>
  </si>
  <si>
    <t>OXCARBAZEPINE 150MG</t>
  </si>
  <si>
    <t>SEROQUEL XR 400MG</t>
  </si>
  <si>
    <t>SYMBICORT 80-4.5</t>
  </si>
  <si>
    <t>TRIAMCINOLONE 0.1% CREAM</t>
  </si>
  <si>
    <t>TRIAMTERENE/HCTZ 37.5-25MG TAB</t>
  </si>
  <si>
    <t>VITAMIN D 1000IU SOFTGEL</t>
  </si>
  <si>
    <t>VYVANSE 70MG</t>
  </si>
  <si>
    <t>CRESTOR 10MG</t>
  </si>
  <si>
    <t>DAILY VITE NO IRON</t>
  </si>
  <si>
    <t>DULERA 100-5MCG</t>
  </si>
  <si>
    <t>FAMOTIDINE 20MG</t>
  </si>
  <si>
    <t>FOCALIN XR 20MG</t>
  </si>
  <si>
    <t>HYDRALAZINE 100MG</t>
  </si>
  <si>
    <t>INTUNIV 2MG</t>
  </si>
  <si>
    <t>LAMIVUDINE/ZIDOVUDINE 150-300</t>
  </si>
  <si>
    <t>LAMOTRIGINE 100MG</t>
  </si>
  <si>
    <t>LEVOTHYROXINE 50MCG</t>
  </si>
  <si>
    <t>LEVOTHYROXINE 75 MCG TABLET</t>
  </si>
  <si>
    <t>LITHIUM CARB 450MG ER</t>
  </si>
  <si>
    <t>LOPERAMIDE 2MG</t>
  </si>
  <si>
    <t>MELOXICAM 15MG</t>
  </si>
  <si>
    <t>METOPROLOL SUCC 25MG ER</t>
  </si>
  <si>
    <t>NOVOLOG FLEXPEN SYRINGE</t>
  </si>
  <si>
    <t>OLANZAPINE 20MG</t>
  </si>
  <si>
    <t>PATADAY 0.2% SOLN</t>
  </si>
  <si>
    <t>QUETIAPINE 200MG</t>
  </si>
  <si>
    <t>QUETIAPINE 50MG</t>
  </si>
  <si>
    <t>SENEXON-S 8.6-50MG</t>
  </si>
  <si>
    <t>TRADJENTA 5MG</t>
  </si>
  <si>
    <t>VALACYCLOVIR 500MG</t>
  </si>
  <si>
    <t>VALTREX 500MG</t>
  </si>
  <si>
    <t>*CITALOPRAM 40MG</t>
  </si>
  <si>
    <t>*RISPERIDONE 1MG</t>
  </si>
  <si>
    <t>*TOPIRAMATE 100MG</t>
  </si>
  <si>
    <t>ABACAVIR SULFATE 300MG</t>
  </si>
  <si>
    <t>ABILIFY 15MG</t>
  </si>
  <si>
    <t>ABILIFY 20MG</t>
  </si>
  <si>
    <t>AMITRIPTYLINE 50MG</t>
  </si>
  <si>
    <t>AMPHETAMINE 20MG TAB</t>
  </si>
  <si>
    <t>ARIPIPRAZOLE 5MG</t>
  </si>
  <si>
    <t>CLONIDINE 0.2MG</t>
  </si>
  <si>
    <t>CRESTOR 20MG</t>
  </si>
  <si>
    <t>FLUOXETINE 10MG CAP</t>
  </si>
  <si>
    <t>HYDRALAZINE 25MG</t>
  </si>
  <si>
    <t>HYDROXYZINE HCL 25MG</t>
  </si>
  <si>
    <t>INVEGA 6MG</t>
  </si>
  <si>
    <t>LANTUS VIAL</t>
  </si>
  <si>
    <t>LATANOPROST SOLUTION 0.005%</t>
  </si>
  <si>
    <t>LIDOCAINE 5% PATCH</t>
  </si>
  <si>
    <t>LORAZEPAM 1MG</t>
  </si>
  <si>
    <t>METHYLPHENIDATE 18MG ER</t>
  </si>
  <si>
    <t>PAROXETINE 30MG</t>
  </si>
  <si>
    <t>PAROXETINE 40MG</t>
  </si>
  <si>
    <t>RENAL SOFTGEL</t>
  </si>
  <si>
    <t>SENNA 8.6MG</t>
  </si>
  <si>
    <t>SUSTIVA 600MG</t>
  </si>
  <si>
    <t>TOPIRAMATE 25MG</t>
  </si>
  <si>
    <t>ZETIA 10MG</t>
  </si>
  <si>
    <t>ADDERALL XR 20MG</t>
  </si>
  <si>
    <t>ALLOPURINOL 300MG</t>
  </si>
  <si>
    <t>AMLODIPINE 2.5MG</t>
  </si>
  <si>
    <t>ARIPIPRAZOLE 10 MG</t>
  </si>
  <si>
    <t>BUPROPION 150MG SR</t>
  </si>
  <si>
    <t>BUSPIRONE 15MG</t>
  </si>
  <si>
    <t>CARVEDILOL 6.25MG</t>
  </si>
  <si>
    <t>CRESTOR 5MG</t>
  </si>
  <si>
    <t>DIAZEPAM 10MG</t>
  </si>
  <si>
    <t>DONEPEZIL 10MG</t>
  </si>
  <si>
    <t>ETHAMBUTOL 400MG</t>
  </si>
  <si>
    <t>FENOFIBRATE 145MG</t>
  </si>
  <si>
    <t>FLUCONAZOLE 200MG</t>
  </si>
  <si>
    <t>FLUOXETINE 20MG TABLETS</t>
  </si>
  <si>
    <t>FOLIC ACID 1MG</t>
  </si>
  <si>
    <t>GABAPENTIN 800MG</t>
  </si>
  <si>
    <t>GLIPIZIDE 5MG</t>
  </si>
  <si>
    <t>HYDROCHLOROTHIAZIDE 12.5MG TAB</t>
  </si>
  <si>
    <t>HYDROXYZINE PAM 50MG</t>
  </si>
  <si>
    <t>KALETRA 200-50MG</t>
  </si>
  <si>
    <t>LATUDA 40MG</t>
  </si>
  <si>
    <t>LEVETIRACETAM 1000MG</t>
  </si>
  <si>
    <t>LITHIUM CARB 300MG ER TAB</t>
  </si>
  <si>
    <t>METFORMIN 500MG ER</t>
  </si>
  <si>
    <t>METHYLPHENIDATE 27MG ER</t>
  </si>
  <si>
    <t>OLANZAPINE 10MG</t>
  </si>
  <si>
    <t>OLANZAPINE 15MG</t>
  </si>
  <si>
    <t>OXCARBAZEPINE 300MG</t>
  </si>
  <si>
    <t>PHENYTOIN EX 100MG</t>
  </si>
  <si>
    <t>QUETIAPINE 25MG</t>
  </si>
  <si>
    <t>SELZENTRY 300MG</t>
  </si>
  <si>
    <t>SEROQUEL XR 300MG</t>
  </si>
  <si>
    <t>SODIUM BICARBONATE 650MG</t>
  </si>
  <si>
    <t>SPIRONOLACTONE 100MG</t>
  </si>
  <si>
    <t>SPIRONOLACTONE 50MG</t>
  </si>
  <si>
    <t>THIAMINE 100MG TAB VIT.B-1</t>
  </si>
  <si>
    <t>TOPIRAMATE 50MG</t>
  </si>
  <si>
    <t>VITAMIN B-12 1000MCG</t>
  </si>
  <si>
    <t>VITAMIN D 1000UNIT</t>
  </si>
  <si>
    <t>VOLTAREN 1% GEL</t>
  </si>
  <si>
    <t>XARELTO 20MG</t>
  </si>
  <si>
    <t>*AZITHROMYCIN 500MG</t>
  </si>
  <si>
    <t>*LAMOTRIGINE 25MG</t>
  </si>
  <si>
    <t>ALBUTEROL 0.083% NEB SOLN</t>
  </si>
  <si>
    <t>AMMONIUM LACTATE 12% CREAM</t>
  </si>
  <si>
    <t>AMPHETAMINE 10MG TAB</t>
  </si>
  <si>
    <t>ASPIRIN CHW 81MG</t>
  </si>
  <si>
    <t>ATENOLOL 25 MG TABLET</t>
  </si>
  <si>
    <t>ATOVAQUONE SUS 750/5ML</t>
  </si>
  <si>
    <t>BACLOFEN 10MG</t>
  </si>
  <si>
    <t>BD MINI PEN NEEDLES 31 G 5MM</t>
  </si>
  <si>
    <t>CALCIUM/D 600-400</t>
  </si>
  <si>
    <t>CLONAZEPAM 1MG</t>
  </si>
  <si>
    <t>CLONAZEPAM 2MG</t>
  </si>
  <si>
    <t>DEXMETHYLPHENIDATE XR 30</t>
  </si>
  <si>
    <t>DIAZEPAM 5MG</t>
  </si>
  <si>
    <t>DIGOXIN 0.125MG</t>
  </si>
  <si>
    <t>DIVALPROEX 250MG ER</t>
  </si>
  <si>
    <t>DRONABINOL 10MG</t>
  </si>
  <si>
    <t>DRONABINOL 2.5MG</t>
  </si>
  <si>
    <t>ESOMEPRAZOLE 40MG</t>
  </si>
  <si>
    <t>FREESTYLE LANCETS</t>
  </si>
  <si>
    <t>GLIPIZIDE 10MG</t>
  </si>
  <si>
    <t>HALOPERIDOL 5MG</t>
  </si>
  <si>
    <t>HUMALOG KWIKPEN</t>
  </si>
  <si>
    <t>HYDRALAZINE 50MG</t>
  </si>
  <si>
    <t>HYDROCHLOROTHIAZIDE 12.5MG</t>
  </si>
  <si>
    <t>HYDROCHLOROTHIAZIDE 50MG</t>
  </si>
  <si>
    <t>INVEGA SUSTENA 117MG/0.75ML</t>
  </si>
  <si>
    <t>LAMIVUDINE 300MG</t>
  </si>
  <si>
    <t>LAMOTRIGINE 200MG</t>
  </si>
  <si>
    <t>LEVEMIR FLEXTOUCH</t>
  </si>
  <si>
    <t>LOVASTATIN 20MG</t>
  </si>
  <si>
    <t>LOVASTATIN 40MG</t>
  </si>
  <si>
    <t>MELATONIN 3MG</t>
  </si>
  <si>
    <t>METOPROLOL TARTRATE 100MG</t>
  </si>
  <si>
    <t>OLANZAPINE 5MG</t>
  </si>
  <si>
    <t>OMEGA-3-ACID 1GM</t>
  </si>
  <si>
    <t>ONE TOUCH DELICA LANCETS</t>
  </si>
  <si>
    <t>POTASSIUM 10MEQ ER CAPSULES</t>
  </si>
  <si>
    <t>PRENATAL 27-1MG</t>
  </si>
  <si>
    <t>RISPERIDONE 0.25MG</t>
  </si>
  <si>
    <t>SEROQUEL XR 150MG</t>
  </si>
  <si>
    <t>TIZANIDINE 4MG</t>
  </si>
  <si>
    <t>TOLTERODINE 4MG ER</t>
  </si>
  <si>
    <t>VALACYCLOVIR 1GM</t>
  </si>
  <si>
    <t>VENLAFAXINE 75MG TAB</t>
  </si>
  <si>
    <t>VYVANSE 60MG</t>
  </si>
  <si>
    <t>*FLUOXETINE 40MG CAP</t>
  </si>
  <si>
    <t>*PAROXETINE 40MG</t>
  </si>
  <si>
    <t>ABILIFY MAINTENA 400MG</t>
  </si>
  <si>
    <t>ACETAMINOPHEN (Q-PAP) 500MG</t>
  </si>
  <si>
    <t>ACETAMINOPHEN 325MG</t>
  </si>
  <si>
    <t>ADDERALL XR 25MG</t>
  </si>
  <si>
    <t>AMITIZA 24MCG</t>
  </si>
  <si>
    <t>AMPHETAMINE 20MG ER CAP</t>
  </si>
  <si>
    <t>ATROVENT HFA INHALER</t>
  </si>
  <si>
    <t>BACLOFEN 20MG</t>
  </si>
  <si>
    <t>BD NANO PEN NEEDLE 32GX4MM</t>
  </si>
  <si>
    <t>BD SHORT PEN NEEDLES 8MM</t>
  </si>
  <si>
    <t>CELECOXIB 200MG</t>
  </si>
  <si>
    <t>CLOBETASOL 0.05% OINTMENT</t>
  </si>
  <si>
    <t>CLONIDINE 0.3MG</t>
  </si>
  <si>
    <t>DEXMETHYLPHENIDATE XR 15MG</t>
  </si>
  <si>
    <t>DIDANOSINE 250MG</t>
  </si>
  <si>
    <t>FLUOXETINE 10MG</t>
  </si>
  <si>
    <t>FOCALIN XR 10MG</t>
  </si>
  <si>
    <t>GLIMEPIRIDE 2MG</t>
  </si>
  <si>
    <t>HYDROCHLOROTHIAZIDE 12.5MG CAP</t>
  </si>
  <si>
    <t>ISOSORBIDE MONO 60MG ER</t>
  </si>
  <si>
    <t>JANUVIA 100MG</t>
  </si>
  <si>
    <t>KETOCONAZOLE 2% CREAM</t>
  </si>
  <si>
    <t>LAMIVUDINE 100MG</t>
  </si>
  <si>
    <t>LAMIVUDINE 150MG</t>
  </si>
  <si>
    <t>LAMOTRIGINE 150MG</t>
  </si>
  <si>
    <t>LEVOTHYROXINE 150MCG</t>
  </si>
  <si>
    <t>LISINOPRIL/HCTZ 10-12.5</t>
  </si>
  <si>
    <t>LORAZEPAM 0.5MG</t>
  </si>
  <si>
    <t>LOSARTAN 25MG</t>
  </si>
  <si>
    <t>LOSARTAN/HCT 100-25MG</t>
  </si>
  <si>
    <t>MAGNESIUM OXIDE 400MG</t>
  </si>
  <si>
    <t>MEDROXYPROGESTERONE 150 MG/ML</t>
  </si>
  <si>
    <t>MELOXICAM  7.5MG</t>
  </si>
  <si>
    <t>METOLAZONE 2.5 MG TABLET</t>
  </si>
  <si>
    <t>NYSTATIN OINTMENT</t>
  </si>
  <si>
    <t>PRAVASTATIN 20MG</t>
  </si>
  <si>
    <t>PRAVASTATIN 80MG</t>
  </si>
  <si>
    <t>PREDNISONE 10MG</t>
  </si>
  <si>
    <t>PRISTIQ 100MG</t>
  </si>
  <si>
    <t>PROMETHAZINE 25MG</t>
  </si>
  <si>
    <t>QVAR 40MCG</t>
  </si>
  <si>
    <t>QVAR AER 80MCG</t>
  </si>
  <si>
    <t>RENVELA 800MG</t>
  </si>
  <si>
    <t>SELZENTRY 150MG</t>
  </si>
  <si>
    <t>SURE COMFORT INSULIN SYRINGE 0.5ML 31GA</t>
  </si>
  <si>
    <t>VENLAFAXINE 75MG ER</t>
  </si>
  <si>
    <t>VICTOZA 18MG/3ML 2 PACK</t>
  </si>
  <si>
    <t>VYVANSE 40MG</t>
  </si>
  <si>
    <t>WARFARIN SODIUM 5MG</t>
  </si>
  <si>
    <t>*LORAZEPAM 0.5MG</t>
  </si>
  <si>
    <t>*METFORMIN 500MG ER</t>
  </si>
  <si>
    <t>*PANTOPRAZOLE 40MG</t>
  </si>
  <si>
    <t>ADDERALL XR 10MG</t>
  </si>
  <si>
    <t>ADDERALL XR 15MG</t>
  </si>
  <si>
    <t>ADVAIR DISKUS 100/50</t>
  </si>
  <si>
    <t>ALENDRONATE 70MG</t>
  </si>
  <si>
    <t>ALPRAZOLAM 0.25MG</t>
  </si>
  <si>
    <t>AMITRIPTYLINE 75MG</t>
  </si>
  <si>
    <t>AZELASTINE 0.1% NASAL SPRAY</t>
  </si>
  <si>
    <t>BD PEN NEEDLES 29 GAUGE</t>
  </si>
  <si>
    <t>BENICAR 40MG</t>
  </si>
  <si>
    <t>BENZTROPINE 0.5MG</t>
  </si>
  <si>
    <t>BISACODYL 5MG EC</t>
  </si>
  <si>
    <t>BUMETANIDE 2MG</t>
  </si>
  <si>
    <t>BUPROPION 200MG SR</t>
  </si>
  <si>
    <t>BUPROPION 75MG</t>
  </si>
  <si>
    <t>CALCIUM ACETATE 667MG</t>
  </si>
  <si>
    <t>CARBAMAZEPINE 100 MG TAB CHW</t>
  </si>
  <si>
    <t>CARVEDILOL 3.125MG</t>
  </si>
  <si>
    <t>CLINDAMYCIN 1% LOTION</t>
  </si>
  <si>
    <t>CLOTRIMAZOLE 1% CREAM</t>
  </si>
  <si>
    <t>CYANOCOBALAMIN 1000MCG INJ</t>
  </si>
  <si>
    <t>DAILY-VITE/ IRON</t>
  </si>
  <si>
    <t>DEXMETHYLPHENIDATE ER 10 MG</t>
  </si>
  <si>
    <t>DILTIAZEM ER 240 MG CAP SA</t>
  </si>
  <si>
    <t>DOXAZOSIN 2MG</t>
  </si>
  <si>
    <t>DOXEPIN 100 MG CAPSULE</t>
  </si>
  <si>
    <t>DOXEPIN 75MG</t>
  </si>
  <si>
    <t>DOXYCYCLINE HYCLATE 100MG</t>
  </si>
  <si>
    <t>DRONABINOL 5MG</t>
  </si>
  <si>
    <t>ESTRADIOL 1MG</t>
  </si>
  <si>
    <t>FLOVENT HFA 110MCG</t>
  </si>
  <si>
    <t>FLOVENT HFA 44MCG</t>
  </si>
  <si>
    <t>FLUCONAZOLE 100MG</t>
  </si>
  <si>
    <t>FOCALIN XR 15MG</t>
  </si>
  <si>
    <t>FOCALIN XR 30MG</t>
  </si>
  <si>
    <t>FREESTYLE  TES LITE</t>
  </si>
  <si>
    <t>FUROSEMIDE 80MG</t>
  </si>
  <si>
    <t>HALOPERIDOL DEC 50MG/ML</t>
  </si>
  <si>
    <t>HUMULIN 70/30 VIAL</t>
  </si>
  <si>
    <t>HUMULIN INJ 70/30KWP</t>
  </si>
  <si>
    <t>HYDROXYCHLOROQUINE 200MG</t>
  </si>
  <si>
    <t>IBUPROFEN 400MG</t>
  </si>
  <si>
    <t>IMIQUIMOD 5% PACKETS</t>
  </si>
  <si>
    <t>INVEGA 9MG</t>
  </si>
  <si>
    <t>JANUVIA 50MG</t>
  </si>
  <si>
    <t>KALETRA 80-20 MG/ML SOLN</t>
  </si>
  <si>
    <t>KETOCONAZOLE 2% SHAMPOO</t>
  </si>
  <si>
    <t>LEVOCETIRIZINE 5MG</t>
  </si>
  <si>
    <t>LEVOTHYROXINE 200MCG</t>
  </si>
  <si>
    <t>LEVOTHYROXINE 25MCG</t>
  </si>
  <si>
    <t>LIDODERM 5% PATCH</t>
  </si>
  <si>
    <t>LORAZEPAM 2MG</t>
  </si>
  <si>
    <t>LOSARTAN/HCT 50-12.5</t>
  </si>
  <si>
    <t>LYRICA 150MG</t>
  </si>
  <si>
    <t>MAPAP 500MG</t>
  </si>
  <si>
    <t>METFORMIN 850MG</t>
  </si>
  <si>
    <t>METHOTREXATE 2.5MG</t>
  </si>
  <si>
    <t>METHYLPHENIDATE 10MG</t>
  </si>
  <si>
    <t>METOCLOPRAMIDE 10MG</t>
  </si>
  <si>
    <t>METOCLOPRAMIDE 5MG</t>
  </si>
  <si>
    <t>NAMENDA XR 28MG</t>
  </si>
  <si>
    <t>NAPROXEN 250MG</t>
  </si>
  <si>
    <t>NEVIRAPINE 200MG</t>
  </si>
  <si>
    <t>NEXIUM 20MG</t>
  </si>
  <si>
    <t>NITROSTAT 0.4 MG TAB SL (25'S)</t>
  </si>
  <si>
    <t>NORETHINDRONE 0.35MG</t>
  </si>
  <si>
    <t>NORTRIPTYLINE 50MG</t>
  </si>
  <si>
    <t>NORVIR 100MG SOFTGEL</t>
  </si>
  <si>
    <t>ONDANSETRON 4MG</t>
  </si>
  <si>
    <t>PATANOL 0.1% EYE DROPS</t>
  </si>
  <si>
    <t>PERPHENAZINE 4MG</t>
  </si>
  <si>
    <t>PIOGLITAZONE 30MG</t>
  </si>
  <si>
    <t>PRAVASTATIN 10MG</t>
  </si>
  <si>
    <t>PROCHLORPERAZINE 10MG</t>
  </si>
  <si>
    <t>PROPRANOLOL 10MG</t>
  </si>
  <si>
    <t>PROVENTIL HFA</t>
  </si>
  <si>
    <t>RIBAPAK PAK 1200/DAY</t>
  </si>
  <si>
    <t>RISPERDAL CONSTA 25MG</t>
  </si>
  <si>
    <t>ROPINIROLE  0.25MG</t>
  </si>
  <si>
    <t>ROPINIROLE 1MG</t>
  </si>
  <si>
    <t>SENSIPAR 30MG</t>
  </si>
  <si>
    <t>SEROQUEL XR 200MG</t>
  </si>
  <si>
    <t>SEROQUEL XR 50MG</t>
  </si>
  <si>
    <t>SERTRALINE 25MG</t>
  </si>
  <si>
    <t>SF 5000 PLUS 1.1% CREAM</t>
  </si>
  <si>
    <t>SIMETHICONE 80MG CHEW</t>
  </si>
  <si>
    <t>SULFAMETHOX/TRIMETHOPRIM 400-80MG SS</t>
  </si>
  <si>
    <t>SURE COMFORT PEN 31GX5/16</t>
  </si>
  <si>
    <t>SURE COMFORT PEN NEEDLES MIS 31GX3/16</t>
  </si>
  <si>
    <t>TEMAZEPAM 30MG</t>
  </si>
  <si>
    <t>TRAVATAN Z 0.004% SOLN</t>
  </si>
  <si>
    <t>TRIAMCINOLONE 0.1% OINTMENT</t>
  </si>
  <si>
    <t>VENLAFAXINE 37.5MG TAB</t>
  </si>
  <si>
    <t>VICTOZA 18MG/3ML 3 PACK</t>
  </si>
  <si>
    <t>VIEKIRA PAK 12.5/75/50MG; 250MG</t>
  </si>
  <si>
    <t>VITAMIN D3 5000UNIT</t>
  </si>
  <si>
    <t>VYVANSE 30MG</t>
  </si>
  <si>
    <t>WARFARIN 3MG</t>
  </si>
  <si>
    <t>WARFARIN SODIUM 1MG</t>
  </si>
  <si>
    <t>XARELTO 15MG</t>
  </si>
  <si>
    <t>ZIDOVUDINE 300MG</t>
  </si>
  <si>
    <t>ZOLPIDEM   5MG</t>
  </si>
  <si>
    <t>*AZITHROMYCIN 600MG</t>
  </si>
  <si>
    <t>*GABAPENTIN  600MG</t>
  </si>
  <si>
    <t>*TESTOSTERONE CYP 200 MG/ML</t>
  </si>
  <si>
    <t>*VALACYCLOVIR 500MG</t>
  </si>
  <si>
    <t>ADDERALL 5 MG TABLET</t>
  </si>
  <si>
    <t>ADVAIR HFA 230/21</t>
  </si>
  <si>
    <t>ALPRAZOLAM 2MG</t>
  </si>
  <si>
    <t>ALPRAZOLAM 2MG TAB</t>
  </si>
  <si>
    <t>AMILORIDE 5MG</t>
  </si>
  <si>
    <t>AMPHETAMINE 30MG</t>
  </si>
  <si>
    <t>AMPHETAMINE 30MG ER CAPS</t>
  </si>
  <si>
    <t>AMPHETAMINE 5MG TABS</t>
  </si>
  <si>
    <t>ANIMAL SHAPE CHW</t>
  </si>
  <si>
    <t>ARIPIPRAZOLE 2 MG</t>
  </si>
  <si>
    <t>ARIPIPRAZOLE 20 MG</t>
  </si>
  <si>
    <t>ARIPIPRAZOLE 30 MG</t>
  </si>
  <si>
    <t>ASTEPRO 0.15% NS</t>
  </si>
  <si>
    <t>ATENOLOL 100MG</t>
  </si>
  <si>
    <t>ATENOLOL 50MG</t>
  </si>
  <si>
    <t>AZOPT 1% EYE DROPS</t>
  </si>
  <si>
    <t>BACLOFEN 20 MG TABLET</t>
  </si>
  <si>
    <t>BD ULTRA FINE 1 ML SYRINGE</t>
  </si>
  <si>
    <t>BENAZEPRIL 40MG</t>
  </si>
  <si>
    <t>BENICAR HCT 20-12.5 MG TAB</t>
  </si>
  <si>
    <t>BRINTELLIX 10MG</t>
  </si>
  <si>
    <t>BUPROPION 100MG ER</t>
  </si>
  <si>
    <t>BUSPIRONE 30MG</t>
  </si>
  <si>
    <t>CALCITRIOL 0.5MCG</t>
  </si>
  <si>
    <t>CILOSTAZOL 100MG</t>
  </si>
  <si>
    <t>COLCRYS 0.6MG</t>
  </si>
  <si>
    <t>CONCERTA 27 MG TABLET SA</t>
  </si>
  <si>
    <t>CONTOUR NEXT STRIPS</t>
  </si>
  <si>
    <t>CRESTOR 40MG</t>
  </si>
  <si>
    <t>CYCLOBENZAPRINE 5MG</t>
  </si>
  <si>
    <t>CYMBALTA 30MG</t>
  </si>
  <si>
    <t>DALIRESP 500MCG</t>
  </si>
  <si>
    <t>DESONIDE 0.05% CREAM</t>
  </si>
  <si>
    <t>DEXILANT 60MG</t>
  </si>
  <si>
    <t>DICLOFENAC 75MG DR</t>
  </si>
  <si>
    <t>DILTIAZEM 300MG CD</t>
  </si>
  <si>
    <t>DIPHENHYDRAM 25MG</t>
  </si>
  <si>
    <t>DIVALPROEX 125MG DR</t>
  </si>
  <si>
    <t>DORZOLAMIDE 2% DROPS</t>
  </si>
  <si>
    <t>DOXAZOSIN 4MG</t>
  </si>
  <si>
    <t>DOXEPIN 10MG</t>
  </si>
  <si>
    <t>DOXEPIN 50MG</t>
  </si>
  <si>
    <t>DULERA 200-5MCG</t>
  </si>
  <si>
    <t>DULOXETINE 20MG</t>
  </si>
  <si>
    <t>EDURANT 25MG</t>
  </si>
  <si>
    <t>ENALAPRIL 20MG</t>
  </si>
  <si>
    <t>ESCITALOPRAM 5MG</t>
  </si>
  <si>
    <t>ESTRADIOL 2MG</t>
  </si>
  <si>
    <t>FAMCICLOVIR 250MG</t>
  </si>
  <si>
    <t>FANAPT 2MG</t>
  </si>
  <si>
    <t>FENOFIBRATE 54MG</t>
  </si>
  <si>
    <t>FERREX 150 CAPSULE</t>
  </si>
  <si>
    <t>FLUOCINONIDE 0.05% OINT</t>
  </si>
  <si>
    <t>FREESTYLE LITE STRIPS 100'S</t>
  </si>
  <si>
    <t>FREESTYLE TEST STRIPS</t>
  </si>
  <si>
    <t>GLIMEPIRIDE 1MG</t>
  </si>
  <si>
    <t>GLIMEPIRIDE 4MG</t>
  </si>
  <si>
    <t>GLIPIZIDE XL 10MG</t>
  </si>
  <si>
    <t>GLIPIZIDE XL 2.5MG</t>
  </si>
  <si>
    <t>GLYBURIDE  5MG</t>
  </si>
  <si>
    <t>HALOPERIDOL 1MG</t>
  </si>
  <si>
    <t>HUMALOG 100 UNITS/ML VIAL</t>
  </si>
  <si>
    <t>HYDROXYCHLOR 200MG</t>
  </si>
  <si>
    <t>IMIPRAMINE HCL 50 MG TABLET</t>
  </si>
  <si>
    <t>INTUNIV 1MG</t>
  </si>
  <si>
    <t>INTUNIV 4MG</t>
  </si>
  <si>
    <t>ISENTRESS 100MG CHEW TABS</t>
  </si>
  <si>
    <t>ISONIAZID 300 MG TABLET</t>
  </si>
  <si>
    <t>ISOSORBIDE DINITRATE 10MG</t>
  </si>
  <si>
    <t>JANUMET 50-500MG</t>
  </si>
  <si>
    <t>LABETALOL 200MG</t>
  </si>
  <si>
    <t>LAMOTRIGINE 50MG ER</t>
  </si>
  <si>
    <t>LATUDA 120MG</t>
  </si>
  <si>
    <t>LATUDA 60MG</t>
  </si>
  <si>
    <t>LISINOPRIL 2.5MG</t>
  </si>
  <si>
    <t>LISINOPRIL 30MG</t>
  </si>
  <si>
    <t>LUMIGAN 0.01% SOLN</t>
  </si>
  <si>
    <t>LYRICA 100MG</t>
  </si>
  <si>
    <t>MEGACE ES 625 MG/5 ML SUSP</t>
  </si>
  <si>
    <t>METOLAZONE 5MG</t>
  </si>
  <si>
    <t>MICROLET LANCETS</t>
  </si>
  <si>
    <t>MIRTAZAPINE 7.5MG</t>
  </si>
  <si>
    <t>MONTELUKAST 4MG CHEW</t>
  </si>
  <si>
    <t>NIACIN ER 500MG</t>
  </si>
  <si>
    <t>NIFEDICAL XL 60MG</t>
  </si>
  <si>
    <t>NIFEDIPINE 90MG ER</t>
  </si>
  <si>
    <t>NORTRIPTYLINE 10MG</t>
  </si>
  <si>
    <t>NOVOLOG 100 UNITS/ML VIAL</t>
  </si>
  <si>
    <t>NYSTATIN CREAM</t>
  </si>
  <si>
    <t>OLANZAPINE 5MG ODT</t>
  </si>
  <si>
    <t>OLANZAPINE 7.5MG</t>
  </si>
  <si>
    <t>OLANZAPINE/FLUOXETINE 6-25MG</t>
  </si>
  <si>
    <t>ONE TOUCH ULTRA TEST STRIPS</t>
  </si>
  <si>
    <t>OXCARBAZEPINE 600MG</t>
  </si>
  <si>
    <t>OXYBUTYNIN 10MG ER</t>
  </si>
  <si>
    <t>OXYBUTYNIN 5MG</t>
  </si>
  <si>
    <t>OYSTER CALCIUM 500MG</t>
  </si>
  <si>
    <t>PENTOXIFYLLINE 400MG</t>
  </si>
  <si>
    <t>PIOGLITAZONE 45MG</t>
  </si>
  <si>
    <t>POT CHLORIDE POW 20MEQ</t>
  </si>
  <si>
    <t>PRAZOSIN 2MG</t>
  </si>
  <si>
    <t>PREDNISOLONE AC 1% EYE DROP</t>
  </si>
  <si>
    <t>PREDNISONE 20MG</t>
  </si>
  <si>
    <t>PREDNISONE 5MG</t>
  </si>
  <si>
    <t>PREMARIN VAGINAL CREAM</t>
  </si>
  <si>
    <t>PREZCOBIX 800/150 MG</t>
  </si>
  <si>
    <t>PROCHLORPERAZINE 5MG</t>
  </si>
  <si>
    <t>QUETIAPINE 400MG</t>
  </si>
  <si>
    <t>RENAGEL 800MG</t>
  </si>
  <si>
    <t>RESTASIS 0.05% EYE DROPS</t>
  </si>
  <si>
    <t>RIFABUTIN 150MG</t>
  </si>
  <si>
    <t>SKELAXIN 800MG</t>
  </si>
  <si>
    <t>SMZ-TMP SUS 200-40/5</t>
  </si>
  <si>
    <t>SOVALDI 400MG</t>
  </si>
  <si>
    <t>STAVUDINE 40MG</t>
  </si>
  <si>
    <t>STRATTERA 60 MG CAPSULE</t>
  </si>
  <si>
    <t>SUMATRIPTAN 50MG</t>
  </si>
  <si>
    <t>SURE COMFORT INSULIN SYRINGE  1ML/30G/5/16</t>
  </si>
  <si>
    <t>TACROLIMUS 1MG</t>
  </si>
  <si>
    <t>TAMOXIFEN 20MG</t>
  </si>
  <si>
    <t>TEMAZEPAM 15MG</t>
  </si>
  <si>
    <t>THIOTHIXENE 10 MG CAPSULE</t>
  </si>
  <si>
    <t>TIZANIDINE 2MG</t>
  </si>
  <si>
    <t>TOLTERODINE 2MG ER</t>
  </si>
  <si>
    <t>TOPIRAMATE 200MG</t>
  </si>
  <si>
    <t>TRIAMCINOLONE 0.1% OINT</t>
  </si>
  <si>
    <t>TRIHEXYPHENIDYL 5MG</t>
  </si>
  <si>
    <t>VENLAFAXINE 37.5 ER</t>
  </si>
  <si>
    <t>VIIBRYD 40MG</t>
  </si>
  <si>
    <t>VITAMIN B-6 100MG</t>
  </si>
  <si>
    <t>VITAMIN D 2000UNIT</t>
  </si>
  <si>
    <t>VITAMIN D 400IU CHEWABLE TABS</t>
  </si>
  <si>
    <t>VITAMIN E 400 IU</t>
  </si>
  <si>
    <t>WARFARIN SODIUM 2.5MG</t>
  </si>
  <si>
    <t>WARFARIN SODIUM 2MG</t>
  </si>
  <si>
    <t>ZIPRASIDONE 80MG</t>
  </si>
  <si>
    <t>*ACETAMINOPHEN/COD #3</t>
  </si>
  <si>
    <t>*ACETAMINOPHEN/COD 300-30MG</t>
  </si>
  <si>
    <t>*AMIODARONE 200MG</t>
  </si>
  <si>
    <t>*CLONAZEPAM 0.5MG</t>
  </si>
  <si>
    <t>*CLONIDINE 0.3MG</t>
  </si>
  <si>
    <t>*CLOPIDOGREL 75MG</t>
  </si>
  <si>
    <t>*DRONABINOL 2.5MG</t>
  </si>
  <si>
    <t>*FLUCONAZOLE 100MG</t>
  </si>
  <si>
    <t>*FREESTYLE TEST STRIPS</t>
  </si>
  <si>
    <t>*GABAPENTIN 100MG</t>
  </si>
  <si>
    <t>*IBANDRONATE 150MG</t>
  </si>
  <si>
    <t>*LEVETIRACETAM 750MG</t>
  </si>
  <si>
    <t>*LISINOPRIL 40MG</t>
  </si>
  <si>
    <t>*METHYLPHENIDATE 27MG ER</t>
  </si>
  <si>
    <t>*QVAR 80MCG</t>
  </si>
  <si>
    <t>*SENNA 8.6MG</t>
  </si>
  <si>
    <t>ABILIFY MAINTENA 300MG</t>
  </si>
  <si>
    <t>ACAMPROSATE 333MG</t>
  </si>
  <si>
    <t>ACARBOSE 50MG</t>
  </si>
  <si>
    <t>ACETAMINOPHEN 500MG</t>
  </si>
  <si>
    <t>ACITRETIN 25MG</t>
  </si>
  <si>
    <t>ACZONE GEL 5%</t>
  </si>
  <si>
    <t>ADAPALENE 0.1% GEL</t>
  </si>
  <si>
    <t>ADCIRCA 20MG</t>
  </si>
  <si>
    <t>ADDERALL XR 30MG</t>
  </si>
  <si>
    <t>ADDERALL XR 5MG</t>
  </si>
  <si>
    <t>ADVAIR HFA 115/21</t>
  </si>
  <si>
    <t>AFRIN SINUS SPRAY</t>
  </si>
  <si>
    <t>ALAVERT D 12HR</t>
  </si>
  <si>
    <t>ALBUTEROL/IPRATROPIUM NEB SOLN</t>
  </si>
  <si>
    <t>ALPRAZOLAM 1MG ODT</t>
  </si>
  <si>
    <t>AMANTADINE 100MG</t>
  </si>
  <si>
    <t>AMITRIPTYLINE 100MG</t>
  </si>
  <si>
    <t>AMITRIPTYLINE 150MG</t>
  </si>
  <si>
    <t>AMMONIUM LAC LOT 12%</t>
  </si>
  <si>
    <t>AMOXICILLIN/CLAV 875MG</t>
  </si>
  <si>
    <t>AMPHETAMINE 15MG ER</t>
  </si>
  <si>
    <t>AMPHETAMINE 25MG ER CAPS</t>
  </si>
  <si>
    <t>ANASTROZOLE 1MG</t>
  </si>
  <si>
    <t>ANDROGEL 1.62%</t>
  </si>
  <si>
    <t>ANTACID CHW 500MG</t>
  </si>
  <si>
    <t>APRISO 0.375GM</t>
  </si>
  <si>
    <t>ARIPIPRAZOLE 2MG</t>
  </si>
  <si>
    <t>ARTIFICIAL TEARS SOLUTION</t>
  </si>
  <si>
    <t>ASACOL HD 800MG</t>
  </si>
  <si>
    <t>ASCENSIA CONTOUR 50'S</t>
  </si>
  <si>
    <t>ASMANEX TWISTHALER 220 MCG #60</t>
  </si>
  <si>
    <t>ASPIRIN LOW 81MG EC</t>
  </si>
  <si>
    <t>ATENOLOL/CHLORTHALIDONE 100-25MG</t>
  </si>
  <si>
    <t>AVONEX ADMIN PACK 30 MCG SYR</t>
  </si>
  <si>
    <t>AZATHIOPRINE 50MG</t>
  </si>
  <si>
    <t>AZELASTINE 0.05% DROPS</t>
  </si>
  <si>
    <t>AZELASTINE SPR 0.15%</t>
  </si>
  <si>
    <t>AZITHROMYCIN 200/5ML SUSP</t>
  </si>
  <si>
    <t>BD INSULIN U100 1/2 ML SYRN</t>
  </si>
  <si>
    <t>BD LANCETS 33G</t>
  </si>
  <si>
    <t>BD ULTRA FINE 0.3 ML SYRIN</t>
  </si>
  <si>
    <t>BENAZEPRIL 10MG</t>
  </si>
  <si>
    <t>BENICAR 20MG</t>
  </si>
  <si>
    <t>BENICAR HCT 40/25MG</t>
  </si>
  <si>
    <t>BENZONATATE 100MG</t>
  </si>
  <si>
    <t>BENZOYL PEROXIDE 5% WASH</t>
  </si>
  <si>
    <t>BETAMETHASONE DP 0.05% CREAM</t>
  </si>
  <si>
    <t>BETHANECHOL 10MG</t>
  </si>
  <si>
    <t>BISACODYL 10MG SUPP</t>
  </si>
  <si>
    <t>BRIMONIDINE 0.15% SOLN</t>
  </si>
  <si>
    <t>BRINTELLIX 20MG</t>
  </si>
  <si>
    <t>BUSPIRONE 7.5MG</t>
  </si>
  <si>
    <t>BUTRANS 5MCG/HR PATCH</t>
  </si>
  <si>
    <t>BYDUREON INJ</t>
  </si>
  <si>
    <t>BYETTA INJ 10MCG</t>
  </si>
  <si>
    <t>BYSTOLIC 10MG</t>
  </si>
  <si>
    <t>BYSTOLIC 5MG</t>
  </si>
  <si>
    <t>CALCIPOTRIENE 0.005% CREAM</t>
  </si>
  <si>
    <t>CALCITRIOL 0.25MCG</t>
  </si>
  <si>
    <t>CALCIUM CARB 600MG</t>
  </si>
  <si>
    <t>CALCIUM/D 600MG-200MG</t>
  </si>
  <si>
    <t>CARBAMAZEPIN 100MG ER</t>
  </si>
  <si>
    <t>CARBAMAZEPINE 200MG ER</t>
  </si>
  <si>
    <t>CARBAMAZEPINE 200MG ER CAP</t>
  </si>
  <si>
    <t>CARBAMAZEPINE 400MG ER TABS</t>
  </si>
  <si>
    <t>CARISOPRODOL 350MG</t>
  </si>
  <si>
    <t>CETIRIZINE SOL 5MG/5ML</t>
  </si>
  <si>
    <t>CEVIMELINE 30MG</t>
  </si>
  <si>
    <t>CHLORASEPTIC SPR 1.4%</t>
  </si>
  <si>
    <t>CHLORDIAZEPOXIDE 10MG</t>
  </si>
  <si>
    <t>CHLORPROMAZINE 100 MG TABLET</t>
  </si>
  <si>
    <t>CHLORTHALIDONE 50 MG TABLET</t>
  </si>
  <si>
    <t>CIALIS 5MG</t>
  </si>
  <si>
    <t>CICLOPIROX 0.77% CREAM</t>
  </si>
  <si>
    <t>CLARITHROMYCIN 500MG</t>
  </si>
  <si>
    <t>CLINDAMYCIN 1% SOLUTION</t>
  </si>
  <si>
    <t>CLINDAMYCIN/BENZOYL 1-5% GEL</t>
  </si>
  <si>
    <t>CLOBETASOL 0.05% CREAM</t>
  </si>
  <si>
    <t>CLONAZEPAM 0.25MG ODT</t>
  </si>
  <si>
    <t>CLONAZEPAM 0.5 MG ODT</t>
  </si>
  <si>
    <t>CLONIDINE TTS 2</t>
  </si>
  <si>
    <t>CLONIDINE TTS 3</t>
  </si>
  <si>
    <t>COLCHICINE 0.6MG ER</t>
  </si>
  <si>
    <t>COLESTIPOL 1GM</t>
  </si>
  <si>
    <t>COMBIGAN 0.2/0.5% SOLN</t>
  </si>
  <si>
    <t>COMBIGAN 5ML</t>
  </si>
  <si>
    <t>COMBIVIR 150/300MG</t>
  </si>
  <si>
    <t>COREG CR 10MG</t>
  </si>
  <si>
    <t>COUMADIN 1 MG TABLET</t>
  </si>
  <si>
    <t>COUMADIN 3 MG TABLET</t>
  </si>
  <si>
    <t>CYANOCOBALAMIN 1,000 MCG/ML</t>
  </si>
  <si>
    <t>CYANOCOBALAMIN 100MCG B12</t>
  </si>
  <si>
    <t>CYCLOBENZAPR 5MG</t>
  </si>
  <si>
    <t>DANTROLENE SODIUM 25 MG CAP</t>
  </si>
  <si>
    <t>DARAPRIM 25MG</t>
  </si>
  <si>
    <t>DEPO-TESTOSTERONE 200 MG/ML</t>
  </si>
  <si>
    <t>DESIPRAMINE 25MG</t>
  </si>
  <si>
    <t>DESONIDE   OIN 0.05%</t>
  </si>
  <si>
    <t>DESOXIMETASONE 0.05% CREAM</t>
  </si>
  <si>
    <t>DEXILANT 30MG DR</t>
  </si>
  <si>
    <t>DEXMETHYLPHENIDATE 5MG</t>
  </si>
  <si>
    <t>DIAZEPAM 2MG</t>
  </si>
  <si>
    <t>DICLOFENAC  75MG DR</t>
  </si>
  <si>
    <t>DICYCLOMINE 10MG</t>
  </si>
  <si>
    <t>DIDANOSINE 400MG</t>
  </si>
  <si>
    <t>DIGOXIN 0.25MG</t>
  </si>
  <si>
    <t>DILTIAZEM 120MG CD</t>
  </si>
  <si>
    <t>DILTIAZEM 180MG CD</t>
  </si>
  <si>
    <t>DILTIAZEM 360MG/24</t>
  </si>
  <si>
    <t>DIOVAN 160MG</t>
  </si>
  <si>
    <t>DIOVAN 40 MG TABLET</t>
  </si>
  <si>
    <t>DIOVAN HCT 320-25MG</t>
  </si>
  <si>
    <t>DIPHENHYDRAM 50MG</t>
  </si>
  <si>
    <t>DIPHENOXYLATE/ATROPINE 2.5MG</t>
  </si>
  <si>
    <t>DONEPEZIL 5MG</t>
  </si>
  <si>
    <t>DOXAZOSIN 8MG</t>
  </si>
  <si>
    <t>DOXEPIN 25MG</t>
  </si>
  <si>
    <t>DOXYCYCL HYC 100MG</t>
  </si>
  <si>
    <t>EFFIENT 10MG</t>
  </si>
  <si>
    <t>ELIQUIS 5MG</t>
  </si>
  <si>
    <t>ENALAPRIL 10MG</t>
  </si>
  <si>
    <t>ENOXAPARIN 80/0.8ML</t>
  </si>
  <si>
    <t>EPINASTINE DRO 0.05%</t>
  </si>
  <si>
    <t>EPIVIR 10 MG/ML ORAL SOLN</t>
  </si>
  <si>
    <t>ERYTHROMYCIN EYE OINTMENT</t>
  </si>
  <si>
    <t>ESTRADIOL 0.1MG PATCH</t>
  </si>
  <si>
    <t>ESTRADIOL 0.5MG</t>
  </si>
  <si>
    <t>ESTROPIPATE 1.25(1.5 MG) TAB</t>
  </si>
  <si>
    <t>ESZOPICLONE 3MG</t>
  </si>
  <si>
    <t>EVISTA 60MG</t>
  </si>
  <si>
    <t>EVOTAZ 300MG/150MG</t>
  </si>
  <si>
    <t>EXELON 9.5MG/24HR PATCH</t>
  </si>
  <si>
    <t>EXFORGE 5-160MG</t>
  </si>
  <si>
    <t>FAMCICLOVIR 500MG</t>
  </si>
  <si>
    <t>FAMOTIDINE 40MG</t>
  </si>
  <si>
    <t>FARXIGA 10MG</t>
  </si>
  <si>
    <t>FENOFIBRATE 130MG</t>
  </si>
  <si>
    <t>FENOFIBRATE 160MG</t>
  </si>
  <si>
    <t>FENOFIBRATE 48MG</t>
  </si>
  <si>
    <t>FENOFIBRIC 135MG DR</t>
  </si>
  <si>
    <t>FEXOFENADINE 180MG</t>
  </si>
  <si>
    <t>FLOVENT HFA 220MCG</t>
  </si>
  <si>
    <t>FLUCONAZOLE 150MG</t>
  </si>
  <si>
    <t>FLUDROCORTISONE 0.1 MG TAB</t>
  </si>
  <si>
    <t>FLUPHENAZ DEC INJ 25MG/ML</t>
  </si>
  <si>
    <t>FLUPHENAZINE 10 MG TABLET</t>
  </si>
  <si>
    <t>FLUPHENAZINE DEC 25MG/ML</t>
  </si>
  <si>
    <t>FLUVASTATIN 20MG</t>
  </si>
  <si>
    <t>FOCALIN XR 25MG</t>
  </si>
  <si>
    <t>FORADIL AEROLIZER 12 MCG CAP</t>
  </si>
  <si>
    <t>FOSINOPRIL 20MG</t>
  </si>
  <si>
    <t>FROVA 2.5 MG TABLET</t>
  </si>
  <si>
    <t>GEMFIBROZIL 600MG</t>
  </si>
  <si>
    <t>GLIPIZIDE XL 5 MG TABLET</t>
  </si>
  <si>
    <t>GRISEOFULVIN 250MG</t>
  </si>
  <si>
    <t>GUANFACINE 2MG ER</t>
  </si>
  <si>
    <t>HARVONI 90/400MG</t>
  </si>
  <si>
    <t>HUMULIN R 500 UNITS/ML VIAL</t>
  </si>
  <si>
    <t>HUMULIN R VIAL</t>
  </si>
  <si>
    <t>HYDRALAZINE 10MG</t>
  </si>
  <si>
    <t>HYDROCODONE/APAP 10-325MG</t>
  </si>
  <si>
    <t>HYDROCORTISONE 1% CREAM</t>
  </si>
  <si>
    <t>HYDROCORTISONE 2.5% CREAM</t>
  </si>
  <si>
    <t>HYDROCORTISONE 2.5% OINT</t>
  </si>
  <si>
    <t>HYDROXYZINE HCL 50MG</t>
  </si>
  <si>
    <t>IBANDRONATE 150MG</t>
  </si>
  <si>
    <t>ICY HOT EX-STR.CRM</t>
  </si>
  <si>
    <t>IMIPRAMINE 50MG</t>
  </si>
  <si>
    <t>INDAPAMIDE 1.25MG</t>
  </si>
  <si>
    <t>INTUNIV 3MG</t>
  </si>
  <si>
    <t>INVEGA 3MG</t>
  </si>
  <si>
    <t>INVEGA SUSTENA 234MG/1.5ML</t>
  </si>
  <si>
    <t>IRBESARTAN 150MG</t>
  </si>
  <si>
    <t>ISOSORBIDE MONO 10MG</t>
  </si>
  <si>
    <t>ISOSORBIDE MONO 120MG ER</t>
  </si>
  <si>
    <t>JANUMET 50-1000MG</t>
  </si>
  <si>
    <t>JANUVIA 25MG</t>
  </si>
  <si>
    <t>JUNEL FE 1/20</t>
  </si>
  <si>
    <t>KEPPRA 1000MG</t>
  </si>
  <si>
    <t>KLONOPIN 1 MG TABLET</t>
  </si>
  <si>
    <t>LABETALOL 100MG</t>
  </si>
  <si>
    <t>LACTULOSE 10GM/15ML SOLN</t>
  </si>
  <si>
    <t>LACTULOSE SOL 10GM/15</t>
  </si>
  <si>
    <t>LAMOTRIGINE 25MG</t>
  </si>
  <si>
    <t>LANSOPRAZOLE 30MG DR</t>
  </si>
  <si>
    <t>LATANOPROST SOL 0.005%</t>
  </si>
  <si>
    <t>LATUDA 20MG</t>
  </si>
  <si>
    <t>LATUDA 80MG</t>
  </si>
  <si>
    <t>LEUCOVOR CA 25MG</t>
  </si>
  <si>
    <t>LEVEMIR VIAL</t>
  </si>
  <si>
    <t>LEVETIRACETAM 100MG/ML SOLN</t>
  </si>
  <si>
    <t>LEVETIRACETAM 250MG</t>
  </si>
  <si>
    <t>LEVETIRACETAM 750MG</t>
  </si>
  <si>
    <t>LEVOTHYROXINE 125MCG</t>
  </si>
  <si>
    <t>LEVOTHYROXINE 175MCG</t>
  </si>
  <si>
    <t>LEXIVA 700MG</t>
  </si>
  <si>
    <t>LIDOCAINE 2% SOLN</t>
  </si>
  <si>
    <t>LIDOCAINE 5% OINTMENT</t>
  </si>
  <si>
    <t>LIDOCAINE/PRILOCAINE 2.5-2.5% CRM</t>
  </si>
  <si>
    <t>LINZESS 145MCG</t>
  </si>
  <si>
    <t>LORATADINE D 24HR</t>
  </si>
  <si>
    <t>LORATADINE D 24HR LDR</t>
  </si>
  <si>
    <t>LOSARTAN/HCT 100-12.5</t>
  </si>
  <si>
    <t>LOVASTATIN 10MG</t>
  </si>
  <si>
    <t>LOVAZA 1GM</t>
  </si>
  <si>
    <t>LUNESTA 2MG</t>
  </si>
  <si>
    <t>LUNESTA 3MG</t>
  </si>
  <si>
    <t>LYRICA 200MG CAPSULE</t>
  </si>
  <si>
    <t>LYRICA 50MG</t>
  </si>
  <si>
    <t>LYRICA 75MG</t>
  </si>
  <si>
    <t>MECLIZINE  25MG</t>
  </si>
  <si>
    <t>MEDROXYPROGESTERONE 5MG</t>
  </si>
  <si>
    <t>MEGESTROL 40MG</t>
  </si>
  <si>
    <t>METHAZOLAMIDE 50MG</t>
  </si>
  <si>
    <t>METHENAMINE HIPPURATE 1GM</t>
  </si>
  <si>
    <t>METHIMAZOLE 5MG</t>
  </si>
  <si>
    <t>METHOCARBAM 750MG</t>
  </si>
  <si>
    <t>METHOCARBAMOL 500MG</t>
  </si>
  <si>
    <t>METHOTREXATE 25 MG/ML VIAL</t>
  </si>
  <si>
    <t>METHYLPHENIDATE 20MG</t>
  </si>
  <si>
    <t>MIDODRINE 2.5MG</t>
  </si>
  <si>
    <t>MINOXIDIL 10 MG TABLET</t>
  </si>
  <si>
    <t>MIRTAZAPINE 15MG ODT</t>
  </si>
  <si>
    <t>MOMETASONE 0.1% CREAM</t>
  </si>
  <si>
    <t>MOMETASONE 0.1% OINT</t>
  </si>
  <si>
    <t>MORPHINE ER 30MG</t>
  </si>
  <si>
    <t>MUCINEX 600MG ER</t>
  </si>
  <si>
    <t>MUCINEX DM 30-600ER</t>
  </si>
  <si>
    <t>MULTAQ 400MG</t>
  </si>
  <si>
    <t>MUPIROCIN 2% OINTMENT</t>
  </si>
  <si>
    <t>MYFORTIC 360 MG TABLET</t>
  </si>
  <si>
    <t>MYRBETRIQ 25MG</t>
  </si>
  <si>
    <t>MYRBETRIQ 50MG</t>
  </si>
  <si>
    <t>NALTREXONE 50MG</t>
  </si>
  <si>
    <t>NAMENDA 10MG</t>
  </si>
  <si>
    <t>NAMENDA XR 21MG</t>
  </si>
  <si>
    <t>NAPROXEN 375MG</t>
  </si>
  <si>
    <t>NEVIRAPINE ER 400MG</t>
  </si>
  <si>
    <t>NEXIUM GRANULES 40MG DR</t>
  </si>
  <si>
    <t>NIACIN ER 1000MG</t>
  </si>
  <si>
    <t>NISOLDIPINE 8.5MG ER</t>
  </si>
  <si>
    <t>NORTREL 1/35 TABLET</t>
  </si>
  <si>
    <t>NORTRIPTYLINE 25MG</t>
  </si>
  <si>
    <t>NORVIR 80 MG/ML SOLUTION</t>
  </si>
  <si>
    <t>NOVOLIN N 100 UNITS/ML VIAL</t>
  </si>
  <si>
    <t>NOVOLOG MIX 70/30 FLEXPEN</t>
  </si>
  <si>
    <t>NUVIGIL 150MG</t>
  </si>
  <si>
    <t>NYAMYC POWDER 100MU/GM</t>
  </si>
  <si>
    <t>OLANZA/FLUOX 6-50MG</t>
  </si>
  <si>
    <t>OMEPRAZOLE 20MG TABS</t>
  </si>
  <si>
    <t>OMEPRAZOLE/BICARB 40-1100</t>
  </si>
  <si>
    <t>ONDANSETRON 4MG ODT</t>
  </si>
  <si>
    <t>ONDANSETRON 8MG</t>
  </si>
  <si>
    <t>ONE TOUCH ULTRASOFT LANCETS</t>
  </si>
  <si>
    <t>ONETOUCH ULTRASOFT LANCETS</t>
  </si>
  <si>
    <t>ONGLYZA 5MG</t>
  </si>
  <si>
    <t>OPTICHAMBER</t>
  </si>
  <si>
    <t>OXYCODONE 5MG</t>
  </si>
  <si>
    <t>OXYCODONE/APAP 5-325MG</t>
  </si>
  <si>
    <t>PAROXETINE 10MG</t>
  </si>
  <si>
    <t>PERFOROMIST 20MCG NEB SOLN</t>
  </si>
  <si>
    <t>PERPHENAZINE 2MG</t>
  </si>
  <si>
    <t>PHENOBARBITAL 32.4MG</t>
  </si>
  <si>
    <t>PHENTERMINE 30MG</t>
  </si>
  <si>
    <t>PHENTERMINE 37.5MG</t>
  </si>
  <si>
    <t>PHENYLEPHRINE/GG TABLET LA</t>
  </si>
  <si>
    <t>POLYETHYLENE GLYCOL 255GM</t>
  </si>
  <si>
    <t>POTASSIUM 10% S/F SOLN</t>
  </si>
  <si>
    <t>POTASSIUM CITRATE 540MG</t>
  </si>
  <si>
    <t>PRAZOSIN 5MG</t>
  </si>
  <si>
    <t>PREDNISONE 2.5MG</t>
  </si>
  <si>
    <t>PREMARIN 0.625MG</t>
  </si>
  <si>
    <t>PREZISTA 100MG/ML SUSP</t>
  </si>
  <si>
    <t>PRISTIQ 50MG</t>
  </si>
  <si>
    <t>PROCTOZONE-HC 2.5% CREAM</t>
  </si>
  <si>
    <t>PRODIGY TEST STRIPS</t>
  </si>
  <si>
    <t>PROMETHAZINE 12.5MG</t>
  </si>
  <si>
    <t>PROPRANOLOL 20MG</t>
  </si>
  <si>
    <t>PROPRANOLOL 40MG</t>
  </si>
  <si>
    <t>PROPRANOLOL 60MG ER</t>
  </si>
  <si>
    <t>PROPRANOLOL 80 MG TABLET</t>
  </si>
  <si>
    <t>PULMICORT INH 180MCG</t>
  </si>
  <si>
    <t>Q-DRYL 12.5MG/5ML</t>
  </si>
  <si>
    <t>Q-TUSSIN DM 100MG/10MG/5ML</t>
  </si>
  <si>
    <t>QNAPRIL/HCTZ 20-12.5</t>
  </si>
  <si>
    <t>QUINAPRIL 40MG</t>
  </si>
  <si>
    <t>RAMIPRIL 10MG</t>
  </si>
  <si>
    <t>RAPAFLO 8MG</t>
  </si>
  <si>
    <t>RENVELA 0.8GM PAK</t>
  </si>
  <si>
    <t>REYATAZ 200MG</t>
  </si>
  <si>
    <t>RIBAVIRIN 200MG TABS</t>
  </si>
  <si>
    <t>RIFAMPIN 300MG</t>
  </si>
  <si>
    <t>RISPERIDONE 1MG/ML SOLN</t>
  </si>
  <si>
    <t>ROZEREM 8MG</t>
  </si>
  <si>
    <t>SALINE MIST SPR 0.65%</t>
  </si>
  <si>
    <t>SANTYL OINT 30GRAM</t>
  </si>
  <si>
    <t>SAPHRIS SUB 5MG</t>
  </si>
  <si>
    <t>SEA SOFT 0.65% NS</t>
  </si>
  <si>
    <t>SEA-OMEGA 30 1200MG</t>
  </si>
  <si>
    <t>SELENIUM 200MCG</t>
  </si>
  <si>
    <t>SELENIUM SULFIDE 2.5% SHAMPOO</t>
  </si>
  <si>
    <t>SENSIPAR 90MG</t>
  </si>
  <si>
    <t>SILDENAFIL 20MG</t>
  </si>
  <si>
    <t>SILVER SULFADIAZINE 1% CREAM</t>
  </si>
  <si>
    <t>SIMBRINZA SUS 1-0.2%</t>
  </si>
  <si>
    <t>SIMVASTATIN 10MG</t>
  </si>
  <si>
    <t>SOLODYN 80MG</t>
  </si>
  <si>
    <t>SPIRONOLACTONE/HCTZ 25/25</t>
  </si>
  <si>
    <t>SPRINTEC</t>
  </si>
  <si>
    <t>STRATTERA 18MG</t>
  </si>
  <si>
    <t>STRATTERA 40MG</t>
  </si>
  <si>
    <t>SUDOGEST 120MG ER</t>
  </si>
  <si>
    <t>SULFASALAZINE 500 MG TABLET</t>
  </si>
  <si>
    <t>SULFAZINE 500MG</t>
  </si>
  <si>
    <t>SUMATRIPTAN 100MG</t>
  </si>
  <si>
    <t>TANZEUM INJ 50MG</t>
  </si>
  <si>
    <t>TEGRETOL XR 100 MG TABLET SA</t>
  </si>
  <si>
    <t>TERAZOSIN 1MG</t>
  </si>
  <si>
    <t>THEO-24 300 MG CAPSULE SA</t>
  </si>
  <si>
    <t>THIAMINE 50MG B1</t>
  </si>
  <si>
    <t>THIOTHIXENE 2MG</t>
  </si>
  <si>
    <t>TOBRAMYCIN 0.3% EYE DROPS</t>
  </si>
  <si>
    <t>TORSEMIDE 100MG</t>
  </si>
  <si>
    <t>TORSEMIDE 20MG</t>
  </si>
  <si>
    <t>TRAMADOL 300MG ER</t>
  </si>
  <si>
    <t>TRANDOLAPRIL 4MG</t>
  </si>
  <si>
    <t>TRAZODONE 300MG</t>
  </si>
  <si>
    <t>TRIAMCINOLON OIN 0.1%</t>
  </si>
  <si>
    <t>TRIAMCINOLONE 0.025% CREAM</t>
  </si>
  <si>
    <t>TRIAMCINOLONE 0.5% CREAM</t>
  </si>
  <si>
    <t>TRIAMTERENE/HCTZ 37.5-25MG CAP</t>
  </si>
  <si>
    <t>TRIAZOLAM 0.25 MG TABLET</t>
  </si>
  <si>
    <t>TRIFLUOPERAZINE 1MG</t>
  </si>
  <si>
    <t>TRIHEXYPHENIDYL 2MG</t>
  </si>
  <si>
    <t>TRIVEEN-DUO PAK DHA</t>
  </si>
  <si>
    <t>URSODIOL 300MG</t>
  </si>
  <si>
    <t>VALGANCICLOVIR 450MG</t>
  </si>
  <si>
    <t>VALPROIC ACID 250MG CAP</t>
  </si>
  <si>
    <t>VALSART/HCTZ 320-25MG</t>
  </si>
  <si>
    <t>VALSARTAN 80MG</t>
  </si>
  <si>
    <t>VALTREX 1GM</t>
  </si>
  <si>
    <t>VERAPAMIL 120MG TAB</t>
  </si>
  <si>
    <t>VERAPAMIL 240MG ER</t>
  </si>
  <si>
    <t>VIAGRA 50MG</t>
  </si>
  <si>
    <t>VIIBRYD 20MG</t>
  </si>
  <si>
    <t>VIREAD 150MG</t>
  </si>
  <si>
    <t>VITAMIN B-6 50MG</t>
  </si>
  <si>
    <t>VITAMIN C 500MG</t>
  </si>
  <si>
    <t>VITAMIN D 400UNIT LIQUID</t>
  </si>
  <si>
    <t>VITAMIN E 400UNIT</t>
  </si>
  <si>
    <t>VORICONAZOLE 200MG</t>
  </si>
  <si>
    <t>WARFARIN 1MG</t>
  </si>
  <si>
    <t>WARFARIN SODIUM 6MG</t>
  </si>
  <si>
    <t>WELCHOL 625MG</t>
  </si>
  <si>
    <t>XIFAXAN 550MG</t>
  </si>
  <si>
    <t>XOPENEX HFA</t>
  </si>
  <si>
    <t>ZAFIRLUKAST 20 MG</t>
  </si>
  <si>
    <t>ZALEPLON 10MG</t>
  </si>
  <si>
    <t>ZIAGEN 20 MG/ML SOLUTION</t>
  </si>
  <si>
    <t>ZIPRASIDONE 40MG</t>
  </si>
  <si>
    <t>ZIPRASIDONE 60MG</t>
  </si>
  <si>
    <t>ZONISAMIDE 100MG</t>
  </si>
  <si>
    <t>Insulin lispro</t>
  </si>
  <si>
    <t>Humalog</t>
  </si>
  <si>
    <t>Rapid-acting insulin</t>
  </si>
  <si>
    <t>Insulin aspart</t>
  </si>
  <si>
    <t>NovoLog</t>
  </si>
  <si>
    <t>Insulin glulisine</t>
  </si>
  <si>
    <t>Apidra</t>
  </si>
  <si>
    <t>Insulin</t>
  </si>
  <si>
    <t>Humilin R (Regular), U-100 and U-500, Novolin R</t>
  </si>
  <si>
    <t>Short-acting insulin</t>
  </si>
  <si>
    <t>Humulin N, Novolin N</t>
  </si>
  <si>
    <t>Intermediate-acting Insulin</t>
  </si>
  <si>
    <t>Insulin glargine</t>
  </si>
  <si>
    <t>Lantus</t>
  </si>
  <si>
    <t>Long-acting Insulin</t>
  </si>
  <si>
    <t>Insulin detemir</t>
  </si>
  <si>
    <t>Levemir</t>
  </si>
  <si>
    <t>Neutral Protamine Hagedorn (NPH) Insulin</t>
  </si>
  <si>
    <t>exenatide</t>
  </si>
  <si>
    <t>Byetta, Bydureon (Long acting)</t>
  </si>
  <si>
    <t>GLP-1 agonist</t>
  </si>
  <si>
    <t>Victoza</t>
  </si>
  <si>
    <t>pramlintide</t>
  </si>
  <si>
    <t>Symlin</t>
  </si>
  <si>
    <t>Amylinomimetic</t>
  </si>
  <si>
    <t>Injection</t>
  </si>
  <si>
    <t>Acetohexamide</t>
  </si>
  <si>
    <t xml:space="preserve">
Metabolized in liver; metabolite potency equal to parent compound; renally eliminated</t>
  </si>
  <si>
    <t>Dymelor</t>
  </si>
  <si>
    <t>1 to 3</t>
  </si>
  <si>
    <t>Sulfonylurea</t>
  </si>
  <si>
    <t>Chlorpropamide</t>
  </si>
  <si>
    <t>100–250</t>
  </si>
  <si>
    <t>Metabolized in liver; also excreted unchanged renally</t>
  </si>
  <si>
    <t>Dose in the Elderly</t>
  </si>
  <si>
    <t>Metabolized in liver; metabolite less active than parent compound; renally eliminated</t>
  </si>
  <si>
    <t>500-1000</t>
  </si>
  <si>
    <t>1000-2000 mg/day</t>
  </si>
  <si>
    <t>Metabolized in liver to inactive metabolites that are renally excreted</t>
  </si>
  <si>
    <t>2.5-5</t>
  </si>
  <si>
    <t>Metabolized in liver to inactive metabolites</t>
  </si>
  <si>
    <t>1.25-2.5</t>
  </si>
  <si>
    <t>Metabolized in liver; elimination one half renal, one half feces. Two active metabolites.</t>
  </si>
  <si>
    <t>0.5-1</t>
  </si>
  <si>
    <t>1-2</t>
  </si>
  <si>
    <t>Short-acting insulin secretagogues</t>
  </si>
  <si>
    <t>360 mg (120*TID)</t>
  </si>
  <si>
    <t>120 mg with meals</t>
  </si>
  <si>
    <t>Metabolized by cytochrome P450 (CYP450) 2C9 and 3A4 to weakly active metabolites; renally eliminated</t>
  </si>
  <si>
    <t>3A4;2C9</t>
  </si>
  <si>
    <t>Caution with gemfibrozil or trimethoprim - potential hypoglycemia</t>
  </si>
  <si>
    <t>2,550 mg/day</t>
  </si>
  <si>
    <t>Assess renal function</t>
  </si>
  <si>
    <t>No metabolism; renally secreted and excreted; for ER formulation: Take full dose with evening meal or may split dose; may consider trial if intolerant to immediate release</t>
  </si>
  <si>
    <t>Diabinese</t>
  </si>
  <si>
    <t>Tolinase</t>
  </si>
  <si>
    <t>Orinase</t>
  </si>
  <si>
    <t>Glucotrol</t>
  </si>
  <si>
    <t>Amaryl</t>
  </si>
  <si>
    <t>Starlix</t>
  </si>
  <si>
    <t>Prandin</t>
  </si>
  <si>
    <t>Glucophage</t>
  </si>
  <si>
    <t>DiaBeta, Micronase</t>
  </si>
  <si>
    <t>Nateglinide</t>
  </si>
  <si>
    <t xml:space="preserve">Repaglinide </t>
  </si>
  <si>
    <t>Metformin</t>
  </si>
  <si>
    <t>Glimepiride</t>
  </si>
  <si>
    <t xml:space="preserve">Tolazamide </t>
  </si>
  <si>
    <t xml:space="preserve">Tolbutamide </t>
  </si>
  <si>
    <t xml:space="preserve">Glipizide </t>
  </si>
  <si>
    <t xml:space="preserve">Glyburide </t>
  </si>
  <si>
    <t>Furosemide</t>
  </si>
  <si>
    <t>Torsemide</t>
  </si>
  <si>
    <t>Bumex, Dyumex</t>
  </si>
  <si>
    <t>Cardizem CD, Cartia XT, Dilacor, XR, Diltia XT, Tiazac, Taztia XT</t>
  </si>
  <si>
    <t>Biguanides</t>
  </si>
  <si>
    <t>Thiazolidinediones</t>
  </si>
  <si>
    <t>α-Glucosidase inhibitors</t>
  </si>
  <si>
    <t>25 mg</t>
  </si>
  <si>
    <t>45 mg/day</t>
  </si>
  <si>
    <t>15 mg/day</t>
  </si>
  <si>
    <t>2-4 mg/day</t>
  </si>
  <si>
    <t>8 mg/day</t>
  </si>
  <si>
    <t>Actos</t>
  </si>
  <si>
    <t>Avandia</t>
  </si>
  <si>
    <t>Metabolized by CYP2C8 and 3A4; two active metabolites have longer half-lives than parent compound</t>
  </si>
  <si>
    <t>Limited availability. Continuation of therapy or unable to take pioglitazone. Clinician/patient sign that known risk of MI</t>
  </si>
  <si>
    <t>Precose</t>
  </si>
  <si>
    <t>1 to 3 times a day</t>
  </si>
  <si>
    <t>Eliminated in bile. Slow titration key for tolerability. With meals.</t>
  </si>
  <si>
    <t>Eliminated renally.</t>
  </si>
  <si>
    <t>Glyset</t>
  </si>
  <si>
    <t>25-100 mg TID</t>
  </si>
  <si>
    <t>DPP-4 Inhibitors</t>
  </si>
  <si>
    <t>Januvia</t>
  </si>
  <si>
    <t>25-100 based on renal function</t>
  </si>
  <si>
    <t>50 mg daily if estimated Creatinine clearance &gt;30  to &lt;50 mL/min; 25 mg if Creatinine clearance &lt;30 mL/min</t>
  </si>
  <si>
    <t>stage 4 = 50 mg, stage 5 CKD = 25 mg</t>
  </si>
  <si>
    <t>2.5 mg if CrCl &lt;50 mL/min</t>
  </si>
  <si>
    <t>12.5 mg in CrCl &lt;60 mL/min; 6.25 mg in CrCl &lt;30 mL/min.</t>
  </si>
  <si>
    <t>Onglyza</t>
  </si>
  <si>
    <t>2.5 mg daily if CrCl &lt;50 mL/min or if on strong inhibitors of CYP3A4/5</t>
  </si>
  <si>
    <t>3A4/5</t>
  </si>
  <si>
    <t>2C8; 3A4</t>
  </si>
  <si>
    <t>2.5-5 based on renal function</t>
  </si>
  <si>
    <t>Tradjenta</t>
  </si>
  <si>
    <t>Not substantially eliminated by renal, found in feces. Do not use with strong inducer of CYP 3A4/p-glycoprotein</t>
  </si>
  <si>
    <t xml:space="preserve">Linagliptin </t>
  </si>
  <si>
    <t>Nesina</t>
  </si>
  <si>
    <t>~75% eliminated unchanged in urine. 12.5 mg for CrCl &lt;60 mL/min, 6.25 &lt;20 mL/min</t>
  </si>
  <si>
    <t>Alogliptin</t>
  </si>
  <si>
    <t>Welchol</t>
  </si>
  <si>
    <t>Colesevelam</t>
  </si>
  <si>
    <t>6 tablets daily or 3 tablets BID</t>
  </si>
  <si>
    <t>Constipation may occur. Take with meal. Drug-Drug absorption interactions present. May increase triglycerides; contraindicated if TG &gt;500 mg/dL</t>
  </si>
  <si>
    <t>Bromocriptine mesylate</t>
  </si>
  <si>
    <t>Cycloset</t>
  </si>
  <si>
    <t>1.6-4.8 mg daily</t>
  </si>
  <si>
    <t>4.8 mg daily</t>
  </si>
  <si>
    <t>Dopamine agonist</t>
  </si>
  <si>
    <t>Take within 2 hours of rising with food. Significant nausea, other side effects and drug-drug, drug-disease interactions may occur.</t>
  </si>
  <si>
    <t>Pioglitazone</t>
  </si>
  <si>
    <t>Rosiglitazone</t>
  </si>
  <si>
    <t>Acarbose</t>
  </si>
  <si>
    <t>Miglitol</t>
  </si>
  <si>
    <t>Sitagliptin</t>
  </si>
  <si>
    <t>Saxagliptin</t>
  </si>
  <si>
    <t>2C9?</t>
  </si>
  <si>
    <t>Diabetes, Hyperlipidemia</t>
  </si>
  <si>
    <t>Colestipol</t>
  </si>
  <si>
    <t>Cholestyramine</t>
  </si>
  <si>
    <t>Niacin</t>
  </si>
  <si>
    <t>Gemfibrozil</t>
  </si>
  <si>
    <t>Fenofibrate</t>
  </si>
  <si>
    <t>Lovastatin</t>
  </si>
  <si>
    <t>Pravastatin</t>
  </si>
  <si>
    <t>Simvastatin</t>
  </si>
  <si>
    <t>Fluvastatin</t>
  </si>
  <si>
    <t>Atorvastatin</t>
  </si>
  <si>
    <t>Rosuvastatin</t>
  </si>
  <si>
    <t>Ezetimibe</t>
  </si>
  <si>
    <t>Mipomersen</t>
  </si>
  <si>
    <t>Lomitapide</t>
  </si>
  <si>
    <t>Questran, Cholybar</t>
  </si>
  <si>
    <t>Colestid</t>
  </si>
  <si>
    <t>4.375 g/day</t>
  </si>
  <si>
    <t>10 g twice daily</t>
  </si>
  <si>
    <t>30 g</t>
  </si>
  <si>
    <t>Bulk Powder</t>
  </si>
  <si>
    <t>Bulk Powder, bar</t>
  </si>
  <si>
    <t>8 g three times a day</t>
  </si>
  <si>
    <t>32 g daily</t>
  </si>
  <si>
    <t>2 g three times a day</t>
  </si>
  <si>
    <t>9 g daily</t>
  </si>
  <si>
    <t>Niacin ER</t>
  </si>
  <si>
    <t>Niaspan</t>
  </si>
  <si>
    <t>Tricor</t>
  </si>
  <si>
    <t>54 or 67 mg</t>
  </si>
  <si>
    <t>201 mg</t>
  </si>
  <si>
    <t>Lopid</t>
  </si>
  <si>
    <t>600 mg BID</t>
  </si>
  <si>
    <t>1.5 grams</t>
  </si>
  <si>
    <t>Mevacor</t>
  </si>
  <si>
    <t>Pravachol</t>
  </si>
  <si>
    <t>20-40</t>
  </si>
  <si>
    <t>10-20</t>
  </si>
  <si>
    <t>Zocor</t>
  </si>
  <si>
    <t>Lipitor</t>
  </si>
  <si>
    <t>Crestor</t>
  </si>
  <si>
    <t>Pitavastatin</t>
  </si>
  <si>
    <t>Livalo</t>
  </si>
  <si>
    <t>Zetia</t>
  </si>
  <si>
    <t>Omega-3 acid ethyl esters</t>
  </si>
  <si>
    <t>Lovaza</t>
  </si>
  <si>
    <t>5 mg daily increasing at 2 week intervals to response or maximum dose; dose 2 hours after evening meal</t>
  </si>
  <si>
    <t>60 mg</t>
  </si>
  <si>
    <t>200 mg weekly</t>
  </si>
  <si>
    <t>subcutaneous</t>
  </si>
  <si>
    <t>4 g</t>
  </si>
  <si>
    <t>2x2 or 4x1</t>
  </si>
  <si>
    <t>HMG-CoA reductase inhibitor</t>
  </si>
  <si>
    <t>Bile acid sequestrants</t>
  </si>
  <si>
    <t>None</t>
  </si>
  <si>
    <t>2C9</t>
  </si>
  <si>
    <t>2C9/2C19</t>
  </si>
  <si>
    <t>UGT1A3/UGT2B7</t>
  </si>
  <si>
    <t>Half-life: 3 hours</t>
  </si>
  <si>
    <t>Half-life: 1.8 hours</t>
  </si>
  <si>
    <t>Half-life: 2 hours</t>
  </si>
  <si>
    <t>Half-life: 1.2 hours</t>
  </si>
  <si>
    <t>Half-life: 7-14 hours</t>
  </si>
  <si>
    <t>Half-life: 13-20 hours</t>
  </si>
  <si>
    <t>Half-life: 12 hours</t>
  </si>
  <si>
    <t>Fibric Acid derivative</t>
  </si>
  <si>
    <t>Blood Pressure</t>
  </si>
  <si>
    <t>Total Cholesterol, HDL-C, LDL-C, Triglycerides</t>
  </si>
  <si>
    <t>EKG</t>
  </si>
  <si>
    <t>TSH, Free T3, Free T4</t>
  </si>
  <si>
    <t>SIRS criteria, immunity studies</t>
  </si>
  <si>
    <t>HIV ELISA 3rd or 4th generation, HIV Western Blot, AIDS related illness immunity studies, CD4+ count, HIV viral load</t>
  </si>
  <si>
    <t>Stroke</t>
  </si>
  <si>
    <t>Aphasia, Apraxia</t>
  </si>
  <si>
    <t>OGTT</t>
  </si>
  <si>
    <t>Oral Glucose Tolerance Test</t>
  </si>
  <si>
    <t>IFG</t>
  </si>
  <si>
    <t>Impaired Fasting Glucose</t>
  </si>
  <si>
    <t>Pre-diabetes</t>
  </si>
  <si>
    <t>IGT</t>
  </si>
  <si>
    <t>Impaired Glucose Tolerance</t>
  </si>
  <si>
    <t>Body Mass Index</t>
  </si>
  <si>
    <t>DM</t>
  </si>
  <si>
    <t>Diabetes Mellitus</t>
  </si>
  <si>
    <t>Ideal Body Weight</t>
  </si>
  <si>
    <t>General</t>
  </si>
  <si>
    <t>DPP-IV</t>
  </si>
  <si>
    <t>Dipeptidyl Peptidase 4</t>
  </si>
  <si>
    <t>This is a test where the patient is given 75g of glucose and then their blood glucose is assessed over time.</t>
  </si>
  <si>
    <t>This is a type of pre-diabetes</t>
  </si>
  <si>
    <t>This is a calculation, used to assess body weight.</t>
  </si>
  <si>
    <t>This is a disease</t>
  </si>
  <si>
    <t>This is a calculation, used to assess lean body weight.</t>
  </si>
  <si>
    <t>This is an enzyme. There is a class of drugs that inhibits it, used to treat Diabetes.</t>
  </si>
  <si>
    <r>
      <t>PPAR</t>
    </r>
    <r>
      <rPr>
        <sz val="11"/>
        <color theme="1"/>
        <rFont val="Times New Roman"/>
        <family val="1"/>
      </rPr>
      <t>ɤ</t>
    </r>
  </si>
  <si>
    <t>Peroxisome proliferator-activated receptor gamma</t>
  </si>
  <si>
    <t>This is a receptor. It regulates glucose and lipid uptake.</t>
  </si>
  <si>
    <t>GLP-1</t>
  </si>
  <si>
    <t>Glucagon like peptide 1</t>
  </si>
  <si>
    <t>This is a hormone. There is a class of drugs associated with it, that is used to treat Diabetes.</t>
  </si>
  <si>
    <t>HHNS</t>
  </si>
  <si>
    <t>Hyperosmolar Hyperglycemic Nonketotic Syndrome</t>
  </si>
  <si>
    <t>This is a severe complication of Type 2 Diabetes.</t>
  </si>
  <si>
    <t>PCOS</t>
  </si>
  <si>
    <t>Polycystic Ovary Syndrome</t>
  </si>
  <si>
    <t>This is a syndrome that is associated with the development of Diabetes.</t>
  </si>
  <si>
    <t>DKA</t>
  </si>
  <si>
    <t>Diabetic Ketoacidosis</t>
  </si>
  <si>
    <t>This ia severe complication of Type 1 Diabetes</t>
  </si>
  <si>
    <t>PVD</t>
  </si>
  <si>
    <t>PAD</t>
  </si>
  <si>
    <t>SGLT-2</t>
  </si>
  <si>
    <t>Sodium Glucose Transporter 2</t>
  </si>
  <si>
    <t>This is a transporter in the kidney. There is a class of drugs that inhibits it, used to treat Diabetes.</t>
  </si>
  <si>
    <t>http://www.accesspharmacy.com/content.aspx?aID=7990956</t>
  </si>
  <si>
    <t>Gluconeogenesis</t>
  </si>
  <si>
    <t>Glucogenolysis</t>
  </si>
  <si>
    <t>Hyperglycemia</t>
  </si>
  <si>
    <t>Polyuria</t>
  </si>
  <si>
    <t>Polydipsia</t>
  </si>
  <si>
    <t>Glucouria</t>
  </si>
  <si>
    <t>Polyphagia</t>
  </si>
  <si>
    <t>Ketonemia</t>
  </si>
  <si>
    <t>Ketonuria</t>
  </si>
  <si>
    <t>Incretin</t>
  </si>
  <si>
    <t>Liver production of glucose</t>
  </si>
  <si>
    <t>Liver breakdown of glycogen to glucose</t>
  </si>
  <si>
    <t>High blood sugar</t>
  </si>
  <si>
    <t>glucose in the urine</t>
  </si>
  <si>
    <t>excessive frequency of urination</t>
  </si>
  <si>
    <t>excessive thirst</t>
  </si>
  <si>
    <t>excessive hunger</t>
  </si>
  <si>
    <t>ketones in the blood</t>
  </si>
  <si>
    <t>ketones in the urine</t>
  </si>
  <si>
    <t>Effect of oral glucose on insulin levels compared to IV glucose</t>
  </si>
  <si>
    <t>Age &gt;45, Overweight, Physical Inactivity, Family history, High-risk ethnicity, Pre-diabetes, HTN, HLD, CVD, GDM, Macrosomy, PCOS</t>
  </si>
  <si>
    <t>Unknown</t>
  </si>
  <si>
    <t>Metformin 500 mg</t>
  </si>
  <si>
    <t>Microaneurysms of the retinal capillaries</t>
  </si>
  <si>
    <t>On an eye exam, you can see damage to the blood vessels in the back of the eye.</t>
  </si>
  <si>
    <t>HgbA1c, FPG, Two-hour post-prandial glucose, Serum Glucose, Urine albumin:Creatinine ratio, C-peptide, Serum osmolality, Electrolytes, BUN and Creatinine</t>
  </si>
  <si>
    <t>Blood Urea Nitrogen</t>
  </si>
  <si>
    <t>This is a measure of the concentration of urea in the blood. Since Urea is the body's way of eliminating nitrogen, it is a measure of nitrogen.</t>
  </si>
  <si>
    <t>HARDUP</t>
  </si>
  <si>
    <t>Metabolic acidosis with a normal anion gap.</t>
  </si>
  <si>
    <t>This is an acronym to help remember etiologies of metabolic acidosis with a normal anion gap</t>
  </si>
  <si>
    <t>Hyperalimentation, Acetazolamide, Renal Tubular Acidosis, Diarrhea, Uterosigmoidostomy, Pancreatic Fistula</t>
  </si>
  <si>
    <t>MUDPIES</t>
  </si>
  <si>
    <t>FiO2</t>
  </si>
  <si>
    <t>Fraction of Inspired Oxygen</t>
  </si>
  <si>
    <t>Acid-Base Disorders</t>
  </si>
  <si>
    <t>Methanol ingestion, Uremia, Diabetic Ketoacidosis, Propylene Glycol ingestion, Ischemia with lactic acidosis, Ethylene glycol ingestion, Salicylate intoxication.</t>
  </si>
  <si>
    <t>Elevated Anion Gap metabolic acidosis</t>
  </si>
  <si>
    <t>This is an acronym to help remember etiologies of metabolic acidosis with a n elevated anion gap.</t>
  </si>
  <si>
    <t>SaO2</t>
  </si>
  <si>
    <t>Oxygen Saturation</t>
  </si>
  <si>
    <t>RR</t>
  </si>
  <si>
    <t>Fistula</t>
  </si>
  <si>
    <t>Ileostomy</t>
  </si>
  <si>
    <t>Hypercapnia</t>
  </si>
  <si>
    <t>poliomyelitis</t>
  </si>
  <si>
    <t>Multiple Sclerosis</t>
  </si>
  <si>
    <t>Paresthesia</t>
  </si>
  <si>
    <t>Papilledema</t>
  </si>
  <si>
    <t>Paresis</t>
  </si>
  <si>
    <t>Hypoxemia</t>
  </si>
  <si>
    <t>Syncope</t>
  </si>
  <si>
    <t>Fainting</t>
  </si>
  <si>
    <t>Breathing fast</t>
  </si>
  <si>
    <t>a calculation</t>
  </si>
  <si>
    <t>things are connected that shouldn't be</t>
  </si>
  <si>
    <t>tube going into the intestine</t>
  </si>
  <si>
    <t>high blood CO2</t>
  </si>
  <si>
    <t>Polio</t>
  </si>
  <si>
    <t>MS</t>
  </si>
  <si>
    <t>fluid behind the eyes</t>
  </si>
  <si>
    <t>weakness/paralysis</t>
  </si>
  <si>
    <t>low blood oxygen</t>
  </si>
  <si>
    <t>Total Cholesterol</t>
  </si>
  <si>
    <t>http://www.accesspharmacy.com/content.aspx?aID=57484802</t>
  </si>
  <si>
    <t>Serum pH, HCO2, pCO2, pO2, SaO2, HR, RR, FiO2</t>
  </si>
  <si>
    <t>BP</t>
  </si>
  <si>
    <t>MAP</t>
  </si>
  <si>
    <t>JNC7/JNC8</t>
  </si>
  <si>
    <t>SBP</t>
  </si>
  <si>
    <t>DBP</t>
  </si>
  <si>
    <t>ISH</t>
  </si>
  <si>
    <t>RAAS</t>
  </si>
  <si>
    <t>CO</t>
  </si>
  <si>
    <t>TPR</t>
  </si>
  <si>
    <t>PVR</t>
  </si>
  <si>
    <t>TOD</t>
  </si>
  <si>
    <t>LVH</t>
  </si>
  <si>
    <t>RAS</t>
  </si>
  <si>
    <t>CHD</t>
  </si>
  <si>
    <t>CAD</t>
  </si>
  <si>
    <t>CVD</t>
  </si>
  <si>
    <t>CVA</t>
  </si>
  <si>
    <t>TIA</t>
  </si>
  <si>
    <t>AAA</t>
  </si>
  <si>
    <t>ESRD</t>
  </si>
  <si>
    <t>CABG</t>
  </si>
  <si>
    <t>ACE</t>
  </si>
  <si>
    <t>Peripheral Venous Disease</t>
  </si>
  <si>
    <t>Peripheral Artery Disease</t>
  </si>
  <si>
    <t>Systolic Blood Pressure</t>
  </si>
  <si>
    <t>Cardiac Output</t>
  </si>
  <si>
    <t>Left Ventricle Hypertrophy</t>
  </si>
  <si>
    <t>Cardiovascular Disease</t>
  </si>
  <si>
    <t>End-Stage Renal Diease (Stage 5 Chronic Kidney Disease)</t>
  </si>
  <si>
    <t>Diastolic Blood Pressure</t>
  </si>
  <si>
    <t>Total Peripheral Resistance</t>
  </si>
  <si>
    <t>???</t>
  </si>
  <si>
    <t>Creatinine Clearance</t>
  </si>
  <si>
    <t>Coronary Artery Bypass Graft</t>
  </si>
  <si>
    <t>Isolated Systolic Hypertension</t>
  </si>
  <si>
    <t>Peripheral Vascular Resistance???</t>
  </si>
  <si>
    <t>Coronary Heart Disease</t>
  </si>
  <si>
    <t>Transient Ischemic Attack</t>
  </si>
  <si>
    <t>Angiotensin Converting Enzyme</t>
  </si>
  <si>
    <t>Joint National Committee 7 and 8</t>
  </si>
  <si>
    <t>Renin-Angiotensin-Aldosterone System</t>
  </si>
  <si>
    <t>Coronary Artery Disease</t>
  </si>
  <si>
    <t>Ankle-Brachial Index</t>
  </si>
  <si>
    <t xml:space="preserve">Age
• Male &gt; 55 years
• Female &gt; ___65 years__________
Family history of premature CVD
• Male  &lt;  _____55________
• Female  &lt; ___65__________
Cigarette Smoking
Obesity (BMI ≥ __30_____ kg/m2)
Dyslipidemia
Renal impairment 
• Microalbuminuria
• CrCl &lt; 60 mL/min
Physical inactivity (aerobic physical activity &lt; 30 minutes most days of the week)
Diabetes mellitus 
Hypertension
</t>
  </si>
  <si>
    <t>Renal Artery Stenosis</t>
  </si>
  <si>
    <t>Abdominal Aortic Aneurysm</t>
  </si>
  <si>
    <t>Retinal Hemorrhage</t>
  </si>
  <si>
    <t>DKA, HHNS, Hypoglycemia, Microvascular (nephropathy, retinopathy (microaneurysms), neuropathy) Macrovascular (atherosclerosis), Diabetic foot ulcers and other infections</t>
  </si>
  <si>
    <t>GFR</t>
  </si>
  <si>
    <t>ATN</t>
  </si>
  <si>
    <t>AIN</t>
  </si>
  <si>
    <t>AKI</t>
  </si>
  <si>
    <t>BPH</t>
  </si>
  <si>
    <t>MDRD</t>
  </si>
  <si>
    <t>CKD</t>
  </si>
  <si>
    <t>Glomerular Filtration Rate</t>
  </si>
  <si>
    <t>Acute Tubular Necrosis</t>
  </si>
  <si>
    <t>Acute Interstitial Nephritis</t>
  </si>
  <si>
    <t>Acute Kidney Injury</t>
  </si>
  <si>
    <t>Parathryoid Hormone</t>
  </si>
  <si>
    <t>Benign Prostatic Hyperplasia</t>
  </si>
  <si>
    <t>Modification of Diet in Renal Disease</t>
  </si>
  <si>
    <t>Chronic Kidney Disease</t>
  </si>
  <si>
    <t>Nephrotic Syndrome</t>
  </si>
  <si>
    <t>very severe kidney disease, loss of 4g of protein or more per day</t>
  </si>
  <si>
    <t>Obstructive Uropathy</t>
  </si>
  <si>
    <t>Hydronephrosis</t>
  </si>
  <si>
    <t>Nephrolithiasis</t>
  </si>
  <si>
    <t>Renal osteodystrophy</t>
  </si>
  <si>
    <t>Cirrhosis</t>
  </si>
  <si>
    <t>Glomerular Nephritis</t>
  </si>
  <si>
    <t>Polycystic Kidney disease</t>
  </si>
  <si>
    <t>Pyelonephritis</t>
  </si>
  <si>
    <t>eosinophiluria</t>
  </si>
  <si>
    <t>Renal artery Stenosis</t>
  </si>
  <si>
    <t>Sepsis</t>
  </si>
  <si>
    <t>CrCl, eGFR</t>
  </si>
  <si>
    <t>28 and 29</t>
  </si>
  <si>
    <t>Ischemic Heart Disease</t>
  </si>
  <si>
    <t>http://accesspharmacy.mhmedical.com/content.aspx?bookid=689&amp;Sectionid=48811455</t>
  </si>
  <si>
    <t>Acute Coronary Syndromes</t>
  </si>
  <si>
    <t>http://accesspharmacy.mhmedical.com/content.aspx?bookid=689&amp;Sectionid=48811456</t>
  </si>
  <si>
    <t>Venous Thromboembolism</t>
  </si>
  <si>
    <t>http://accesspharmacy.mhmedical.com/content.aspx?bookid=689&amp;Sectionid=48811458</t>
  </si>
  <si>
    <t xml:space="preserve">Age &gt;40
Surgery
Cancer
Cancer Treatment
Trauma
Immobilization
ESAs
Estrogen use
Obesity
Previous VTE
Resistance to activated Protein C
Deficiencies in antithrombin, proteins C and S
Antiphospholipid antibodies
Stroke
IBD
Nephrotic Syndrome
Varicose veins
Heart Failure
MI
Pregnancy
Smoking
</t>
  </si>
  <si>
    <t>CVI</t>
  </si>
  <si>
    <t>D-dimer</t>
  </si>
  <si>
    <t>DVT</t>
  </si>
  <si>
    <t>FDP</t>
  </si>
  <si>
    <t>VTE</t>
  </si>
  <si>
    <t>PAI-1</t>
  </si>
  <si>
    <t>PE</t>
  </si>
  <si>
    <t>PPS</t>
  </si>
  <si>
    <t>tPA</t>
  </si>
  <si>
    <t>V/Q</t>
  </si>
  <si>
    <t>Ventilation-Perfusion ratio</t>
  </si>
  <si>
    <t>Pulmonary Embolism</t>
  </si>
  <si>
    <t>ACS</t>
  </si>
  <si>
    <t>ACC/AHA</t>
  </si>
  <si>
    <t>ADP</t>
  </si>
  <si>
    <t>AMI</t>
  </si>
  <si>
    <t>ASCVD</t>
  </si>
  <si>
    <t>ATPIII</t>
  </si>
  <si>
    <t>CCSC</t>
  </si>
  <si>
    <t>CK</t>
  </si>
  <si>
    <t>CKMB</t>
  </si>
  <si>
    <t>CRP</t>
  </si>
  <si>
    <t>CP</t>
  </si>
  <si>
    <t>EDRF</t>
  </si>
  <si>
    <t>FLP</t>
  </si>
  <si>
    <t>IHD</t>
  </si>
  <si>
    <t>LAD</t>
  </si>
  <si>
    <t>LDH</t>
  </si>
  <si>
    <t>LDL</t>
  </si>
  <si>
    <r>
      <t>MVO</t>
    </r>
    <r>
      <rPr>
        <vertAlign val="subscript"/>
        <sz val="10"/>
        <color rgb="FF000000"/>
        <rFont val="Calibri"/>
        <family val="2"/>
      </rPr>
      <t>2</t>
    </r>
  </si>
  <si>
    <t>NSTEMI</t>
  </si>
  <si>
    <t>PCI</t>
  </si>
  <si>
    <t>PQRST</t>
  </si>
  <si>
    <t>RCA</t>
  </si>
  <si>
    <t>SA</t>
  </si>
  <si>
    <t>STEMI</t>
  </si>
  <si>
    <t>TC</t>
  </si>
  <si>
    <t>TG</t>
  </si>
  <si>
    <t>TIMI</t>
  </si>
  <si>
    <t>TLC</t>
  </si>
  <si>
    <t>UA</t>
  </si>
  <si>
    <t>VCAMs</t>
  </si>
  <si>
    <t>VLDL</t>
  </si>
  <si>
    <t>Acute Coronary Syndrome</t>
  </si>
  <si>
    <t>American College of Cardiology/American Heart Association</t>
  </si>
  <si>
    <t>Unstable Angina</t>
  </si>
  <si>
    <t>Low Density Lipoprotein</t>
  </si>
  <si>
    <t>Very Low Density Lipoprotein</t>
  </si>
  <si>
    <t>Electrocardiogram</t>
  </si>
  <si>
    <t>ST-segment elevation Myocardial Infarction</t>
  </si>
  <si>
    <t>Acute Myocardial Infarction</t>
  </si>
  <si>
    <t>Non-ST-segment elevated Myocardial Infarction</t>
  </si>
  <si>
    <t>Atherosclerotic Cardiovascular Disease</t>
  </si>
  <si>
    <t>Creatine Kinase?</t>
  </si>
  <si>
    <t>Creatine Kinase…?</t>
  </si>
  <si>
    <t>C-Reactive Protein</t>
  </si>
  <si>
    <t>Therapeutic Lifestyle Change</t>
  </si>
  <si>
    <t>Deep Vein Thrombosis</t>
  </si>
  <si>
    <t>Adult Treatment Panel III</t>
  </si>
  <si>
    <t>High Density Lipoprotein</t>
  </si>
  <si>
    <t>Stable Angina</t>
  </si>
  <si>
    <t>Cardiovascular Index</t>
  </si>
  <si>
    <t>Fasting Lipid Panel</t>
  </si>
  <si>
    <t>LPL</t>
  </si>
  <si>
    <t>Lipoprotein Lipase</t>
  </si>
  <si>
    <t>NCEP</t>
  </si>
  <si>
    <t>National Cholesterol Education Program</t>
  </si>
  <si>
    <t>JVD</t>
  </si>
  <si>
    <t>Jugular Venous Distension</t>
  </si>
  <si>
    <t>SIADH</t>
  </si>
  <si>
    <t>Syndrome of inappropriate ADH secretion</t>
  </si>
  <si>
    <t>CHF</t>
  </si>
  <si>
    <t>Congestive Heart Failure</t>
  </si>
  <si>
    <t>PRA</t>
  </si>
  <si>
    <t>Plasma Renin Activity</t>
  </si>
  <si>
    <t>Edema</t>
  </si>
  <si>
    <t>Anasarca</t>
  </si>
  <si>
    <t>excess fluid</t>
  </si>
  <si>
    <t>extreme generalized edema</t>
  </si>
  <si>
    <t>Exudate</t>
  </si>
  <si>
    <t>Fluid with proteins</t>
  </si>
  <si>
    <t>Transudate</t>
  </si>
  <si>
    <t>Fluid without proteins, very dilute</t>
  </si>
  <si>
    <t>Oncotic Pressure</t>
  </si>
  <si>
    <t>"Colloid Osmotic Pressure"</t>
  </si>
  <si>
    <t>Hydrostatic pressue</t>
  </si>
  <si>
    <t>"Blood Pressure"</t>
  </si>
  <si>
    <t>Osmolality</t>
  </si>
  <si>
    <t>measure of water concentration</t>
  </si>
  <si>
    <t>Orthostatic Hypotension</t>
  </si>
  <si>
    <t>low blood pressure as a result of changed posture</t>
  </si>
  <si>
    <t>Rales</t>
  </si>
  <si>
    <t>rattling noise produced by reopening fluid-collapsed alveoli during inspiration</t>
  </si>
  <si>
    <t>ascites</t>
  </si>
  <si>
    <t>fluid in the peritoneal cavity</t>
  </si>
  <si>
    <t>Pre-renal azotemia</t>
  </si>
  <si>
    <t>high BUN because of decreased renal blood flow</t>
  </si>
  <si>
    <t>cyanotic</t>
  </si>
  <si>
    <t>blue lips and mucous membranes</t>
  </si>
  <si>
    <t>pleural effusions</t>
  </si>
  <si>
    <t>edema in the pleura</t>
  </si>
  <si>
    <t>Diabetes insipidus</t>
  </si>
  <si>
    <t>extremely dilute urine due to lack of ADH</t>
  </si>
  <si>
    <t>hypovolemia</t>
  </si>
  <si>
    <t>low blood volume</t>
  </si>
  <si>
    <t>hypervolemia</t>
  </si>
  <si>
    <t>high blood volume</t>
  </si>
  <si>
    <t>euvolemia</t>
  </si>
  <si>
    <t>normal blood volume</t>
  </si>
  <si>
    <t>ataxis</t>
  </si>
  <si>
    <t>movement problems</t>
  </si>
  <si>
    <t>Scarring of the liver</t>
  </si>
  <si>
    <t>Increased Creatinine Phosphokinase</t>
  </si>
  <si>
    <t>Elvitegravir</t>
  </si>
  <si>
    <t xml:space="preserve">Coformulated with Cobicistat. Adverse reactions: Diarrhea, nausea, headache, </t>
  </si>
  <si>
    <t>300 BID</t>
  </si>
  <si>
    <t>Hypersensitivity</t>
  </si>
  <si>
    <t>600 QD</t>
  </si>
  <si>
    <t>200 BID</t>
  </si>
  <si>
    <t>400 QD</t>
  </si>
  <si>
    <t>Peripheral neuropathy, pancreatitis</t>
  </si>
  <si>
    <t>Pigmentation on soles and palms in non-whites</t>
  </si>
  <si>
    <t>150 BID</t>
  </si>
  <si>
    <t>300 QD</t>
  </si>
  <si>
    <t>Headache, Pancreatitis</t>
  </si>
  <si>
    <t>Lipoatrophy, peripheral neuropathy</t>
  </si>
  <si>
    <t>no</t>
  </si>
  <si>
    <t>Renal Toxicity</t>
  </si>
  <si>
    <t>200 TID</t>
  </si>
  <si>
    <t>Anemia, neutropenia, myopathy</t>
  </si>
  <si>
    <t>600 BID</t>
  </si>
  <si>
    <t>400 TID</t>
  </si>
  <si>
    <t>Rash, elevated Liver Function Tests</t>
  </si>
  <si>
    <t>CNS disturbances and potential teratogenicity</t>
  </si>
  <si>
    <t>Etravirine</t>
  </si>
  <si>
    <t>Rash, nausea</t>
  </si>
  <si>
    <t>Potentially serious rash and hepatotoxicity</t>
  </si>
  <si>
    <t>Rilpivirine</t>
  </si>
  <si>
    <t>possibly depression</t>
  </si>
  <si>
    <t>400-800 BID</t>
  </si>
  <si>
    <t>800 TID</t>
  </si>
  <si>
    <t>400 BID</t>
  </si>
  <si>
    <t>750 TID</t>
  </si>
  <si>
    <t>1250 BID</t>
  </si>
  <si>
    <t>Diarrhea</t>
  </si>
  <si>
    <t>boosting doses</t>
  </si>
  <si>
    <t>Generally used as a booster now. adverse effect: GI intolerance</t>
  </si>
  <si>
    <t>1000 BID</t>
  </si>
  <si>
    <t>500 BID</t>
  </si>
  <si>
    <t>90 BID</t>
  </si>
  <si>
    <t>Injection-site reactions</t>
  </si>
  <si>
    <t>Hepatitis, allergic reaction</t>
  </si>
  <si>
    <t>Hyperlipidemia, GI intolerance</t>
  </si>
  <si>
    <t>Must be boosted with 100 or 200 mg of ritonavir. Adverse effect: Rash</t>
  </si>
  <si>
    <t>300 mg must be boosted with ritonavir. Adverse effect: Unconjugated hyperbilirubinemia</t>
  </si>
  <si>
    <t>Must be boosted with ritonavir. Adverse effect: Hepatitis, Rash</t>
  </si>
  <si>
    <t>BID must be boosted with ritonavir. Adverse Effect: Nephrolithiasis</t>
  </si>
  <si>
    <t>Must be boosted with ritonavir. Adverse effect: QT prolongation</t>
  </si>
  <si>
    <t>Must be boosted with ritonavir. Adverse effect: Hepatotoxicity, intracranial hemorrhage</t>
  </si>
  <si>
    <t>3a</t>
  </si>
  <si>
    <t>Cobicistat</t>
  </si>
  <si>
    <t>Tybost</t>
  </si>
  <si>
    <t>CYP 3A4 inhibitor</t>
  </si>
  <si>
    <t>Ritonavir analog without PI activity, used as a booster for other HIV Pis.</t>
  </si>
  <si>
    <t>Thymidine analog</t>
  </si>
  <si>
    <t>MSM, IVDU, Multiple Sexual Partners</t>
  </si>
  <si>
    <t>Acute, Chronic, Terminal (AIDS)</t>
  </si>
  <si>
    <t>Human Immunodeficiency Virus</t>
  </si>
  <si>
    <t>Ois, Cancers, etc.</t>
  </si>
  <si>
    <t>HIV-RNA</t>
  </si>
  <si>
    <t>CD4+ count</t>
  </si>
  <si>
    <t>copies/mL</t>
  </si>
  <si>
    <t>cells/mm^3</t>
  </si>
  <si>
    <t>Cardiology</t>
  </si>
  <si>
    <t>Complete Blood Count</t>
  </si>
  <si>
    <t>Basic Metabolic Panel (Chem-7)</t>
  </si>
  <si>
    <t>Other Serum Electrolytes</t>
  </si>
  <si>
    <t>Arterial Blood Gases (ABGs)</t>
  </si>
  <si>
    <t>Demographics</t>
  </si>
  <si>
    <t>Other: RA, Heart Failure</t>
  </si>
  <si>
    <t>Basic Calculations</t>
  </si>
  <si>
    <t>Ankle Brachial Index</t>
  </si>
  <si>
    <t>Other Calculations</t>
  </si>
  <si>
    <t>Antidiabetics</t>
  </si>
  <si>
    <t>Hyperlipidemia Drugs</t>
  </si>
  <si>
    <t>HIV Anti-retrovirals</t>
  </si>
  <si>
    <t>Dolutegravir</t>
  </si>
  <si>
    <t>Tivicay</t>
  </si>
  <si>
    <t>ACE Inhibitors/ ARBs/ DRIs</t>
  </si>
  <si>
    <t>Alpha 2 agonists</t>
  </si>
  <si>
    <t>Insulins</t>
  </si>
  <si>
    <t>GLP-1 agonists</t>
  </si>
  <si>
    <t>Sulfonylureas</t>
  </si>
  <si>
    <t>Short Acting Insulin secretagogues</t>
  </si>
  <si>
    <t>Antihypertensives</t>
  </si>
  <si>
    <t>NRTIs</t>
  </si>
  <si>
    <t>NNRTIs</t>
  </si>
  <si>
    <t>Protease Inhibitors</t>
  </si>
  <si>
    <t>Integrase Inhibitors</t>
  </si>
  <si>
    <t>CCR5 and Fusion Inhibitors</t>
  </si>
  <si>
    <t>Showing work</t>
  </si>
  <si>
    <t>Treatment</t>
  </si>
  <si>
    <t>Diagnoses</t>
  </si>
  <si>
    <t>ICD-9 code</t>
  </si>
  <si>
    <t>In Past Medical History?</t>
  </si>
  <si>
    <t>Yes</t>
  </si>
  <si>
    <t>Status</t>
  </si>
  <si>
    <t>Years</t>
  </si>
  <si>
    <t>Age</t>
  </si>
  <si>
    <t>Height</t>
  </si>
  <si>
    <t>Weight</t>
  </si>
  <si>
    <t>First Therapy</t>
  </si>
  <si>
    <t>Second Therapy</t>
  </si>
  <si>
    <t>Starting dose</t>
  </si>
  <si>
    <t>Starting Dose</t>
  </si>
  <si>
    <t>NNRTI-based: Efavirenz + tenofovir disoproxil fumarate+ emtricitabine
HIV PI-based: Darunavir + ritonavir + tenofovir disoproxil fumarate+ emtricitabine
Atazanavir + ritonavir + tenofovir disoproxil fumarate+ emtricitabine
InSTI-based: Raltegravir + tenofovir disoproxil fumarate+ emtricitabine</t>
  </si>
  <si>
    <t>Third Therapy</t>
  </si>
  <si>
    <t>Fourth Therapy</t>
  </si>
  <si>
    <t>Weight Class</t>
  </si>
  <si>
    <t>Underweight</t>
  </si>
  <si>
    <t>Normal</t>
  </si>
  <si>
    <t>Overweight</t>
  </si>
  <si>
    <t>Obese (Class I)</t>
  </si>
  <si>
    <t>Obese (Class II)</t>
  </si>
  <si>
    <t>Extreme Obese (Class III)</t>
  </si>
  <si>
    <t>Waist Circumference</t>
  </si>
  <si>
    <t>Obesity</t>
  </si>
  <si>
    <t>Waist &lt;/=35 or 40</t>
  </si>
  <si>
    <t>Waist &gt;35 or 40</t>
  </si>
  <si>
    <t>Increased</t>
  </si>
  <si>
    <t>Very High</t>
  </si>
  <si>
    <t>Extremely High</t>
  </si>
  <si>
    <t>Pregnant</t>
  </si>
  <si>
    <t>Orlistat</t>
  </si>
  <si>
    <t>Saxenda</t>
  </si>
  <si>
    <t>Liraglutide</t>
  </si>
  <si>
    <t>Naltrexone/bupropion</t>
  </si>
  <si>
    <t>Lorcaserin</t>
  </si>
  <si>
    <t>Phentermine IR/Topiramate ER</t>
  </si>
  <si>
    <t>Qsymia</t>
  </si>
  <si>
    <t>3.75 mg/23 mg</t>
  </si>
  <si>
    <t>15 mg/92 mg</t>
  </si>
  <si>
    <t>daily</t>
  </si>
  <si>
    <t>Enhanced NE and dopamine neurotransmission</t>
  </si>
  <si>
    <t>Belviq</t>
  </si>
  <si>
    <t>20 mg</t>
  </si>
  <si>
    <t>10 mg twice daily</t>
  </si>
  <si>
    <t>5-HT2c receptor agonist: Selectively activates 5-HT2C receptors on anorexigenic pro-opiomelanocortin neurons located in the hypothalamus to decrease food consumption and promote satiety.</t>
  </si>
  <si>
    <t>Xenical, Alli</t>
  </si>
  <si>
    <t>60 mg TID or 120 TID</t>
  </si>
  <si>
    <t>Injection (Subcutaneous)</t>
  </si>
  <si>
    <t xml:space="preserve">Long-acting analog of human GLP-1 (an incretin hormone) which slows gastric emptying and decrease food intake (has other more diabetes related actions). </t>
  </si>
  <si>
    <t>Contrave</t>
  </si>
  <si>
    <t>8 mg/90 mg</t>
  </si>
  <si>
    <t>16 mg/180 mg BID</t>
  </si>
  <si>
    <t>Titrated: Daily to BID</t>
  </si>
  <si>
    <t>Exact mechanism of action is unknown, naltrexone is a pure opioid antagonist and bupropion is a weak inhibitor of the reuptake of dopamine and norepinephrine.  Effects may result from action on areas of the brain involved in the regulation of food intake (hypothalamus, mesolimbic dopamine circuit)</t>
  </si>
  <si>
    <t>Compelling Indications?</t>
  </si>
  <si>
    <t>Compelling Indications for HTN</t>
  </si>
  <si>
    <t>Previous Stroke</t>
  </si>
  <si>
    <t>Heart Failure</t>
  </si>
  <si>
    <t>Mainstream</t>
  </si>
  <si>
    <t>Standard Pharmacotherapy</t>
  </si>
  <si>
    <t>Add on pharmacotherapy</t>
  </si>
  <si>
    <t>CCB, then Thiazide Diuretic</t>
  </si>
  <si>
    <t>ACEI or ARB</t>
  </si>
  <si>
    <t>Atherosclerosis or MI</t>
  </si>
  <si>
    <t>CCB, then Thiazide Diuretic or Beta Blocker</t>
  </si>
  <si>
    <t>ACEI and Thiazide Diuretic Combo</t>
  </si>
  <si>
    <t>ACEI or ARB if Cough + Beta blocker if stable</t>
  </si>
  <si>
    <t>Aldosterone Antagonist, Diuretics, DHCCBs, DO NOT use NDHCCBs.</t>
  </si>
  <si>
    <t>Beta Blocker; then add ACEI or ARB. Substitute NDHCCB if Beta Blocker contraindicated.</t>
  </si>
  <si>
    <t>Renal Dysfunction w/o proteinuria</t>
  </si>
  <si>
    <t>Renal Dysfunction w/ proteinuria</t>
  </si>
  <si>
    <t>Race</t>
  </si>
  <si>
    <t>White</t>
  </si>
  <si>
    <t>Asian</t>
  </si>
  <si>
    <t>Pacific Islander</t>
  </si>
  <si>
    <t>Native American</t>
  </si>
  <si>
    <t>Ethnicity</t>
  </si>
  <si>
    <t>Hispanic</t>
  </si>
  <si>
    <t>Non-Hispanic</t>
  </si>
  <si>
    <t>Other</t>
  </si>
  <si>
    <t>African American</t>
  </si>
  <si>
    <t>Uric Acid</t>
  </si>
  <si>
    <t>mIU/L</t>
  </si>
  <si>
    <t>MCHC</t>
  </si>
  <si>
    <t>gm/dL</t>
  </si>
  <si>
    <t>Haptoglobin</t>
  </si>
  <si>
    <t>mg/L</t>
  </si>
  <si>
    <t>C-reactive protein (CRP) High sensitivity</t>
  </si>
  <si>
    <t>C peptide</t>
  </si>
  <si>
    <t>Lactate Dehydrogenase (LDH)</t>
  </si>
  <si>
    <t>Total T4</t>
  </si>
  <si>
    <t>Free T4</t>
  </si>
  <si>
    <t>ng/dL</t>
  </si>
  <si>
    <t>TgAB</t>
  </si>
  <si>
    <t>Negative</t>
  </si>
  <si>
    <t>CHA2DS2-VASc Score</t>
  </si>
  <si>
    <t>Heart Failure?</t>
  </si>
  <si>
    <t>Diabetes?</t>
  </si>
  <si>
    <t>Previous Stroke or TIA?</t>
  </si>
  <si>
    <t>Vascular disease (prior MI, PAD or aortic plaque?)</t>
  </si>
  <si>
    <t>Stroke history</t>
  </si>
  <si>
    <t>Vascular Disease</t>
  </si>
  <si>
    <t>Sex category</t>
  </si>
  <si>
    <t>L</t>
  </si>
  <si>
    <t>% TBW</t>
  </si>
  <si>
    <t>L/kg</t>
  </si>
  <si>
    <t>mEq</t>
  </si>
  <si>
    <t>pO2:FiO2 ratio</t>
  </si>
  <si>
    <t>Urine Potassium</t>
  </si>
  <si>
    <t>TTKG</t>
  </si>
  <si>
    <t>E66</t>
  </si>
  <si>
    <t>E10/E11</t>
  </si>
  <si>
    <t>I10</t>
  </si>
  <si>
    <t>B20</t>
  </si>
  <si>
    <t>E78</t>
  </si>
  <si>
    <t>24 hr Basal Fluid Requirement</t>
  </si>
  <si>
    <t>IV fluid rate</t>
  </si>
  <si>
    <t>mL/hour</t>
  </si>
  <si>
    <t>mL/day</t>
  </si>
  <si>
    <t>Volume Status?</t>
  </si>
  <si>
    <t>Mild Hypovolemia</t>
  </si>
  <si>
    <t>Moderate Hypovolemia</t>
  </si>
  <si>
    <t>Severe Hypovolemia</t>
  </si>
  <si>
    <t>Mild Hypervolemia</t>
  </si>
  <si>
    <t>Moderate Hypervolemia</t>
  </si>
  <si>
    <t>Severe Hypervolemia</t>
  </si>
  <si>
    <t>Euvolemic</t>
  </si>
  <si>
    <t>Na Deficit (to 140 mEq/L)</t>
  </si>
  <si>
    <t>Score</t>
  </si>
  <si>
    <t>Risk</t>
  </si>
  <si>
    <t>Stroke Risk % in AF</t>
  </si>
  <si>
    <t>eGFR (MDRD equation)</t>
  </si>
  <si>
    <t>Vitals and Labs</t>
  </si>
  <si>
    <t>Tab</t>
  </si>
  <si>
    <t>Use</t>
  </si>
  <si>
    <t>Insert given values, age, sex, etc.</t>
  </si>
  <si>
    <t>Calculations</t>
  </si>
  <si>
    <t>Under construction, currently returns typical starting treatment for a given disease state, as well as listing therapeutic agents approved for that disease state, with typical starting doses</t>
  </si>
  <si>
    <t>Drug List</t>
  </si>
  <si>
    <t>Lists drugs by common indication, with information about typical dosing, frequency, etc.</t>
  </si>
  <si>
    <t>Disease State Table</t>
  </si>
  <si>
    <t>Under construction, currently lists diseases and related terms, risk factors, etc.</t>
  </si>
  <si>
    <t>Key Terms</t>
  </si>
  <si>
    <t>Lists key terms from Pathophysiology with short definitions</t>
  </si>
  <si>
    <t>Abbreviations</t>
  </si>
  <si>
    <t>Lists abbreviations used in Patho with my interpretation of their meaning.</t>
  </si>
  <si>
    <t>Sources</t>
  </si>
  <si>
    <t>How can I make it evaluate multiple lab values for the same thing, over time? E.g. SCr today and three months ago to show CKD progression or to establish the diagnosis</t>
  </si>
  <si>
    <t>How can I more efficiently write the code to power this thing? I think the way I'm writing it is inefficient</t>
  </si>
  <si>
    <t>How do I turn this into a mobile app or stand alone application?</t>
  </si>
  <si>
    <t>Vaccines</t>
  </si>
  <si>
    <t>Evaluates need for specific vaccines and links to CDC website appropriately</t>
  </si>
  <si>
    <t>How do I expand this to being able to store patient data, instead of having to have an individual copy of this spreadsheet for each patient?</t>
  </si>
  <si>
    <t>How do I prompt the user with which values are required for a given calculation or diagnosis?</t>
  </si>
  <si>
    <t>How do I add monitoring parameters?</t>
  </si>
  <si>
    <t>How do I add risk factor evaluation?</t>
  </si>
  <si>
    <t>How do I add complication monitoring?</t>
  </si>
  <si>
    <t>Sections I'm thinking of adding/questions for further development</t>
  </si>
  <si>
    <t>Protein Restriction in CKD</t>
  </si>
  <si>
    <t>gm/day</t>
  </si>
  <si>
    <t>no upper limit</t>
  </si>
  <si>
    <t>http://accesspharmacy.mhmedical.com/content.aspx?bookid=689&amp;sectionid=48811469</t>
  </si>
  <si>
    <t>http://accesspharmacy.mhmedical.com.stlcopisa.stlcop.edu/content.aspx?bookid=689&amp;sectionid=48811453</t>
  </si>
  <si>
    <t>http://accesspharmacy.mhmedical.com.stlcopisa.stlcop.edu/content.aspx?bookid=689&amp;sectionid=48811459</t>
  </si>
  <si>
    <t>http://accesspharmacy.mhmedical.com.stlcopisa.stlcop.edu/content.aspx?bookid=689&amp;sectionid=48811457</t>
  </si>
  <si>
    <t>How do I make this have a prettier User Interface?</t>
  </si>
  <si>
    <t>Returns calculations based on the values you put in the "Vitals and Labs" tab</t>
  </si>
  <si>
    <t>Would list source guidelines/recommendations as well as a link to the webpage where those guidelines are hosted. Would also be referenced in the recommendations themselves.</t>
  </si>
  <si>
    <t xml:space="preserve">More disease states </t>
  </si>
  <si>
    <t>As I progress through the therapeutics curriculum, I intend to make this calculator reflect my level of knowledge.</t>
  </si>
  <si>
    <t>An excel spreadsheet is a pretty ugly interface. And I'm a guy, so I'm not terribly good at prettiness.</t>
  </si>
  <si>
    <t>This is connected to the UI question above. The input is relatively clunky. How could I associate a date with the labs that are entered, so that it could evaluate CKD?</t>
  </si>
  <si>
    <t>I could use feedback on the code I use. I'm certain it's buggy and could be done a lot better.</t>
  </si>
  <si>
    <t>Is this a thing that could be done? How? I have no idea how to develop mobile apps, but I'd like this to be available on a mobile device so it can be used on the fly on rotations.</t>
  </si>
  <si>
    <t>Strongly related to the evaluating multiple lab values for the same thing over time. How do databases work? Could someone show me how to convert this into a database?</t>
  </si>
  <si>
    <t>Data validation… how do I use it effectively?</t>
  </si>
  <si>
    <t>How do you prompt the user on which monitoring parameters are important?</t>
  </si>
  <si>
    <t>see the above.</t>
  </si>
  <si>
    <t>It needs to have all of the drugs. There are about 1250 individual drugs (not drug products, of which there are legion) currently on the market. I have a list of them, but none of the other data (typical dosing, etc). The table I currently has about 150 drugs, with varying levels of information on each drug.</t>
  </si>
  <si>
    <t>Key Terms/Abbreviations</t>
  </si>
  <si>
    <t>This could be standardized with information the US government uses. I think it would be awesome to use the Universal Standardized Language of Medicine.</t>
  </si>
  <si>
    <t>I have an excel that contains every ICD-10 diagnosis code. Could that be useful in this calculator?</t>
  </si>
  <si>
    <t>Working Backwards</t>
  </si>
  <si>
    <t>How do I make this thing, or something like it, useful to normal pharmacists? Most pharmacists don't have access to labs, they have prescription records. You could work backwards from a drug list to the diagnoses and workup. But you'd need an input page to select which drugs the patient is currently on, among other things.</t>
  </si>
  <si>
    <t>What do I call this thing?</t>
  </si>
  <si>
    <t>Current name: Labs calculator. Possible names: Clinical-Pharmacist-in-a-box, Therapeutics for dummies, DiPiro: the excel version, the STLCOP Therapeutics evaluation machine, Suggested Pharmacotherapy from Clinical Practice Guidelines, iPharmacist, PharmDummy, etc.</t>
  </si>
  <si>
    <t>Should the various labs and variables be split up into more tabs?</t>
  </si>
  <si>
    <t>This is a UI question.</t>
  </si>
  <si>
    <t>SGLT-2 Inhibitors</t>
  </si>
  <si>
    <t>dapagliflozin</t>
  </si>
  <si>
    <t>canagliflozin</t>
  </si>
  <si>
    <t>Invokana</t>
  </si>
  <si>
    <t>100 mg QD</t>
  </si>
  <si>
    <t>300 mg QD</t>
  </si>
  <si>
    <t>qd?</t>
  </si>
  <si>
    <t>Sodium-Glucose Cotransporter 2 Inhibitor</t>
  </si>
  <si>
    <t>Farxiga</t>
  </si>
  <si>
    <t>5 mg qd</t>
  </si>
  <si>
    <t>10 mg qd</t>
  </si>
  <si>
    <t>Jardiance</t>
  </si>
  <si>
    <t>Empagliflozin</t>
  </si>
  <si>
    <t>10 mg QD</t>
  </si>
  <si>
    <t>25 mg QD</t>
  </si>
  <si>
    <t>Amylin Agonist</t>
  </si>
  <si>
    <t>1000 mg qd</t>
  </si>
  <si>
    <t>Dietary Cholesterol Absorption Inhibitor</t>
  </si>
  <si>
    <t>Kynamro</t>
  </si>
  <si>
    <t>Juxtapid</t>
  </si>
  <si>
    <t>Microsomal Triglyceride Transfer Protein Inhibitor</t>
  </si>
  <si>
    <t>3A4 inhibitor, P-gp inhibitor</t>
  </si>
  <si>
    <r>
      <t xml:space="preserve">10-Years ASCVD </t>
    </r>
    <r>
      <rPr>
        <b/>
        <sz val="10"/>
        <rFont val="Arial"/>
        <family val="2"/>
      </rPr>
      <t>CVD Risk Estimation From Guideline work (Sean coding)</t>
    </r>
  </si>
  <si>
    <t>The actual information entered</t>
    <phoneticPr fontId="7" type="noConversion"/>
  </si>
  <si>
    <t>Optimal values</t>
  </si>
  <si>
    <t>Gender</t>
  </si>
  <si>
    <t>Omnibus</t>
  </si>
  <si>
    <t>C3</t>
    <phoneticPr fontId="7" type="noConversion"/>
  </si>
  <si>
    <t>Omnibus</t>
    <phoneticPr fontId="7" type="noConversion"/>
  </si>
  <si>
    <t>C4</t>
  </si>
  <si>
    <t>C5</t>
  </si>
  <si>
    <t>C6</t>
  </si>
  <si>
    <t>HDL-Cholesterol</t>
  </si>
  <si>
    <t>C7</t>
  </si>
  <si>
    <t>C8</t>
  </si>
  <si>
    <t>Treatment for Hypertension:yes</t>
  </si>
  <si>
    <t>C9</t>
  </si>
  <si>
    <t>Treatment for Hypertension:no</t>
  </si>
  <si>
    <t>C10</t>
  </si>
  <si>
    <t>Smoker</t>
  </si>
  <si>
    <t>C11</t>
  </si>
  <si>
    <t>OPTIMAL ERROR MESSAGE I12</t>
  </si>
  <si>
    <t>Enter a Value here</t>
  </si>
  <si>
    <t>Optimal</t>
  </si>
  <si>
    <t>lnage</t>
  </si>
  <si>
    <t>lntot</t>
  </si>
  <si>
    <t>lnhdl</t>
  </si>
  <si>
    <t>trlnsbp</t>
  </si>
  <si>
    <t>ntlnsbp</t>
  </si>
  <si>
    <t>age2</t>
  </si>
  <si>
    <t>agetc</t>
  </si>
  <si>
    <t>agehdl</t>
  </si>
  <si>
    <t>agetsbp</t>
  </si>
  <si>
    <t>agentsbp</t>
  </si>
  <si>
    <t>agesmoke</t>
  </si>
  <si>
    <t>agedm</t>
  </si>
  <si>
    <t>s0_10</t>
  </si>
  <si>
    <t>mnxb</t>
  </si>
  <si>
    <t>predict</t>
  </si>
  <si>
    <t>cvd predict</t>
  </si>
  <si>
    <t>sex*race</t>
  </si>
  <si>
    <t>10-Year ASCVD</t>
  </si>
  <si>
    <t>AA Women</t>
  </si>
  <si>
    <t>WH Woman</t>
  </si>
  <si>
    <t>AA Men</t>
  </si>
  <si>
    <t>WH Men</t>
  </si>
  <si>
    <t>Optimal for same age/sex/race</t>
  </si>
  <si>
    <t>Female</t>
    <phoneticPr fontId="7" type="noConversion"/>
  </si>
  <si>
    <t>Lifetime Risk ASCVD</t>
  </si>
  <si>
    <t>All Optimal</t>
  </si>
  <si>
    <t>Not optimal</t>
  </si>
  <si>
    <t>Elevated</t>
  </si>
  <si>
    <t>1 Major</t>
  </si>
  <si>
    <t>&gt;=2 Major</t>
  </si>
  <si>
    <t>Men</t>
  </si>
  <si>
    <t>Women</t>
  </si>
  <si>
    <t>sum of major</t>
  </si>
  <si>
    <t>smoking</t>
  </si>
  <si>
    <t>sum</t>
  </si>
  <si>
    <t>Treated or Not</t>
  </si>
  <si>
    <t xml:space="preserve">1 Major </t>
  </si>
  <si>
    <t>&gt;=1Elevated</t>
  </si>
  <si>
    <t>Not Optimal</t>
  </si>
  <si>
    <t>ALL Optimal</t>
  </si>
  <si>
    <t>Diabetes</t>
    <phoneticPr fontId="1" type="noConversion"/>
  </si>
  <si>
    <t>Treatment for Hypertension (if SBP &gt;120)</t>
  </si>
  <si>
    <t>Lifetime risk estimation from 2006 Circulation paper no age stratification</t>
  </si>
  <si>
    <t>Abbreviations: AA = African American; ASCVD = Atherosclerotic cardiovascular disease, defined as CHD death, nonfatal myocardial infarction, or fatal or nonfatal stroke; F = Female; M = Male; N = No; WH = White; Y = Yes.</t>
  </si>
  <si>
    <r>
      <rPr>
        <b/>
        <u/>
        <sz val="12"/>
        <color indexed="56"/>
        <rFont val="Arial"/>
        <family val="2"/>
      </rPr>
      <t>For patients and the public:</t>
    </r>
    <r>
      <rPr>
        <b/>
        <sz val="10"/>
        <color indexed="8"/>
        <rFont val="Arial"/>
        <family val="2"/>
      </rPr>
      <t xml:space="preserve"> *This is the lifetime risk of cardiovascular diseases, including stroke, for an individual at age 50 years with your risk factor levels. In rare cases, 10-year risks may exceed lifetime risks given that the estimates come from different mathematical approaches.  If this is the case, the 10-year risk should be the primary focus for your risk discussion with your provider and for your efforts to reduce your risk.</t>
    </r>
  </si>
  <si>
    <t>*This is the lifetime ASCVD risk for an individual at age 50 years with your risk factor levels. In rare cases, 10-year risks may exceed lifetime risks given that the estimates come from different approaches. While 10-year risk estimates are derived from methods and data using continuous variables, the reported estimate of lifetime risk is based on assigning each person into one of 5 mutually exclusive sex-specific groups, as per Lloyd-Jones et al., Circulation 2006; 113(6):791-8.  Within each of the 5 groups, each person receives the same lifetime risk estimate.  In other words, using this approach, there are only 5 possible lifetime risk estimates reported for men and only 5 possible lifetime risk estimates reported for women.  In some cases, the average risk for the group will underestimate the individual’s true lifetime risk.  This feature of lifetime risk estimation will result in the estimated lifetime risk being less than the estimated 10-year risk.  In these cases, the 10-year risk should be the primary focus for the risk discussion and risk reduction efforts. As further data becomes available and incorporated and methods mature, lifetime risk estimates based on continuous variables will be possible.</t>
  </si>
  <si>
    <t>Lifetime ASCVD Risk (%) for Someone at Age 50 with Optimal Risk Factor Levels (shown above in column E)</t>
  </si>
  <si>
    <t>Your Lifetime ASCVD Risk* (%)</t>
  </si>
  <si>
    <t>10-Year ASCVD Risk (%) for Someone Your Age with Optimal Risk Factor Levels (shown above in column E)</t>
  </si>
  <si>
    <t>Your 10-Year ASCVD Risk (%)</t>
  </si>
  <si>
    <t>N</t>
  </si>
  <si>
    <t>Y or N</t>
  </si>
  <si>
    <t>Y (for yes) or N (for no)</t>
  </si>
  <si>
    <t>Treatment for High Blood Pressure</t>
  </si>
  <si>
    <t>90-200</t>
  </si>
  <si>
    <t>mm Hg</t>
  </si>
  <si>
    <t>20-100</t>
  </si>
  <si>
    <t>mg/dL</t>
    <phoneticPr fontId="7" type="noConversion"/>
  </si>
  <si>
    <t>130-320</t>
  </si>
  <si>
    <t>AA or WH</t>
  </si>
  <si>
    <t>AA (for African Americans) or WH (for whites or others)</t>
  </si>
  <si>
    <t>20-79</t>
  </si>
  <si>
    <t>years</t>
  </si>
  <si>
    <t>M or F</t>
  </si>
  <si>
    <t>M (for males) or F (for females)</t>
  </si>
  <si>
    <t>Acceptable range of values</t>
  </si>
  <si>
    <t>Risk Factor</t>
  </si>
  <si>
    <t>Enter patient values in this column</t>
  </si>
  <si>
    <t>F11: note- remove blank space before text</t>
  </si>
  <si>
    <t>10-year ASCVD Risk</t>
  </si>
  <si>
    <t>Smoker?</t>
  </si>
  <si>
    <t>Treatment for High Blood Pressure?</t>
  </si>
  <si>
    <t>Optimal ASCVD Risk</t>
  </si>
  <si>
    <t>Lifetime ASCVD Risk</t>
  </si>
  <si>
    <t>Alirocumab</t>
  </si>
  <si>
    <t>Evolocumab</t>
  </si>
  <si>
    <t>Praluent</t>
  </si>
  <si>
    <t>Repatha</t>
  </si>
  <si>
    <t>75 mg SQ</t>
  </si>
  <si>
    <t>140 SQ</t>
  </si>
  <si>
    <t>150 SQ</t>
  </si>
  <si>
    <t>q2 weeks</t>
  </si>
  <si>
    <t>q 2 weeks</t>
  </si>
  <si>
    <t>420 SQ q month</t>
  </si>
  <si>
    <t>Proprotein Convertase Subtilisin/kexin type 9 inhibitor</t>
  </si>
  <si>
    <t>Oligonucleotide inhibitor</t>
  </si>
  <si>
    <t>Omega-3 Fatty Acids</t>
  </si>
  <si>
    <t>Lescol</t>
  </si>
  <si>
    <t>20 mg QD</t>
  </si>
  <si>
    <t>80 PO Daily</t>
  </si>
  <si>
    <t>40-80 mg = High intensity</t>
  </si>
  <si>
    <t>20-40 mg = High intensity</t>
  </si>
  <si>
    <t>Nicotinic Acid</t>
  </si>
  <si>
    <t>Subcutaneous</t>
  </si>
  <si>
    <t>Estimated Average Glucose (eAG)</t>
  </si>
  <si>
    <r>
      <t xml:space="preserve">To the User:
I made this calculator as a tool to help me do cases for Pathophysiology. </t>
    </r>
    <r>
      <rPr>
        <b/>
        <sz val="11"/>
        <color theme="1"/>
        <rFont val="Calibri"/>
        <family val="2"/>
        <scheme val="minor"/>
      </rPr>
      <t>Do not let it substitute for you actually learning the material.</t>
    </r>
    <r>
      <rPr>
        <sz val="11"/>
        <color theme="1"/>
        <rFont val="Calibri"/>
        <family val="2"/>
        <scheme val="minor"/>
      </rPr>
      <t xml:space="preserve"> Remember, you have to know these formulae and cut-points for your exams and quizzes. With that in mind, please don't use this calculator to do your initial calculations of a new calculation to you. Working the problem will help you to learn the equations and the rationale. </t>
    </r>
    <r>
      <rPr>
        <b/>
        <sz val="11"/>
        <color theme="1"/>
        <rFont val="Calibri"/>
        <family val="2"/>
        <scheme val="minor"/>
      </rPr>
      <t>Use this calculator to check your work.</t>
    </r>
    <r>
      <rPr>
        <sz val="11"/>
        <color theme="1"/>
        <rFont val="Calibri"/>
        <family val="2"/>
        <scheme val="minor"/>
      </rPr>
      <t xml:space="preserve"> Once you feel you know an equation, go ahead and use this calculator for your first go at a problem, then check its work.
If you have ideas to improve this calculator, please send them to my email benjamin.jolley@stlcop.edu or, better yet, make the changes yourself and then send me a copy of your modified calculator, with annotations. 
I'd love to figure out how to build this into something for wider distribution that is financially sustainable. If you have ideas in that regard, email me. 
Yours,
Benjamin Jolley</t>
    </r>
  </si>
  <si>
    <t>Points</t>
  </si>
  <si>
    <t>Cholesterol &lt;160</t>
  </si>
  <si>
    <t>TC 160-199</t>
  </si>
  <si>
    <t>TC 200-239</t>
  </si>
  <si>
    <t>TC 240-279</t>
  </si>
  <si>
    <t>TC &gt;280</t>
  </si>
  <si>
    <t>Cigarettes (Y)</t>
  </si>
  <si>
    <t>Untreated</t>
  </si>
  <si>
    <t>Treated</t>
  </si>
  <si>
    <t>10 year risk %</t>
  </si>
  <si>
    <t>&lt;1</t>
  </si>
  <si>
    <t>&gt;30</t>
  </si>
  <si>
    <t>10-year risk in %</t>
  </si>
  <si>
    <t>Efficacy (A1c, LDL reduction, etc.)</t>
  </si>
  <si>
    <t>1-2% A1c reduction, LDL down ~8%</t>
  </si>
  <si>
    <t>Total points</t>
  </si>
  <si>
    <t>Framingham Risk Score 10 year</t>
  </si>
  <si>
    <t>CrCl adjustment of doses in Drug field</t>
  </si>
  <si>
    <t>Add a field to the Drug List field listing the cutoffs for dose adjustment and contraindication, make the lookup field in the diagnosis area show the renally adjusted dose.</t>
  </si>
  <si>
    <t>Vaccine</t>
  </si>
  <si>
    <t>Influenza</t>
  </si>
  <si>
    <t>TdaP</t>
  </si>
  <si>
    <t>Td</t>
  </si>
  <si>
    <t>Varicella</t>
  </si>
  <si>
    <t>HPV Male</t>
  </si>
  <si>
    <t>HPV Female</t>
  </si>
  <si>
    <t>Zoster</t>
  </si>
  <si>
    <t>MMR</t>
  </si>
  <si>
    <t>PCV13</t>
  </si>
  <si>
    <t>PPSV23</t>
  </si>
  <si>
    <t>Meningococcal</t>
  </si>
  <si>
    <t>Hepatitis A</t>
  </si>
  <si>
    <t>Hepatitis B</t>
  </si>
  <si>
    <t>Hib</t>
  </si>
  <si>
    <t>Rotavirus</t>
  </si>
  <si>
    <t>DTaP</t>
  </si>
  <si>
    <t>IPV</t>
  </si>
  <si>
    <t>Birth</t>
  </si>
  <si>
    <t>1 mo</t>
  </si>
  <si>
    <t>2 mo</t>
  </si>
  <si>
    <t>4 mo</t>
  </si>
  <si>
    <t>6 mo</t>
  </si>
  <si>
    <t>9 mo</t>
  </si>
  <si>
    <t>12 mo</t>
  </si>
  <si>
    <t>15 mo</t>
  </si>
  <si>
    <t>18 mo</t>
  </si>
  <si>
    <t>19-23 mo</t>
  </si>
  <si>
    <t>2-3 years</t>
  </si>
  <si>
    <t>4-6 years</t>
  </si>
  <si>
    <t>7-10 years</t>
  </si>
  <si>
    <t>11-12 years</t>
  </si>
  <si>
    <t>13-15</t>
  </si>
  <si>
    <t>16-18</t>
  </si>
  <si>
    <t>19-21</t>
  </si>
  <si>
    <t>22-26</t>
  </si>
  <si>
    <t>27-49</t>
  </si>
  <si>
    <t>50-59</t>
  </si>
  <si>
    <t>60-64</t>
  </si>
  <si>
    <t>&gt;65</t>
  </si>
  <si>
    <t>1 dose annually</t>
  </si>
  <si>
    <t>1 dose lifetime</t>
  </si>
  <si>
    <t>10 years after last TdaP</t>
  </si>
  <si>
    <t>2 doses</t>
  </si>
  <si>
    <t>3 doses</t>
  </si>
  <si>
    <t>1 dose</t>
  </si>
  <si>
    <t>1 or 2 doses</t>
  </si>
  <si>
    <t>1 time dose</t>
  </si>
  <si>
    <t>1 dose 1 year after PCV13</t>
  </si>
  <si>
    <t>Immunocompromising conditions</t>
  </si>
  <si>
    <t>HIV CD4 &lt;200</t>
  </si>
  <si>
    <t>HIV CD4 &gt;200</t>
  </si>
  <si>
    <t>MSM</t>
  </si>
  <si>
    <t>Heart Disease, Chronic Lung Disease, Chronic Alcoholism</t>
  </si>
  <si>
    <t>Kidney Failure, ESRD, hemodialysis</t>
  </si>
  <si>
    <t>Asplenia</t>
  </si>
  <si>
    <t>Chronic Liver Disease</t>
  </si>
  <si>
    <t>Healthcare Personnel</t>
  </si>
  <si>
    <t>1 dose IIV annualy</t>
  </si>
  <si>
    <t>1 dose TdaP</t>
  </si>
  <si>
    <t>TdaP recommended</t>
  </si>
  <si>
    <t>Contraindicated</t>
  </si>
  <si>
    <t>3 doses through age 26 years</t>
  </si>
  <si>
    <t>3 doses through age 21 years</t>
  </si>
  <si>
    <t>see other risk factors</t>
  </si>
  <si>
    <t>See other risk factors</t>
  </si>
  <si>
    <t>1 or 3 doses</t>
  </si>
  <si>
    <t>No recommendation</t>
  </si>
  <si>
    <t>Post-HSCT recipients only</t>
  </si>
  <si>
    <t>1 dose IIV or LAIV annually</t>
  </si>
  <si>
    <t>MSM, HIV, immunocompromised: 3 doses</t>
  </si>
  <si>
    <t>1st dose</t>
  </si>
  <si>
    <t>no recommendation</t>
  </si>
  <si>
    <t>2nd dose</t>
  </si>
  <si>
    <t>catch up for 2nd</t>
  </si>
  <si>
    <t>3rd dose</t>
  </si>
  <si>
    <t>Catch up to 3rd dose</t>
  </si>
  <si>
    <t>3rd dose if RotaTeq, otherwise not indicated</t>
  </si>
  <si>
    <t>catch up to 3rd dose</t>
  </si>
  <si>
    <t>4th dose</t>
  </si>
  <si>
    <t>catch up to 4th dose</t>
  </si>
  <si>
    <t>5th dose</t>
  </si>
  <si>
    <t>Tdap if no DTaP</t>
  </si>
  <si>
    <t>catch up</t>
  </si>
  <si>
    <t>3rd dose if ActHIB, MenHibrix or Pentacel, otherwise no dose</t>
  </si>
  <si>
    <t>3rd or 4th dose PRN</t>
  </si>
  <si>
    <t>2 doses of IIV 1 month apart</t>
  </si>
  <si>
    <t>1 or 2 doses of IIV or LAIV 1 month apart</t>
  </si>
  <si>
    <t>1 or 2 doses of IIV 1 month apart</t>
  </si>
  <si>
    <t>1 dose of LAIV or IIV annually</t>
  </si>
  <si>
    <t>2 dose series</t>
  </si>
  <si>
    <t>3 dose series</t>
  </si>
  <si>
    <t>booster</t>
  </si>
  <si>
    <t>SVA</t>
  </si>
  <si>
    <t>ASCVD/Hyperlipidemia</t>
  </si>
  <si>
    <t>Aspirin for CV risk reduction</t>
  </si>
  <si>
    <t>Diabetes T2</t>
  </si>
  <si>
    <t>estimated year of birth</t>
  </si>
  <si>
    <t>Peak Flow</t>
  </si>
  <si>
    <t>L/min</t>
  </si>
  <si>
    <t>Predicted peak flow</t>
  </si>
  <si>
    <t>Height (inches)</t>
  </si>
  <si>
    <t>Asthma Control Test Scoring</t>
  </si>
  <si>
    <t>All of the time (1 pt)</t>
  </si>
  <si>
    <t>Most of the time (2 pt)</t>
  </si>
  <si>
    <t>Some of the time (3 pt)</t>
  </si>
  <si>
    <t>A little of the time (4 pt)</t>
  </si>
  <si>
    <t>None of the time (5 pt)</t>
  </si>
  <si>
    <t>Question 1</t>
  </si>
  <si>
    <t>More than once a day(1pt)</t>
  </si>
  <si>
    <t>Once a day (2pt)</t>
  </si>
  <si>
    <t>3 to 6 times a week (3 pt)</t>
  </si>
  <si>
    <t>Once or twice a week (4pt)</t>
  </si>
  <si>
    <t>Not at all (5 pt)</t>
  </si>
  <si>
    <t>4 or more nights a week (1pt)</t>
  </si>
  <si>
    <t>2 or more nights a week  (2pt)</t>
  </si>
  <si>
    <t>Once a week (3pt)</t>
  </si>
  <si>
    <t>Once or twice (4 pt)</t>
  </si>
  <si>
    <t>3 or more times per day ( 1pt)</t>
  </si>
  <si>
    <t>1 or 2 times per day (2 pt)</t>
  </si>
  <si>
    <t>2 or 3 times per week (3 pt)</t>
  </si>
  <si>
    <t>Once a week or less (4 pt)</t>
  </si>
  <si>
    <t>Not controlled at all (1pt)</t>
  </si>
  <si>
    <t>Poorly controlled (2 pt)</t>
  </si>
  <si>
    <t>Somewhat controlled (3 pt)</t>
  </si>
  <si>
    <t>Well controlled (4pt)</t>
  </si>
  <si>
    <t>Completely controlled (5pt)</t>
  </si>
  <si>
    <t>Question 2</t>
  </si>
  <si>
    <t>Question 3</t>
  </si>
  <si>
    <t>Question 4</t>
  </si>
  <si>
    <t>Question 5</t>
  </si>
  <si>
    <t>ACT questions:</t>
  </si>
  <si>
    <t>Tobacco</t>
  </si>
  <si>
    <t>Packs per day</t>
  </si>
  <si>
    <t>Years smoking</t>
  </si>
  <si>
    <t>Ejection Fraction (Echo)</t>
  </si>
  <si>
    <t>Fagerstrom Test</t>
  </si>
  <si>
    <t>Within 5 minutes (3 points)</t>
  </si>
  <si>
    <t>31-60 minutes (1 point)</t>
  </si>
  <si>
    <t>5-30 minutes (2 points)</t>
  </si>
  <si>
    <t>Yes (1 point)</t>
  </si>
  <si>
    <t>No (0 points)</t>
  </si>
  <si>
    <t>The first in the morning (1 point)</t>
  </si>
  <si>
    <t>Any Other (0 points)</t>
  </si>
  <si>
    <t>10 or less (0 points)</t>
  </si>
  <si>
    <t>11-20 (1 point)</t>
  </si>
  <si>
    <t>21-30 (2 points)</t>
  </si>
  <si>
    <t>31 or more (3 points)</t>
  </si>
  <si>
    <t>Fagerstrom Test for Nicotine Dependence</t>
  </si>
  <si>
    <t>Meaning</t>
  </si>
  <si>
    <t>Low dependence, may not need NRT, monitor for withdrawal symptoms. Patch dose: 7 mg/24 hours, lozenge and gum 2 mg.</t>
  </si>
  <si>
    <t xml:space="preserve">Low to moderate dependence; Offer patches 14 mg/day, inhaler 6-12 cartridges/day, lozenges  2 mg or gum 2 mg. </t>
  </si>
  <si>
    <t>Moderate dependence; offer NRT of patches 21 mg/day, inhaler 6-12 cartridges/day, lozenges 4 mg, gum 4 mg or combo therapy of patches 21 mg/day AND lozenge 2 mg or gum 2 mg.</t>
  </si>
  <si>
    <t>High dependence; offer NRT of patches 21 mg/day, inhaler 6-12 cartridges/day, lozenges 4 mg, gum 4 mg or combo therapy of patches 21 mg/day AND lozenge 2 mg or gum 2 mg.</t>
  </si>
  <si>
    <t>How soon after waking do you smoke your first cigarette?</t>
  </si>
  <si>
    <t>Do you find it difficult to refrain from smoking in places where it is forbidden? (e.g. Church, Library, etc.)</t>
  </si>
  <si>
    <t>Which cigarette would you hate to give up?</t>
  </si>
  <si>
    <t>How many cigarettes a day do you smoke?</t>
  </si>
  <si>
    <t>Do you smoke more frequently in the morning?</t>
  </si>
  <si>
    <t>Do you smoke even if you are sick in bed most of the day?</t>
  </si>
  <si>
    <t>After 60 minutes (0 points)</t>
  </si>
  <si>
    <t>Erythrocyte Sedimentation Rate (ESR)</t>
  </si>
  <si>
    <t>mm/hr</t>
  </si>
  <si>
    <t>Total T3</t>
  </si>
  <si>
    <t>TSAB</t>
  </si>
  <si>
    <t>Thyroid Peroxidase Antibody (TPOAb)</t>
  </si>
  <si>
    <t>Radioactive Iodine Uptake (RAIU)</t>
  </si>
  <si>
    <t>Pain Score</t>
  </si>
  <si>
    <t>Osteoporosis Prophylaxis</t>
  </si>
  <si>
    <r>
      <t>kg/m^</t>
    </r>
    <r>
      <rPr>
        <vertAlign val="superscript"/>
        <sz val="11"/>
        <color theme="1"/>
        <rFont val="Calibri"/>
        <family val="2"/>
        <scheme val="minor"/>
      </rPr>
      <t>2</t>
    </r>
  </si>
  <si>
    <r>
      <t>=(weight in kg)/(height in m)^</t>
    </r>
    <r>
      <rPr>
        <vertAlign val="superscript"/>
        <sz val="11"/>
        <color theme="1"/>
        <rFont val="Calibri"/>
        <family val="2"/>
        <scheme val="minor"/>
      </rPr>
      <t>2</t>
    </r>
  </si>
  <si>
    <t>Patient Data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</si>
</sst>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0.00;[Red]&quot;-&quot;[$$-409]#,##0.00"/>
    <numFmt numFmtId="165" formatCode="0.0"/>
  </numFmts>
  <fonts count="28">
    <font>
      <sz val="11"/>
      <color theme="1"/>
      <name val="Calibri"/>
      <family val="2"/>
      <scheme val="minor"/>
    </font>
    <font>
      <b/>
      <sz val="11"/>
      <color theme="1"/>
      <name val="Calibri"/>
      <family val="2"/>
      <scheme val="minor"/>
    </font>
    <font>
      <sz val="12"/>
      <color theme="1"/>
      <name val="Times New Roman"/>
      <family val="1"/>
    </font>
    <font>
      <sz val="11"/>
      <color theme="0"/>
      <name val="Calibri"/>
      <family val="2"/>
      <scheme val="minor"/>
    </font>
    <font>
      <sz val="11"/>
      <color theme="1"/>
      <name val="Liberation Sans"/>
    </font>
    <font>
      <b/>
      <i/>
      <sz val="16"/>
      <color theme="1"/>
      <name val="Liberation Sans"/>
    </font>
    <font>
      <b/>
      <i/>
      <u/>
      <sz val="11"/>
      <color theme="1"/>
      <name val="Liberation Sans"/>
    </font>
    <font>
      <sz val="11"/>
      <color theme="1"/>
      <name val="Times New Roman"/>
      <family val="1"/>
    </font>
    <font>
      <u/>
      <sz val="11"/>
      <color theme="10"/>
      <name val="Calibri"/>
      <family val="2"/>
      <scheme val="minor"/>
    </font>
    <font>
      <sz val="8"/>
      <color rgb="FF444444"/>
      <name val="Calibri"/>
      <family val="2"/>
      <scheme val="minor"/>
    </font>
    <font>
      <sz val="8"/>
      <color theme="1"/>
      <name val="Calibri"/>
      <family val="2"/>
      <scheme val="minor"/>
    </font>
    <font>
      <vertAlign val="subscript"/>
      <sz val="10"/>
      <color rgb="FF000000"/>
      <name val="Calibri"/>
      <family val="2"/>
    </font>
    <font>
      <sz val="11"/>
      <name val="Calibri"/>
      <family val="2"/>
      <scheme val="minor"/>
    </font>
    <font>
      <sz val="11"/>
      <color theme="1"/>
      <name val="Century"/>
      <family val="1"/>
    </font>
    <font>
      <b/>
      <sz val="11"/>
      <name val="Calibri"/>
      <family val="2"/>
      <scheme val="minor"/>
    </font>
    <font>
      <sz val="10"/>
      <name val="Arial"/>
      <family val="2"/>
    </font>
    <font>
      <b/>
      <sz val="10"/>
      <name val="Arial"/>
      <family val="2"/>
    </font>
    <font>
      <b/>
      <u/>
      <sz val="10"/>
      <color indexed="10"/>
      <name val="Arial"/>
      <family val="2"/>
    </font>
    <font>
      <b/>
      <sz val="10"/>
      <color indexed="10"/>
      <name val="Arial"/>
      <family val="2"/>
    </font>
    <font>
      <sz val="11"/>
      <color rgb="FF000000"/>
      <name val="Calibri"/>
      <family val="2"/>
    </font>
    <font>
      <b/>
      <sz val="10"/>
      <color rgb="FF000000"/>
      <name val="Arial"/>
      <family val="2"/>
    </font>
    <font>
      <b/>
      <u/>
      <sz val="12"/>
      <color indexed="56"/>
      <name val="Arial"/>
      <family val="2"/>
    </font>
    <font>
      <b/>
      <sz val="10"/>
      <color indexed="8"/>
      <name val="Arial"/>
      <family val="2"/>
    </font>
    <font>
      <b/>
      <sz val="10"/>
      <color indexed="12"/>
      <name val="Arial"/>
      <family val="2"/>
    </font>
    <font>
      <sz val="10"/>
      <color theme="1"/>
      <name val="Calibri"/>
      <family val="2"/>
    </font>
    <font>
      <b/>
      <sz val="12"/>
      <color theme="1"/>
      <name val="Times New Roman"/>
      <family val="1"/>
    </font>
    <font>
      <sz val="10"/>
      <color rgb="FF000000"/>
      <name val="Times New Roman"/>
      <family val="1"/>
    </font>
    <font>
      <vertAlign val="superscrip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indexed="13"/>
        <bgColor indexed="64"/>
      </patternFill>
    </fill>
    <fill>
      <patternFill patternType="solid">
        <fgColor rgb="FF92D050"/>
        <bgColor indexed="64"/>
      </patternFill>
    </fill>
    <fill>
      <patternFill patternType="solid">
        <fgColor rgb="FF00B0F0"/>
        <bgColor indexed="64"/>
      </patternFill>
    </fill>
  </fills>
  <borders count="10">
    <border>
      <left/>
      <right/>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diagonal/>
    </border>
    <border>
      <left style="medium">
        <color indexed="8"/>
      </left>
      <right/>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8">
    <xf numFmtId="0" fontId="0" fillId="0" borderId="0"/>
    <xf numFmtId="0" fontId="4" fillId="0" borderId="0"/>
    <xf numFmtId="0" fontId="5" fillId="0" borderId="0">
      <alignment horizontal="center"/>
    </xf>
    <xf numFmtId="0" fontId="5" fillId="0" borderId="0">
      <alignment horizontal="center" textRotation="90"/>
    </xf>
    <xf numFmtId="0" fontId="6" fillId="0" borderId="0"/>
    <xf numFmtId="164" fontId="6" fillId="0" borderId="0"/>
    <xf numFmtId="0" fontId="8" fillId="0" borderId="0" applyNumberFormat="0" applyFill="0" applyBorder="0" applyAlignment="0" applyProtection="0"/>
    <xf numFmtId="0" fontId="15" fillId="0" borderId="0"/>
  </cellStyleXfs>
  <cellXfs count="108">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2" fontId="0" fillId="0" borderId="0" xfId="0" applyNumberFormat="1"/>
    <xf numFmtId="0" fontId="0" fillId="0" borderId="0" xfId="0" applyAlignment="1">
      <alignment wrapText="1"/>
    </xf>
    <xf numFmtId="2" fontId="0" fillId="0" borderId="0" xfId="0" quotePrefix="1" applyNumberFormat="1"/>
    <xf numFmtId="0" fontId="0" fillId="0" borderId="0" xfId="0" quotePrefix="1"/>
    <xf numFmtId="0" fontId="0" fillId="0" borderId="0" xfId="0" applyAlignment="1">
      <alignment wrapText="1"/>
    </xf>
    <xf numFmtId="0" fontId="4" fillId="0" borderId="0" xfId="1"/>
    <xf numFmtId="0" fontId="0" fillId="0" borderId="0" xfId="0" applyAlignment="1">
      <alignment wrapText="1"/>
    </xf>
    <xf numFmtId="16" fontId="0" fillId="0" borderId="0" xfId="0" quotePrefix="1" applyNumberFormat="1"/>
    <xf numFmtId="0" fontId="0" fillId="0" borderId="0" xfId="0" applyAlignment="1">
      <alignment wrapText="1"/>
    </xf>
    <xf numFmtId="0" fontId="0" fillId="0" borderId="0" xfId="0" applyAlignment="1">
      <alignment wrapText="1"/>
    </xf>
    <xf numFmtId="0" fontId="8" fillId="0" borderId="0" xfId="6"/>
    <xf numFmtId="0" fontId="7" fillId="0" borderId="0" xfId="0" applyFont="1" applyAlignment="1">
      <alignment vertical="center" wrapText="1"/>
    </xf>
    <xf numFmtId="0" fontId="9" fillId="0" borderId="0" xfId="0" applyFont="1"/>
    <xf numFmtId="0" fontId="10" fillId="0" borderId="0" xfId="0" applyFont="1"/>
    <xf numFmtId="0" fontId="0" fillId="0" borderId="0" xfId="0" applyAlignment="1">
      <alignment wrapText="1"/>
    </xf>
    <xf numFmtId="0" fontId="12" fillId="0" borderId="0" xfId="0" applyFont="1"/>
    <xf numFmtId="0" fontId="13" fillId="0" borderId="0" xfId="0" applyFont="1"/>
    <xf numFmtId="0" fontId="0" fillId="0" borderId="0" xfId="0" applyAlignment="1">
      <alignment wrapText="1"/>
    </xf>
    <xf numFmtId="1" fontId="0" fillId="0" borderId="0" xfId="0" applyNumberFormat="1"/>
    <xf numFmtId="0" fontId="14" fillId="0" borderId="0" xfId="0" applyFont="1"/>
    <xf numFmtId="0" fontId="0" fillId="0" borderId="0" xfId="0" applyAlignment="1">
      <alignment wrapText="1"/>
    </xf>
    <xf numFmtId="0" fontId="16" fillId="2" borderId="0" xfId="7" applyFont="1" applyFill="1"/>
    <xf numFmtId="0" fontId="16" fillId="0" borderId="0" xfId="7" applyFont="1"/>
    <xf numFmtId="0" fontId="15" fillId="0" borderId="0" xfId="7"/>
    <xf numFmtId="0" fontId="15" fillId="0" borderId="0" xfId="7" applyAlignment="1">
      <alignment horizontal="center"/>
    </xf>
    <xf numFmtId="0" fontId="16" fillId="3" borderId="1" xfId="7" applyFont="1" applyFill="1" applyBorder="1" applyAlignment="1">
      <alignment wrapText="1"/>
    </xf>
    <xf numFmtId="0" fontId="16" fillId="4" borderId="1" xfId="7" applyFont="1" applyFill="1" applyBorder="1" applyAlignment="1">
      <alignment horizontal="center" wrapText="1"/>
    </xf>
    <xf numFmtId="0" fontId="15" fillId="0" borderId="0" xfId="7" applyNumberFormat="1" applyAlignment="1">
      <alignment horizontal="center"/>
    </xf>
    <xf numFmtId="0" fontId="16" fillId="3" borderId="2" xfId="7" applyFont="1" applyFill="1" applyBorder="1" applyAlignment="1">
      <alignment wrapText="1"/>
    </xf>
    <xf numFmtId="0" fontId="15" fillId="4" borderId="0" xfId="7" applyFont="1" applyFill="1" applyAlignment="1">
      <alignment horizontal="center"/>
    </xf>
    <xf numFmtId="0" fontId="16" fillId="3" borderId="3" xfId="7" applyFont="1" applyFill="1" applyBorder="1" applyAlignment="1">
      <alignment wrapText="1"/>
    </xf>
    <xf numFmtId="2" fontId="15" fillId="2" borderId="0" xfId="7" applyNumberFormat="1" applyFill="1"/>
    <xf numFmtId="0" fontId="15" fillId="2" borderId="0" xfId="7" applyFill="1"/>
    <xf numFmtId="0" fontId="17" fillId="0" borderId="0" xfId="7" applyFont="1"/>
    <xf numFmtId="0" fontId="15" fillId="0" borderId="0" xfId="7" applyFill="1" applyAlignment="1"/>
    <xf numFmtId="0" fontId="15" fillId="0" borderId="0" xfId="7" applyAlignment="1"/>
    <xf numFmtId="0" fontId="15" fillId="2" borderId="0" xfId="7" applyFill="1" applyAlignment="1">
      <alignment horizontal="center"/>
    </xf>
    <xf numFmtId="0" fontId="15" fillId="0" borderId="0" xfId="7" applyFill="1"/>
    <xf numFmtId="0" fontId="15" fillId="4" borderId="0" xfId="7" applyFill="1" applyAlignment="1">
      <alignment horizontal="center"/>
    </xf>
    <xf numFmtId="0" fontId="15" fillId="0" borderId="0" xfId="7" applyFill="1" applyAlignment="1">
      <alignment horizontal="center"/>
    </xf>
    <xf numFmtId="0" fontId="16" fillId="0" borderId="0" xfId="7" applyFont="1" applyAlignment="1">
      <alignment horizontal="center"/>
    </xf>
    <xf numFmtId="0" fontId="18" fillId="4" borderId="0" xfId="7" applyFont="1" applyFill="1"/>
    <xf numFmtId="0" fontId="18" fillId="0" borderId="0" xfId="7" applyFont="1" applyFill="1"/>
    <xf numFmtId="0" fontId="16" fillId="0" borderId="0" xfId="7" applyFont="1" applyFill="1"/>
    <xf numFmtId="0" fontId="16" fillId="0" borderId="0" xfId="7" applyFont="1" applyFill="1" applyAlignment="1">
      <alignment horizontal="center"/>
    </xf>
    <xf numFmtId="0" fontId="16" fillId="4" borderId="0" xfId="7" applyFont="1" applyFill="1" applyBorder="1" applyAlignment="1">
      <alignment horizontal="center" wrapText="1"/>
    </xf>
    <xf numFmtId="0" fontId="16" fillId="3" borderId="0" xfId="7" applyFont="1" applyFill="1" applyBorder="1" applyAlignment="1">
      <alignment wrapText="1"/>
    </xf>
    <xf numFmtId="165" fontId="15" fillId="0" borderId="0" xfId="7" applyNumberFormat="1"/>
    <xf numFmtId="0" fontId="15" fillId="0" borderId="0" xfId="7" applyAlignment="1" applyProtection="1">
      <alignment horizontal="center"/>
    </xf>
    <xf numFmtId="0" fontId="15" fillId="0" borderId="0" xfId="7" applyAlignment="1" applyProtection="1">
      <alignment wrapText="1"/>
    </xf>
    <xf numFmtId="0" fontId="15" fillId="0" borderId="0" xfId="7" applyAlignment="1" applyProtection="1">
      <alignment horizontal="center" wrapText="1"/>
    </xf>
    <xf numFmtId="0" fontId="15" fillId="0" borderId="0" xfId="7" applyFont="1" applyAlignment="1" applyProtection="1">
      <alignment wrapText="1"/>
    </xf>
    <xf numFmtId="0" fontId="19" fillId="0" borderId="0" xfId="7" applyFont="1" applyAlignment="1" applyProtection="1">
      <alignment vertical="center"/>
    </xf>
    <xf numFmtId="0" fontId="20" fillId="0" borderId="0" xfId="7" applyFont="1" applyAlignment="1" applyProtection="1">
      <alignment vertical="center" wrapText="1"/>
    </xf>
    <xf numFmtId="165" fontId="16" fillId="5" borderId="4" xfId="7" applyNumberFormat="1" applyFont="1" applyFill="1" applyBorder="1" applyAlignment="1" applyProtection="1">
      <alignment horizontal="center" vertical="center" wrapText="1"/>
    </xf>
    <xf numFmtId="49" fontId="15" fillId="2" borderId="4" xfId="7" applyNumberFormat="1" applyFill="1" applyBorder="1" applyAlignment="1" applyProtection="1">
      <alignment horizontal="left" vertical="center" wrapText="1"/>
    </xf>
    <xf numFmtId="49" fontId="15" fillId="0" borderId="0" xfId="7" applyNumberFormat="1" applyAlignment="1">
      <alignment wrapText="1"/>
    </xf>
    <xf numFmtId="165" fontId="15" fillId="0" borderId="0" xfId="7" applyNumberFormat="1" applyFill="1" applyAlignment="1">
      <alignment horizontal="center" wrapText="1"/>
    </xf>
    <xf numFmtId="49" fontId="15" fillId="0" borderId="0" xfId="7" applyNumberFormat="1" applyAlignment="1">
      <alignment horizontal="center" wrapText="1"/>
    </xf>
    <xf numFmtId="165" fontId="16" fillId="6" borderId="4" xfId="7" applyNumberFormat="1" applyFont="1" applyFill="1" applyBorder="1" applyAlignment="1" applyProtection="1">
      <alignment horizontal="center" vertical="center" wrapText="1"/>
    </xf>
    <xf numFmtId="49" fontId="16" fillId="2" borderId="4" xfId="7" applyNumberFormat="1" applyFont="1" applyFill="1" applyBorder="1" applyAlignment="1" applyProtection="1">
      <alignment horizontal="center" vertical="center" wrapText="1"/>
    </xf>
    <xf numFmtId="49" fontId="15" fillId="0" borderId="0" xfId="7" applyNumberFormat="1" applyFill="1" applyAlignment="1">
      <alignment wrapText="1"/>
    </xf>
    <xf numFmtId="49" fontId="15" fillId="0" borderId="0" xfId="7" applyNumberFormat="1" applyFill="1" applyAlignment="1">
      <alignment horizontal="left" wrapText="1"/>
    </xf>
    <xf numFmtId="49" fontId="15" fillId="0" borderId="0" xfId="7" applyNumberFormat="1" applyFill="1" applyAlignment="1">
      <alignment horizontal="center" wrapText="1"/>
    </xf>
    <xf numFmtId="165" fontId="16" fillId="0" borderId="0" xfId="7" applyNumberFormat="1" applyFont="1" applyFill="1" applyAlignment="1" applyProtection="1">
      <alignment horizontal="center" wrapText="1"/>
    </xf>
    <xf numFmtId="49" fontId="15" fillId="0" borderId="0" xfId="7" applyNumberFormat="1" applyFill="1" applyAlignment="1" applyProtection="1">
      <alignment horizontal="left" wrapText="1"/>
    </xf>
    <xf numFmtId="165" fontId="16" fillId="0" borderId="0" xfId="7" applyNumberFormat="1" applyFont="1" applyFill="1" applyAlignment="1">
      <alignment horizontal="center" vertical="center" wrapText="1"/>
    </xf>
    <xf numFmtId="49" fontId="15" fillId="0" borderId="0" xfId="7" applyNumberFormat="1" applyFill="1" applyAlignment="1">
      <alignment horizontal="left" vertical="center" wrapText="1"/>
    </xf>
    <xf numFmtId="49" fontId="15" fillId="0" borderId="0" xfId="7" applyNumberFormat="1" applyAlignment="1">
      <alignment horizontal="center" vertical="center" wrapText="1"/>
    </xf>
    <xf numFmtId="49" fontId="16" fillId="0" borderId="0" xfId="7" applyNumberFormat="1" applyFont="1" applyFill="1" applyBorder="1" applyAlignment="1">
      <alignment horizontal="center" vertical="center" wrapText="1"/>
    </xf>
    <xf numFmtId="165" fontId="15" fillId="0" borderId="0" xfId="7" applyNumberFormat="1" applyAlignment="1">
      <alignment horizontal="center"/>
    </xf>
    <xf numFmtId="165" fontId="15" fillId="0" borderId="1" xfId="7" applyNumberFormat="1" applyBorder="1" applyAlignment="1">
      <alignment horizontal="center"/>
    </xf>
    <xf numFmtId="0" fontId="15" fillId="3" borderId="1" xfId="7" applyFont="1" applyFill="1" applyBorder="1" applyAlignment="1">
      <alignment horizontal="center" wrapText="1"/>
    </xf>
    <xf numFmtId="0" fontId="23" fillId="3" borderId="1" xfId="7" applyFont="1" applyFill="1" applyBorder="1" applyAlignment="1" applyProtection="1">
      <alignment horizontal="center" wrapText="1"/>
      <protection locked="0"/>
    </xf>
    <xf numFmtId="0" fontId="15" fillId="3" borderId="1" xfId="7" applyFont="1" applyFill="1" applyBorder="1" applyAlignment="1" applyProtection="1">
      <alignment horizontal="center" wrapText="1"/>
    </xf>
    <xf numFmtId="0" fontId="16" fillId="3" borderId="1" xfId="7" applyFont="1" applyFill="1" applyBorder="1" applyAlignment="1" applyProtection="1">
      <alignment wrapText="1"/>
    </xf>
    <xf numFmtId="1" fontId="15" fillId="0" borderId="1" xfId="7" applyNumberFormat="1" applyBorder="1" applyAlignment="1">
      <alignment horizontal="center"/>
    </xf>
    <xf numFmtId="0" fontId="15" fillId="0" borderId="1" xfId="7" applyBorder="1" applyAlignment="1" applyProtection="1">
      <alignment horizontal="center"/>
    </xf>
    <xf numFmtId="0" fontId="16" fillId="3" borderId="1" xfId="7" applyFont="1" applyFill="1" applyBorder="1" applyAlignment="1">
      <alignment horizontal="center" wrapText="1"/>
    </xf>
    <xf numFmtId="0" fontId="16" fillId="3" borderId="1" xfId="7" applyFont="1" applyFill="1" applyBorder="1" applyAlignment="1" applyProtection="1">
      <alignment horizontal="center" wrapText="1"/>
    </xf>
    <xf numFmtId="0" fontId="15" fillId="0" borderId="1" xfId="7" applyBorder="1"/>
    <xf numFmtId="0" fontId="15" fillId="3" borderId="1" xfId="7" applyFont="1" applyFill="1" applyBorder="1" applyAlignment="1" applyProtection="1">
      <alignment wrapText="1"/>
    </xf>
    <xf numFmtId="0" fontId="0" fillId="0" borderId="0" xfId="0" applyAlignment="1">
      <alignment wrapText="1"/>
    </xf>
    <xf numFmtId="0" fontId="0" fillId="0" borderId="0" xfId="0" quotePrefix="1" applyNumberFormat="1"/>
    <xf numFmtId="0" fontId="0" fillId="0" borderId="0" xfId="0" applyNumberFormat="1"/>
    <xf numFmtId="16" fontId="0" fillId="0" borderId="0" xfId="0" applyNumberFormat="1"/>
    <xf numFmtId="0" fontId="0" fillId="0" borderId="0" xfId="0" applyAlignment="1">
      <alignment wrapText="1"/>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5" xfId="0" applyFont="1" applyBorder="1" applyAlignment="1">
      <alignment vertical="center" wrapText="1"/>
    </xf>
    <xf numFmtId="0" fontId="24" fillId="0" borderId="6" xfId="0" applyFont="1" applyBorder="1" applyAlignment="1">
      <alignment vertical="center" wrapText="1"/>
    </xf>
    <xf numFmtId="0" fontId="24" fillId="0" borderId="7" xfId="0" applyFont="1" applyBorder="1" applyAlignment="1">
      <alignment vertical="center" wrapText="1"/>
    </xf>
    <xf numFmtId="0" fontId="24" fillId="0" borderId="8" xfId="0" applyFont="1" applyBorder="1" applyAlignment="1">
      <alignment vertical="center" wrapText="1"/>
    </xf>
    <xf numFmtId="0" fontId="24" fillId="0" borderId="9" xfId="0" applyFont="1" applyBorder="1" applyAlignment="1">
      <alignment vertical="center" wrapText="1"/>
    </xf>
    <xf numFmtId="0" fontId="3" fillId="0" borderId="0" xfId="0" applyFont="1" applyFill="1"/>
    <xf numFmtId="0" fontId="2" fillId="0" borderId="0" xfId="0" applyFont="1" applyAlignment="1">
      <alignment vertical="center"/>
    </xf>
    <xf numFmtId="0" fontId="25" fillId="0" borderId="0" xfId="0" applyFont="1" applyAlignment="1">
      <alignment vertical="center"/>
    </xf>
    <xf numFmtId="165" fontId="0" fillId="0" borderId="0" xfId="0" applyNumberFormat="1"/>
    <xf numFmtId="0" fontId="26" fillId="0" borderId="0" xfId="0" applyFont="1" applyAlignment="1">
      <alignment vertical="center" wrapText="1"/>
    </xf>
    <xf numFmtId="0" fontId="0" fillId="0" borderId="0" xfId="0" applyAlignment="1">
      <alignment wrapText="1"/>
    </xf>
    <xf numFmtId="0" fontId="0" fillId="0" borderId="0" xfId="0" applyAlignment="1">
      <alignment horizontal="center"/>
    </xf>
  </cellXfs>
  <cellStyles count="8">
    <cellStyle name="Heading" xfId="2"/>
    <cellStyle name="Heading1" xfId="3"/>
    <cellStyle name="Hyperlink" xfId="6" builtinId="8"/>
    <cellStyle name="Normal" xfId="0" builtinId="0"/>
    <cellStyle name="Normal 2" xfId="1"/>
    <cellStyle name="Normal 3" xfId="7"/>
    <cellStyle name="Result" xfId="4"/>
    <cellStyle name="Result2" xfId="5"/>
  </cellStyles>
  <dxfs count="45">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ill>
        <patternFill>
          <bgColor theme="7" tint="0.59996337778862885"/>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dxf>
    <dxf>
      <fill>
        <patternFill>
          <bgColor theme="9"/>
        </patternFill>
      </fill>
    </dxf>
    <dxf>
      <fill>
        <patternFill>
          <bgColor rgb="FFC59EE2"/>
        </patternFill>
      </fill>
    </dxf>
    <dxf>
      <fill>
        <patternFill>
          <bgColor rgb="FFC00000"/>
        </patternFill>
      </fill>
    </dxf>
    <dxf>
      <font>
        <color theme="1"/>
      </font>
      <fill>
        <patternFill>
          <bgColor theme="4" tint="0.79998168889431442"/>
        </patternFill>
      </fill>
    </dxf>
    <dxf>
      <font>
        <color theme="1"/>
      </font>
      <fill>
        <patternFill>
          <bgColor theme="4" tint="0.79998168889431442"/>
        </patternFill>
      </fill>
    </dxf>
    <dxf>
      <font>
        <color theme="1"/>
      </font>
      <fill>
        <patternFill>
          <bgColor theme="4" tint="0.79998168889431442"/>
        </patternFill>
      </fill>
    </dxf>
    <dxf>
      <font>
        <color theme="1"/>
      </font>
      <fill>
        <patternFill>
          <bgColor theme="4" tint="0.59996337778862885"/>
        </patternFill>
      </fill>
    </dxf>
    <dxf>
      <font>
        <color theme="0"/>
      </font>
      <fill>
        <patternFill patternType="none">
          <bgColor auto="1"/>
        </patternFill>
      </fill>
    </dxf>
    <dxf>
      <font>
        <color theme="1"/>
      </font>
      <fill>
        <patternFill>
          <bgColor theme="4" tint="0.59996337778862885"/>
        </patternFill>
      </fill>
    </dxf>
    <dxf>
      <font>
        <color theme="1"/>
      </font>
      <fill>
        <patternFill>
          <bgColor theme="0" tint="-0.14996795556505021"/>
        </patternFill>
      </fill>
    </dxf>
    <dxf>
      <font>
        <color auto="1"/>
      </font>
      <fill>
        <patternFill>
          <bgColor theme="4"/>
        </patternFill>
      </fill>
    </dxf>
    <dxf>
      <font>
        <color theme="1"/>
      </font>
      <fill>
        <patternFill>
          <bgColor theme="5" tint="-0.24994659260841701"/>
        </patternFill>
      </fill>
    </dxf>
    <dxf>
      <font>
        <color theme="1"/>
      </font>
      <fill>
        <patternFill>
          <bgColor theme="5" tint="-0.24994659260841701"/>
        </patternFill>
      </fill>
    </dxf>
    <dxf>
      <font>
        <color theme="1"/>
      </font>
      <fill>
        <patternFill>
          <bgColor theme="5" tint="-0.24994659260841701"/>
        </patternFill>
      </fill>
    </dxf>
    <dxf>
      <font>
        <color theme="1"/>
      </font>
      <fill>
        <patternFill>
          <bgColor theme="4"/>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5" tint="-0.24994659260841701"/>
        </patternFill>
      </fill>
    </dxf>
    <dxf>
      <font>
        <color theme="1"/>
      </font>
      <fill>
        <patternFill>
          <bgColor theme="7" tint="0.59996337778862885"/>
        </patternFill>
      </fill>
    </dxf>
    <dxf>
      <font>
        <color theme="1"/>
      </font>
      <fill>
        <patternFill>
          <bgColor theme="5" tint="-0.24994659260841701"/>
        </patternFill>
      </fill>
    </dxf>
    <dxf>
      <font>
        <color theme="1"/>
      </font>
      <fill>
        <patternFill>
          <bgColor theme="7" tint="0.59996337778862885"/>
        </patternFill>
      </fill>
    </dxf>
    <dxf>
      <font>
        <color theme="1"/>
      </font>
      <fill>
        <patternFill>
          <bgColor theme="5" tint="-0.24994659260841701"/>
        </patternFill>
      </fill>
    </dxf>
    <dxf>
      <fill>
        <patternFill>
          <bgColor rgb="FFF63732"/>
        </patternFill>
      </fill>
    </dxf>
  </dxfs>
  <tableStyles count="0" defaultTableStyle="TableStyleMedium2" defaultPivotStyle="PivotStyleLight16"/>
  <colors>
    <mruColors>
      <color rgb="FFC59EE2"/>
      <color rgb="FFF637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US"/>
              <a:t>10-Year and Lifetime ASCVD Risks</a:t>
            </a:r>
          </a:p>
        </c:rich>
      </c:tx>
      <c:layout>
        <c:manualLayout>
          <c:xMode val="edge"/>
          <c:yMode val="edge"/>
          <c:x val="0.16728045357966617"/>
          <c:y val="1.8517886313161903E-2"/>
        </c:manualLayout>
      </c:layout>
      <c:overlay val="0"/>
    </c:title>
    <c:autoTitleDeleted val="0"/>
    <c:plotArea>
      <c:layout/>
      <c:barChart>
        <c:barDir val="col"/>
        <c:grouping val="clustered"/>
        <c:varyColors val="0"/>
        <c:ser>
          <c:idx val="0"/>
          <c:order val="0"/>
          <c:invertIfNegative val="0"/>
          <c:dPt>
            <c:idx val="0"/>
            <c:invertIfNegative val="0"/>
            <c:bubble3D val="0"/>
            <c:spPr>
              <a:solidFill>
                <a:srgbClr val="00B0F0"/>
              </a:solidFill>
            </c:spPr>
          </c:dPt>
          <c:dPt>
            <c:idx val="1"/>
            <c:invertIfNegative val="0"/>
            <c:bubble3D val="0"/>
            <c:spPr>
              <a:solidFill>
                <a:srgbClr val="92D050"/>
              </a:solidFill>
            </c:spPr>
          </c:dPt>
          <c:dPt>
            <c:idx val="3"/>
            <c:invertIfNegative val="0"/>
            <c:bubble3D val="0"/>
            <c:spPr>
              <a:solidFill>
                <a:srgbClr val="00B0F0"/>
              </a:solidFill>
            </c:spPr>
          </c:dPt>
          <c:dPt>
            <c:idx val="4"/>
            <c:invertIfNegative val="0"/>
            <c:bubble3D val="0"/>
            <c:spPr>
              <a:solidFill>
                <a:srgbClr val="92D050"/>
              </a:solidFill>
            </c:spPr>
          </c:dPt>
          <c:cat>
            <c:strRef>
              <c:f>Omnibus!$A$13:$A$17</c:f>
              <c:strCache>
                <c:ptCount val="5"/>
                <c:pt idx="0">
                  <c:v>Your 10-Year ASCVD Risk (%)</c:v>
                </c:pt>
                <c:pt idx="1">
                  <c:v>10-Year ASCVD Risk (%) for Someone Your Age with Optimal Risk Factor Levels (shown above in column E)</c:v>
                </c:pt>
                <c:pt idx="3">
                  <c:v>Your Lifetime ASCVD Risk* (%)</c:v>
                </c:pt>
                <c:pt idx="4">
                  <c:v>Lifetime ASCVD Risk (%) for Someone at Age 50 with Optimal Risk Factor Levels (shown above in column E)</c:v>
                </c:pt>
              </c:strCache>
            </c:strRef>
          </c:cat>
          <c:val>
            <c:numRef>
              <c:f>Omnibus!$B$13:$B$17</c:f>
              <c:numCache>
                <c:formatCode>0.0</c:formatCode>
                <c:ptCount val="5"/>
                <c:pt idx="0">
                  <c:v>0</c:v>
                </c:pt>
                <c:pt idx="1">
                  <c:v>0</c:v>
                </c:pt>
                <c:pt idx="3">
                  <c:v>0</c:v>
                </c:pt>
                <c:pt idx="4">
                  <c:v>5</c:v>
                </c:pt>
              </c:numCache>
            </c:numRef>
          </c:val>
        </c:ser>
        <c:dLbls>
          <c:showLegendKey val="0"/>
          <c:showVal val="0"/>
          <c:showCatName val="0"/>
          <c:showSerName val="0"/>
          <c:showPercent val="0"/>
          <c:showBubbleSize val="0"/>
        </c:dLbls>
        <c:gapWidth val="0"/>
        <c:overlap val="-25"/>
        <c:axId val="142515376"/>
        <c:axId val="142515768"/>
      </c:barChart>
      <c:catAx>
        <c:axId val="142515376"/>
        <c:scaling>
          <c:orientation val="minMax"/>
        </c:scaling>
        <c:delete val="0"/>
        <c:axPos val="b"/>
        <c:numFmt formatCode="General" sourceLinked="1"/>
        <c:majorTickMark val="none"/>
        <c:minorTickMark val="none"/>
        <c:tickLblPos val="nextTo"/>
        <c:txPr>
          <a:bodyPr/>
          <a:lstStyle/>
          <a:p>
            <a:pPr>
              <a:defRPr b="1"/>
            </a:pPr>
            <a:endParaRPr lang="en-US"/>
          </a:p>
        </c:txPr>
        <c:crossAx val="142515768"/>
        <c:crosses val="autoZero"/>
        <c:auto val="1"/>
        <c:lblAlgn val="ctr"/>
        <c:lblOffset val="100"/>
        <c:noMultiLvlLbl val="0"/>
      </c:catAx>
      <c:valAx>
        <c:axId val="142515768"/>
        <c:scaling>
          <c:orientation val="minMax"/>
          <c:min val="0"/>
        </c:scaling>
        <c:delete val="0"/>
        <c:axPos val="l"/>
        <c:majorGridlines/>
        <c:title>
          <c:tx>
            <c:rich>
              <a:bodyPr rot="-5400000" vert="horz"/>
              <a:lstStyle/>
              <a:p>
                <a:pPr>
                  <a:defRPr b="1"/>
                </a:pPr>
                <a:r>
                  <a:rPr lang="en-US" b="1"/>
                  <a:t>Predicted Risk (%)</a:t>
                </a:r>
              </a:p>
            </c:rich>
          </c:tx>
          <c:overlay val="0"/>
        </c:title>
        <c:numFmt formatCode="0.0" sourceLinked="1"/>
        <c:majorTickMark val="none"/>
        <c:minorTickMark val="none"/>
        <c:tickLblPos val="nextTo"/>
        <c:spPr>
          <a:ln w="9525">
            <a:noFill/>
          </a:ln>
        </c:spPr>
        <c:crossAx val="142515376"/>
        <c:crosses val="autoZero"/>
        <c:crossBetween val="between"/>
      </c:valAx>
      <c:spPr>
        <a:noFill/>
        <a:ln>
          <a:solidFill>
            <a:schemeClr val="tx1"/>
          </a:solidFill>
        </a:ln>
      </c:spPr>
    </c:plotArea>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xdr:colOff>
      <xdr:row>12</xdr:row>
      <xdr:rowOff>9525</xdr:rowOff>
    </xdr:from>
    <xdr:to>
      <xdr:col>7</xdr:col>
      <xdr:colOff>571500</xdr:colOff>
      <xdr:row>18</xdr:row>
      <xdr:rowOff>1219200</xdr:rowOff>
    </xdr:to>
    <xdr:graphicFrame macro="">
      <xdr:nvGraphicFramePr>
        <xdr:cNvPr id="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hyperlink" Target="http://accesspharmacy.mhmedical.com.stlcopisa.stlcop.edu/content.aspx?bookid=689&amp;sectionid=48811459" TargetMode="External"/><Relationship Id="rId2" Type="http://schemas.openxmlformats.org/officeDocument/2006/relationships/hyperlink" Target="http://www.accesspharmacy.com/content.aspx?aID=57484802" TargetMode="External"/><Relationship Id="rId1" Type="http://schemas.openxmlformats.org/officeDocument/2006/relationships/hyperlink" Target="http://www.accesspharmacy.com/content.aspx?aID=7990956" TargetMode="External"/><Relationship Id="rId5" Type="http://schemas.openxmlformats.org/officeDocument/2006/relationships/printerSettings" Target="../printerSettings/printerSettings11.bin"/><Relationship Id="rId4" Type="http://schemas.openxmlformats.org/officeDocument/2006/relationships/hyperlink" Target="http://accesspharmacy.mhmedical.com.stlcopisa.stlcop.edu/content.aspx?bookid=689&amp;sectionid=48811457"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9"/>
  <sheetViews>
    <sheetView workbookViewId="0">
      <selection sqref="A1:D1"/>
    </sheetView>
  </sheetViews>
  <sheetFormatPr defaultRowHeight="15"/>
  <cols>
    <col min="1" max="1" width="39.140625" customWidth="1"/>
    <col min="2" max="2" width="68" customWidth="1"/>
    <col min="4" max="4" width="26.7109375" customWidth="1"/>
    <col min="8" max="8" width="9.140625" customWidth="1"/>
  </cols>
  <sheetData>
    <row r="1" spans="1:4" ht="283.5" customHeight="1">
      <c r="A1" s="106" t="s">
        <v>2459</v>
      </c>
      <c r="B1" s="106"/>
      <c r="C1" s="106"/>
      <c r="D1" s="106"/>
    </row>
    <row r="2" spans="1:4">
      <c r="A2" s="1" t="s">
        <v>2265</v>
      </c>
      <c r="B2" s="1" t="s">
        <v>2266</v>
      </c>
    </row>
    <row r="3" spans="1:4">
      <c r="A3" s="15" t="s">
        <v>2264</v>
      </c>
      <c r="B3" t="s">
        <v>2267</v>
      </c>
    </row>
    <row r="4" spans="1:4">
      <c r="A4" s="15" t="s">
        <v>2268</v>
      </c>
      <c r="B4" t="s">
        <v>2298</v>
      </c>
    </row>
    <row r="5" spans="1:4">
      <c r="A5" s="15" t="s">
        <v>2131</v>
      </c>
      <c r="B5" t="s">
        <v>2269</v>
      </c>
    </row>
    <row r="6" spans="1:4">
      <c r="A6" s="15" t="s">
        <v>2270</v>
      </c>
      <c r="B6" t="s">
        <v>2271</v>
      </c>
    </row>
    <row r="7" spans="1:4">
      <c r="A7" s="15" t="s">
        <v>2272</v>
      </c>
      <c r="B7" t="s">
        <v>2273</v>
      </c>
    </row>
    <row r="8" spans="1:4">
      <c r="A8" s="15" t="s">
        <v>2274</v>
      </c>
      <c r="B8" t="s">
        <v>2275</v>
      </c>
    </row>
    <row r="9" spans="1:4">
      <c r="A9" s="15" t="s">
        <v>2276</v>
      </c>
      <c r="B9" t="s">
        <v>2277</v>
      </c>
    </row>
    <row r="10" spans="1:4">
      <c r="A10" s="1" t="s">
        <v>2289</v>
      </c>
    </row>
    <row r="11" spans="1:4">
      <c r="A11" t="s">
        <v>2278</v>
      </c>
      <c r="B11" t="s">
        <v>2299</v>
      </c>
    </row>
    <row r="12" spans="1:4">
      <c r="A12" t="s">
        <v>2282</v>
      </c>
      <c r="B12" t="s">
        <v>2283</v>
      </c>
    </row>
    <row r="13" spans="1:4">
      <c r="A13" t="s">
        <v>2300</v>
      </c>
      <c r="B13" t="s">
        <v>2301</v>
      </c>
    </row>
    <row r="14" spans="1:4" ht="30">
      <c r="A14" s="25" t="s">
        <v>2297</v>
      </c>
      <c r="B14" t="s">
        <v>2302</v>
      </c>
    </row>
    <row r="15" spans="1:4" ht="75">
      <c r="A15" s="25" t="s">
        <v>2279</v>
      </c>
      <c r="B15" t="s">
        <v>2303</v>
      </c>
    </row>
    <row r="16" spans="1:4" ht="45">
      <c r="A16" s="25" t="s">
        <v>2280</v>
      </c>
      <c r="B16" t="s">
        <v>2304</v>
      </c>
    </row>
    <row r="17" spans="1:2" ht="50.25" customHeight="1">
      <c r="A17" s="25" t="s">
        <v>2281</v>
      </c>
      <c r="B17" s="25" t="s">
        <v>2305</v>
      </c>
    </row>
    <row r="18" spans="1:2" ht="60">
      <c r="A18" s="25" t="s">
        <v>2284</v>
      </c>
      <c r="B18" t="s">
        <v>2306</v>
      </c>
    </row>
    <row r="19" spans="1:2" ht="45">
      <c r="A19" s="25" t="s">
        <v>2285</v>
      </c>
      <c r="B19" t="s">
        <v>2307</v>
      </c>
    </row>
    <row r="20" spans="1:2">
      <c r="A20" s="25" t="s">
        <v>2286</v>
      </c>
      <c r="B20" t="s">
        <v>2308</v>
      </c>
    </row>
    <row r="21" spans="1:2">
      <c r="A21" s="25" t="s">
        <v>2287</v>
      </c>
      <c r="B21" t="s">
        <v>2309</v>
      </c>
    </row>
    <row r="22" spans="1:2">
      <c r="A22" s="25" t="s">
        <v>2288</v>
      </c>
      <c r="B22" t="s">
        <v>2309</v>
      </c>
    </row>
    <row r="23" spans="1:2">
      <c r="A23" s="25" t="s">
        <v>2270</v>
      </c>
      <c r="B23" t="s">
        <v>2310</v>
      </c>
    </row>
    <row r="24" spans="1:2">
      <c r="A24" s="25" t="s">
        <v>2311</v>
      </c>
      <c r="B24" t="s">
        <v>2312</v>
      </c>
    </row>
    <row r="25" spans="1:2">
      <c r="A25" s="25" t="s">
        <v>2131</v>
      </c>
      <c r="B25" t="s">
        <v>2313</v>
      </c>
    </row>
    <row r="26" spans="1:2" ht="75">
      <c r="A26" s="25" t="s">
        <v>2314</v>
      </c>
      <c r="B26" s="25" t="s">
        <v>2315</v>
      </c>
    </row>
    <row r="27" spans="1:2">
      <c r="A27" s="25" t="s">
        <v>2316</v>
      </c>
      <c r="B27" t="s">
        <v>2317</v>
      </c>
    </row>
    <row r="28" spans="1:2" ht="30">
      <c r="A28" s="25" t="s">
        <v>2318</v>
      </c>
      <c r="B28" t="s">
        <v>2319</v>
      </c>
    </row>
    <row r="29" spans="1:2">
      <c r="A29" s="87" t="s">
        <v>2477</v>
      </c>
      <c r="B29" t="s">
        <v>2478</v>
      </c>
    </row>
  </sheetData>
  <mergeCells count="1">
    <mergeCell ref="A1:D1"/>
  </mergeCells>
  <hyperlinks>
    <hyperlink ref="A4" location="Calculations!A1" display="Calculations"/>
    <hyperlink ref="A3" location="'Vitals and Labs'!A1" display="Vitals and Labs"/>
    <hyperlink ref="A5" location="Diagnoses!A1" display="Diagnoses"/>
    <hyperlink ref="A6" location="'Drug List'!A1" display="Drug List"/>
    <hyperlink ref="A7" location="'Disease State Table'!A1" display="Disease State Table"/>
    <hyperlink ref="A8" location="'Key Terms'!A1" display="Key Terms"/>
    <hyperlink ref="A9" location="Abbreviations!A1" display="Abbreviation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B4" sqref="B4"/>
    </sheetView>
  </sheetViews>
  <sheetFormatPr defaultRowHeight="15"/>
  <cols>
    <col min="8" max="9" width="9.140625" style="2"/>
  </cols>
  <sheetData>
    <row r="1" spans="1:14" ht="15.75" thickBot="1">
      <c r="A1" s="92"/>
      <c r="B1" s="94">
        <v>20</v>
      </c>
      <c r="C1" s="94">
        <v>25</v>
      </c>
      <c r="D1" s="94">
        <v>30</v>
      </c>
      <c r="E1" s="94">
        <v>35</v>
      </c>
      <c r="F1" s="94">
        <v>40</v>
      </c>
      <c r="G1" s="94">
        <v>45</v>
      </c>
      <c r="H1" s="94">
        <v>50</v>
      </c>
      <c r="I1" s="94">
        <v>55</v>
      </c>
      <c r="J1" s="94">
        <v>60</v>
      </c>
      <c r="K1" s="94">
        <v>65</v>
      </c>
      <c r="L1" s="94">
        <v>70</v>
      </c>
      <c r="M1" s="94">
        <v>75</v>
      </c>
      <c r="N1" s="94">
        <v>80</v>
      </c>
    </row>
    <row r="2" spans="1:14" ht="15.75" thickBot="1">
      <c r="A2" s="93">
        <v>58</v>
      </c>
      <c r="B2" s="95">
        <v>357</v>
      </c>
      <c r="C2" s="95">
        <v>350</v>
      </c>
      <c r="D2" s="95">
        <v>342</v>
      </c>
      <c r="E2" s="95">
        <v>335</v>
      </c>
      <c r="F2" s="95">
        <v>327</v>
      </c>
      <c r="G2" s="95">
        <v>320</v>
      </c>
      <c r="H2" s="95">
        <v>312</v>
      </c>
      <c r="I2" s="95">
        <v>305</v>
      </c>
      <c r="J2" s="95">
        <v>297</v>
      </c>
      <c r="K2" s="95">
        <v>290</v>
      </c>
      <c r="L2" s="95">
        <v>282</v>
      </c>
      <c r="M2" s="95">
        <v>275</v>
      </c>
      <c r="N2" s="95">
        <v>267</v>
      </c>
    </row>
    <row r="3" spans="1:14" ht="15.75" thickBot="1">
      <c r="A3" s="93">
        <f t="shared" ref="A3:N3" si="0">AVERAGE(A2,A4)</f>
        <v>59</v>
      </c>
      <c r="B3" s="93">
        <f t="shared" si="0"/>
        <v>364.5</v>
      </c>
      <c r="C3" s="93">
        <f t="shared" si="0"/>
        <v>357.5</v>
      </c>
      <c r="D3" s="93">
        <f t="shared" si="0"/>
        <v>349.5</v>
      </c>
      <c r="E3" s="93">
        <f t="shared" si="0"/>
        <v>342.5</v>
      </c>
      <c r="F3" s="93">
        <f t="shared" si="0"/>
        <v>334.5</v>
      </c>
      <c r="G3" s="93">
        <f t="shared" si="0"/>
        <v>327.5</v>
      </c>
      <c r="H3" s="93">
        <f t="shared" si="0"/>
        <v>319.5</v>
      </c>
      <c r="I3" s="93">
        <f t="shared" si="0"/>
        <v>312.5</v>
      </c>
      <c r="J3" s="93">
        <f t="shared" si="0"/>
        <v>304.5</v>
      </c>
      <c r="K3" s="93">
        <f t="shared" si="0"/>
        <v>297.5</v>
      </c>
      <c r="L3" s="93">
        <f t="shared" si="0"/>
        <v>289.5</v>
      </c>
      <c r="M3" s="93">
        <f t="shared" si="0"/>
        <v>282.5</v>
      </c>
      <c r="N3" s="93">
        <f t="shared" si="0"/>
        <v>274.5</v>
      </c>
    </row>
    <row r="4" spans="1:14" ht="15.75" thickBot="1">
      <c r="A4" s="93">
        <v>60</v>
      </c>
      <c r="B4" s="95">
        <v>372</v>
      </c>
      <c r="C4" s="95">
        <v>365</v>
      </c>
      <c r="D4" s="95">
        <v>357</v>
      </c>
      <c r="E4" s="95">
        <v>350</v>
      </c>
      <c r="F4" s="95">
        <v>342</v>
      </c>
      <c r="G4" s="95">
        <v>335</v>
      </c>
      <c r="H4" s="95">
        <v>327</v>
      </c>
      <c r="I4" s="95">
        <v>320</v>
      </c>
      <c r="J4" s="95">
        <v>312</v>
      </c>
      <c r="K4" s="95">
        <v>305</v>
      </c>
      <c r="L4" s="95">
        <v>297</v>
      </c>
      <c r="M4" s="95">
        <v>290</v>
      </c>
      <c r="N4" s="95">
        <v>282</v>
      </c>
    </row>
    <row r="5" spans="1:14" ht="15.75" thickBot="1">
      <c r="A5" s="93">
        <f t="shared" ref="A5:N5" si="1">AVERAGE(A4,A6)</f>
        <v>61</v>
      </c>
      <c r="B5" s="93">
        <f t="shared" si="1"/>
        <v>379.5</v>
      </c>
      <c r="C5" s="93">
        <f t="shared" si="1"/>
        <v>372</v>
      </c>
      <c r="D5" s="93">
        <f t="shared" si="1"/>
        <v>364.5</v>
      </c>
      <c r="E5" s="93">
        <f t="shared" si="1"/>
        <v>357</v>
      </c>
      <c r="F5" s="93">
        <f t="shared" si="1"/>
        <v>349.5</v>
      </c>
      <c r="G5" s="93">
        <f t="shared" si="1"/>
        <v>342</v>
      </c>
      <c r="H5" s="93">
        <f t="shared" si="1"/>
        <v>334.5</v>
      </c>
      <c r="I5" s="93">
        <f t="shared" si="1"/>
        <v>327</v>
      </c>
      <c r="J5" s="93">
        <f t="shared" si="1"/>
        <v>319.5</v>
      </c>
      <c r="K5" s="93">
        <f t="shared" si="1"/>
        <v>312</v>
      </c>
      <c r="L5" s="93">
        <f t="shared" si="1"/>
        <v>304.5</v>
      </c>
      <c r="M5" s="93">
        <f t="shared" si="1"/>
        <v>297</v>
      </c>
      <c r="N5" s="93">
        <f t="shared" si="1"/>
        <v>289.5</v>
      </c>
    </row>
    <row r="6" spans="1:14" ht="15.75" thickBot="1">
      <c r="A6" s="93">
        <v>62</v>
      </c>
      <c r="B6" s="95">
        <v>387</v>
      </c>
      <c r="C6" s="95">
        <v>379</v>
      </c>
      <c r="D6" s="95">
        <v>372</v>
      </c>
      <c r="E6" s="95">
        <v>364</v>
      </c>
      <c r="F6" s="95">
        <v>357</v>
      </c>
      <c r="G6" s="95">
        <v>349</v>
      </c>
      <c r="H6" s="95">
        <v>342</v>
      </c>
      <c r="I6" s="95">
        <v>334</v>
      </c>
      <c r="J6" s="95">
        <v>327</v>
      </c>
      <c r="K6" s="95">
        <v>319</v>
      </c>
      <c r="L6" s="95">
        <v>312</v>
      </c>
      <c r="M6" s="95">
        <v>304</v>
      </c>
      <c r="N6" s="95">
        <v>297</v>
      </c>
    </row>
    <row r="7" spans="1:14" ht="15.75" thickBot="1">
      <c r="A7" s="93">
        <f t="shared" ref="A7:N7" si="2">AVERAGE(A6,A8)</f>
        <v>63</v>
      </c>
      <c r="B7" s="93">
        <f t="shared" si="2"/>
        <v>394.5</v>
      </c>
      <c r="C7" s="93">
        <f t="shared" si="2"/>
        <v>386.5</v>
      </c>
      <c r="D7" s="93">
        <f t="shared" si="2"/>
        <v>379.5</v>
      </c>
      <c r="E7" s="93">
        <f t="shared" si="2"/>
        <v>371.5</v>
      </c>
      <c r="F7" s="93">
        <f t="shared" si="2"/>
        <v>364.5</v>
      </c>
      <c r="G7" s="93">
        <f t="shared" si="2"/>
        <v>356.5</v>
      </c>
      <c r="H7" s="93">
        <f t="shared" si="2"/>
        <v>349.5</v>
      </c>
      <c r="I7" s="93">
        <f t="shared" si="2"/>
        <v>341.5</v>
      </c>
      <c r="J7" s="93">
        <f t="shared" si="2"/>
        <v>334.5</v>
      </c>
      <c r="K7" s="93">
        <f t="shared" si="2"/>
        <v>326.5</v>
      </c>
      <c r="L7" s="93">
        <f t="shared" si="2"/>
        <v>319.5</v>
      </c>
      <c r="M7" s="93">
        <f t="shared" si="2"/>
        <v>311.5</v>
      </c>
      <c r="N7" s="93">
        <f t="shared" si="2"/>
        <v>304.5</v>
      </c>
    </row>
    <row r="8" spans="1:14" ht="15.75" thickBot="1">
      <c r="A8" s="93">
        <v>64</v>
      </c>
      <c r="B8" s="95">
        <v>402</v>
      </c>
      <c r="C8" s="95">
        <v>394</v>
      </c>
      <c r="D8" s="95">
        <v>387</v>
      </c>
      <c r="E8" s="95">
        <v>379</v>
      </c>
      <c r="F8" s="95">
        <v>372</v>
      </c>
      <c r="G8" s="95">
        <v>364</v>
      </c>
      <c r="H8" s="95">
        <v>357</v>
      </c>
      <c r="I8" s="95">
        <v>349</v>
      </c>
      <c r="J8" s="95">
        <v>342</v>
      </c>
      <c r="K8" s="95">
        <v>334</v>
      </c>
      <c r="L8" s="95">
        <v>327</v>
      </c>
      <c r="M8" s="95">
        <v>319</v>
      </c>
      <c r="N8" s="95">
        <v>312</v>
      </c>
    </row>
    <row r="9" spans="1:14" ht="15.75" thickBot="1">
      <c r="A9" s="93">
        <f t="shared" ref="A9:N9" si="3">AVERAGE(A8,A10)</f>
        <v>65</v>
      </c>
      <c r="B9" s="93">
        <f t="shared" si="3"/>
        <v>409.5</v>
      </c>
      <c r="C9" s="93">
        <f t="shared" si="3"/>
        <v>401.5</v>
      </c>
      <c r="D9" s="93">
        <f t="shared" si="3"/>
        <v>394.5</v>
      </c>
      <c r="E9" s="93">
        <f t="shared" si="3"/>
        <v>386.5</v>
      </c>
      <c r="F9" s="93">
        <f t="shared" si="3"/>
        <v>379.5</v>
      </c>
      <c r="G9" s="93">
        <f t="shared" si="3"/>
        <v>371.5</v>
      </c>
      <c r="H9" s="93">
        <f t="shared" si="3"/>
        <v>364.5</v>
      </c>
      <c r="I9" s="93">
        <f t="shared" si="3"/>
        <v>356.5</v>
      </c>
      <c r="J9" s="93">
        <f t="shared" si="3"/>
        <v>349.5</v>
      </c>
      <c r="K9" s="93">
        <f t="shared" si="3"/>
        <v>341.5</v>
      </c>
      <c r="L9" s="93">
        <f t="shared" si="3"/>
        <v>334.5</v>
      </c>
      <c r="M9" s="93">
        <f t="shared" si="3"/>
        <v>326.5</v>
      </c>
      <c r="N9" s="93">
        <f t="shared" si="3"/>
        <v>319.5</v>
      </c>
    </row>
    <row r="10" spans="1:14" ht="15.75" thickBot="1">
      <c r="A10" s="93">
        <v>66</v>
      </c>
      <c r="B10" s="95">
        <v>417</v>
      </c>
      <c r="C10" s="95">
        <v>409</v>
      </c>
      <c r="D10" s="95">
        <v>402</v>
      </c>
      <c r="E10" s="95">
        <v>394</v>
      </c>
      <c r="F10" s="95">
        <v>387</v>
      </c>
      <c r="G10" s="95">
        <v>379</v>
      </c>
      <c r="H10" s="95">
        <v>372</v>
      </c>
      <c r="I10" s="95">
        <v>364</v>
      </c>
      <c r="J10" s="95">
        <v>357</v>
      </c>
      <c r="K10" s="95">
        <v>349</v>
      </c>
      <c r="L10" s="95">
        <v>342</v>
      </c>
      <c r="M10" s="95">
        <v>334</v>
      </c>
      <c r="N10" s="95">
        <v>327</v>
      </c>
    </row>
    <row r="11" spans="1:14" ht="15.75" thickBot="1">
      <c r="A11" s="93">
        <f t="shared" ref="A11:N11" si="4">AVERAGE(A10,A12)</f>
        <v>67</v>
      </c>
      <c r="B11" s="93">
        <f t="shared" si="4"/>
        <v>424.5</v>
      </c>
      <c r="C11" s="93">
        <f t="shared" si="4"/>
        <v>416.5</v>
      </c>
      <c r="D11" s="93">
        <f t="shared" si="4"/>
        <v>409.5</v>
      </c>
      <c r="E11" s="93">
        <f t="shared" si="4"/>
        <v>401.5</v>
      </c>
      <c r="F11" s="93">
        <f t="shared" si="4"/>
        <v>394.5</v>
      </c>
      <c r="G11" s="93">
        <f t="shared" si="4"/>
        <v>386.5</v>
      </c>
      <c r="H11" s="93">
        <f t="shared" si="4"/>
        <v>379.5</v>
      </c>
      <c r="I11" s="93">
        <f t="shared" si="4"/>
        <v>371.5</v>
      </c>
      <c r="J11" s="93">
        <f t="shared" si="4"/>
        <v>364.5</v>
      </c>
      <c r="K11" s="93">
        <f t="shared" si="4"/>
        <v>356.5</v>
      </c>
      <c r="L11" s="93">
        <f t="shared" si="4"/>
        <v>349.5</v>
      </c>
      <c r="M11" s="93">
        <f t="shared" si="4"/>
        <v>341.5</v>
      </c>
      <c r="N11" s="93">
        <f t="shared" si="4"/>
        <v>334.5</v>
      </c>
    </row>
    <row r="12" spans="1:14" ht="15.75" thickBot="1">
      <c r="A12" s="93">
        <v>68</v>
      </c>
      <c r="B12" s="95">
        <v>432</v>
      </c>
      <c r="C12" s="95">
        <v>424</v>
      </c>
      <c r="D12" s="95">
        <v>417</v>
      </c>
      <c r="E12" s="95">
        <v>409</v>
      </c>
      <c r="F12" s="95">
        <v>402</v>
      </c>
      <c r="G12" s="95">
        <v>394</v>
      </c>
      <c r="H12" s="95">
        <v>387</v>
      </c>
      <c r="I12" s="95">
        <v>379</v>
      </c>
      <c r="J12" s="95">
        <v>372</v>
      </c>
      <c r="K12" s="95">
        <v>364</v>
      </c>
      <c r="L12" s="95">
        <v>357</v>
      </c>
      <c r="M12" s="95">
        <v>349</v>
      </c>
      <c r="N12" s="95">
        <v>342</v>
      </c>
    </row>
    <row r="13" spans="1:14" ht="15.75" thickBot="1">
      <c r="A13" s="93">
        <f t="shared" ref="A13:N13" si="5">AVERAGE(A12,A14)</f>
        <v>69</v>
      </c>
      <c r="B13" s="93">
        <f t="shared" si="5"/>
        <v>439</v>
      </c>
      <c r="C13" s="93">
        <f t="shared" si="5"/>
        <v>431.5</v>
      </c>
      <c r="D13" s="93">
        <f t="shared" si="5"/>
        <v>424</v>
      </c>
      <c r="E13" s="93">
        <f t="shared" si="5"/>
        <v>416.5</v>
      </c>
      <c r="F13" s="93">
        <f t="shared" si="5"/>
        <v>409</v>
      </c>
      <c r="G13" s="93">
        <f t="shared" si="5"/>
        <v>401.5</v>
      </c>
      <c r="H13" s="93">
        <f t="shared" si="5"/>
        <v>394</v>
      </c>
      <c r="I13" s="93">
        <f t="shared" si="5"/>
        <v>386.5</v>
      </c>
      <c r="J13" s="93">
        <f t="shared" si="5"/>
        <v>380</v>
      </c>
      <c r="K13" s="93">
        <f t="shared" si="5"/>
        <v>371.5</v>
      </c>
      <c r="L13" s="93">
        <f t="shared" si="5"/>
        <v>364</v>
      </c>
      <c r="M13" s="93">
        <f t="shared" si="5"/>
        <v>356.5</v>
      </c>
      <c r="N13" s="93">
        <f t="shared" si="5"/>
        <v>349</v>
      </c>
    </row>
    <row r="14" spans="1:14" ht="15.75" thickBot="1">
      <c r="A14" s="93">
        <v>70</v>
      </c>
      <c r="B14" s="95">
        <v>446</v>
      </c>
      <c r="C14" s="95">
        <v>439</v>
      </c>
      <c r="D14" s="95">
        <v>431</v>
      </c>
      <c r="E14" s="95">
        <v>424</v>
      </c>
      <c r="F14" s="95">
        <v>416</v>
      </c>
      <c r="G14" s="95">
        <v>409</v>
      </c>
      <c r="H14" s="95">
        <v>401</v>
      </c>
      <c r="I14" s="95">
        <v>394</v>
      </c>
      <c r="J14" s="95">
        <v>388</v>
      </c>
      <c r="K14" s="95">
        <v>379</v>
      </c>
      <c r="L14" s="95">
        <v>371</v>
      </c>
      <c r="M14" s="95">
        <v>364</v>
      </c>
      <c r="N14" s="95">
        <v>356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7" workbookViewId="0">
      <selection activeCell="B20" sqref="B20"/>
    </sheetView>
  </sheetViews>
  <sheetFormatPr defaultRowHeight="15"/>
  <sheetData>
    <row r="1" spans="1:10" ht="26.25" thickBot="1">
      <c r="A1" s="96" t="s">
        <v>2580</v>
      </c>
      <c r="B1" s="97">
        <v>42</v>
      </c>
      <c r="C1" s="97">
        <v>46</v>
      </c>
      <c r="D1" s="97">
        <v>50</v>
      </c>
      <c r="E1" s="97">
        <v>54</v>
      </c>
      <c r="F1" s="97">
        <v>57</v>
      </c>
      <c r="G1" s="97">
        <v>60</v>
      </c>
      <c r="H1" s="97">
        <v>64</v>
      </c>
      <c r="I1" s="97">
        <v>68</v>
      </c>
      <c r="J1" s="97">
        <v>72</v>
      </c>
    </row>
    <row r="2" spans="1:10" ht="15.75" thickBot="1">
      <c r="A2" s="98">
        <v>6</v>
      </c>
      <c r="B2" s="99">
        <v>134</v>
      </c>
      <c r="C2" s="99">
        <v>164</v>
      </c>
      <c r="D2" s="99">
        <v>193</v>
      </c>
      <c r="E2" s="99">
        <v>223</v>
      </c>
      <c r="F2" s="99">
        <v>245</v>
      </c>
      <c r="G2" s="99">
        <v>256</v>
      </c>
      <c r="H2" s="99">
        <v>297</v>
      </c>
      <c r="I2" s="99">
        <v>327</v>
      </c>
      <c r="J2" s="99">
        <v>357</v>
      </c>
    </row>
    <row r="3" spans="1:10" ht="15.75" thickBot="1">
      <c r="A3" s="98">
        <f>AVERAGE(A2,A4)</f>
        <v>7</v>
      </c>
      <c r="B3" s="98">
        <f t="shared" ref="B3:J3" si="0">AVERAGE(B2,B4)</f>
        <v>143.5</v>
      </c>
      <c r="C3" s="98">
        <f t="shared" si="0"/>
        <v>173</v>
      </c>
      <c r="D3" s="98">
        <f t="shared" si="0"/>
        <v>202.5</v>
      </c>
      <c r="E3" s="98">
        <f t="shared" si="0"/>
        <v>232.5</v>
      </c>
      <c r="F3" s="98">
        <f t="shared" si="0"/>
        <v>249.5</v>
      </c>
      <c r="G3" s="98">
        <f t="shared" si="0"/>
        <v>276.5</v>
      </c>
      <c r="H3" s="98">
        <f t="shared" si="0"/>
        <v>306.5</v>
      </c>
      <c r="I3" s="98">
        <f t="shared" si="0"/>
        <v>336.5</v>
      </c>
      <c r="J3" s="98">
        <f t="shared" si="0"/>
        <v>366.5</v>
      </c>
    </row>
    <row r="4" spans="1:10" ht="15.75" thickBot="1">
      <c r="A4" s="98">
        <v>8</v>
      </c>
      <c r="B4" s="99">
        <v>153</v>
      </c>
      <c r="C4" s="99">
        <v>182</v>
      </c>
      <c r="D4" s="99">
        <v>212</v>
      </c>
      <c r="E4" s="99">
        <v>242</v>
      </c>
      <c r="F4" s="99">
        <v>254</v>
      </c>
      <c r="G4" s="99">
        <v>297</v>
      </c>
      <c r="H4" s="99">
        <v>316</v>
      </c>
      <c r="I4" s="99">
        <v>346</v>
      </c>
      <c r="J4" s="99">
        <v>376</v>
      </c>
    </row>
    <row r="5" spans="1:10" ht="15.75" thickBot="1">
      <c r="A5" s="98">
        <f>AVERAGE(A4,A6)</f>
        <v>9</v>
      </c>
      <c r="B5" s="98">
        <f t="shared" ref="B5" si="1">AVERAGE(B4,B6)</f>
        <v>162</v>
      </c>
      <c r="C5" s="98">
        <f t="shared" ref="C5" si="2">AVERAGE(C4,C6)</f>
        <v>191.5</v>
      </c>
      <c r="D5" s="98">
        <f t="shared" ref="D5" si="3">AVERAGE(D4,D6)</f>
        <v>221.5</v>
      </c>
      <c r="E5" s="98">
        <f t="shared" ref="E5" si="4">AVERAGE(E4,E6)</f>
        <v>251.5</v>
      </c>
      <c r="F5" s="98">
        <f t="shared" ref="F5" si="5">AVERAGE(F4,F6)</f>
        <v>268.5</v>
      </c>
      <c r="G5" s="98">
        <f t="shared" ref="G5" si="6">AVERAGE(G4,G6)</f>
        <v>301</v>
      </c>
      <c r="H5" s="98">
        <f t="shared" ref="H5" si="7">AVERAGE(H4,H6)</f>
        <v>325.5</v>
      </c>
      <c r="I5" s="98">
        <f t="shared" ref="I5" si="8">AVERAGE(I4,I6)</f>
        <v>355.5</v>
      </c>
      <c r="J5" s="98">
        <f t="shared" ref="J5" si="9">AVERAGE(J4,J6)</f>
        <v>385.5</v>
      </c>
    </row>
    <row r="6" spans="1:10" ht="15.75" thickBot="1">
      <c r="A6" s="98">
        <v>10</v>
      </c>
      <c r="B6" s="99">
        <v>171</v>
      </c>
      <c r="C6" s="99">
        <v>201</v>
      </c>
      <c r="D6" s="99">
        <v>231</v>
      </c>
      <c r="E6" s="99">
        <v>261</v>
      </c>
      <c r="F6" s="99">
        <v>283</v>
      </c>
      <c r="G6" s="99">
        <v>305</v>
      </c>
      <c r="H6" s="99">
        <v>335</v>
      </c>
      <c r="I6" s="99">
        <v>365</v>
      </c>
      <c r="J6" s="99">
        <v>395</v>
      </c>
    </row>
    <row r="7" spans="1:10" ht="15.75" thickBot="1">
      <c r="A7" s="98">
        <f>AVERAGE(A6,A8)</f>
        <v>11</v>
      </c>
      <c r="B7" s="98">
        <f t="shared" ref="B7" si="10">AVERAGE(B6,B8)</f>
        <v>180.5</v>
      </c>
      <c r="C7" s="98">
        <f t="shared" ref="C7" si="11">AVERAGE(C6,C8)</f>
        <v>210.5</v>
      </c>
      <c r="D7" s="98">
        <f t="shared" ref="D7" si="12">AVERAGE(D6,D8)</f>
        <v>240.5</v>
      </c>
      <c r="E7" s="98">
        <f t="shared" ref="E7" si="13">AVERAGE(E6,E8)</f>
        <v>270.5</v>
      </c>
      <c r="F7" s="98">
        <f t="shared" ref="F7" si="14">AVERAGE(F6,F8)</f>
        <v>292.5</v>
      </c>
      <c r="G7" s="98">
        <f t="shared" ref="G7" si="15">AVERAGE(G6,G8)</f>
        <v>314.5</v>
      </c>
      <c r="H7" s="98">
        <f t="shared" ref="H7" si="16">AVERAGE(H6,H8)</f>
        <v>344.5</v>
      </c>
      <c r="I7" s="98">
        <f t="shared" ref="I7" si="17">AVERAGE(I6,I8)</f>
        <v>374.5</v>
      </c>
      <c r="J7" s="98">
        <f t="shared" ref="J7" si="18">AVERAGE(J6,J8)</f>
        <v>404.5</v>
      </c>
    </row>
    <row r="8" spans="1:10" ht="15.75" thickBot="1">
      <c r="A8" s="98">
        <v>12</v>
      </c>
      <c r="B8" s="99">
        <v>190</v>
      </c>
      <c r="C8" s="99">
        <v>220</v>
      </c>
      <c r="D8" s="99">
        <v>250</v>
      </c>
      <c r="E8" s="99">
        <v>280</v>
      </c>
      <c r="F8" s="99">
        <v>302</v>
      </c>
      <c r="G8" s="99">
        <v>324</v>
      </c>
      <c r="H8" s="99">
        <v>354</v>
      </c>
      <c r="I8" s="99">
        <v>384</v>
      </c>
      <c r="J8" s="99">
        <v>414</v>
      </c>
    </row>
    <row r="9" spans="1:10" ht="15.75" thickBot="1">
      <c r="A9" s="98">
        <f>AVERAGE(A8,A10)</f>
        <v>13</v>
      </c>
      <c r="B9" s="98">
        <f t="shared" ref="B9" si="19">AVERAGE(B8,B10)</f>
        <v>199.5</v>
      </c>
      <c r="C9" s="98">
        <f t="shared" ref="C9" si="20">AVERAGE(C8,C10)</f>
        <v>229.5</v>
      </c>
      <c r="D9" s="98">
        <f t="shared" ref="D9" si="21">AVERAGE(D8,D10)</f>
        <v>259.5</v>
      </c>
      <c r="E9" s="98">
        <f t="shared" ref="E9" si="22">AVERAGE(E8,E10)</f>
        <v>289</v>
      </c>
      <c r="F9" s="98">
        <f t="shared" ref="F9" si="23">AVERAGE(F8,F10)</f>
        <v>311.5</v>
      </c>
      <c r="G9" s="98">
        <f t="shared" ref="G9" si="24">AVERAGE(G8,G10)</f>
        <v>333.5</v>
      </c>
      <c r="H9" s="98">
        <f t="shared" ref="H9" si="25">AVERAGE(H8,H10)</f>
        <v>363.5</v>
      </c>
      <c r="I9" s="98">
        <f t="shared" ref="I9" si="26">AVERAGE(I8,I10)</f>
        <v>393.5</v>
      </c>
      <c r="J9" s="98">
        <f t="shared" ref="J9" si="27">AVERAGE(J8,J10)</f>
        <v>423</v>
      </c>
    </row>
    <row r="10" spans="1:10" ht="15.75" thickBot="1">
      <c r="A10" s="98">
        <v>14</v>
      </c>
      <c r="B10" s="99">
        <v>209</v>
      </c>
      <c r="C10" s="99">
        <v>239</v>
      </c>
      <c r="D10" s="99">
        <v>269</v>
      </c>
      <c r="E10" s="99">
        <v>298</v>
      </c>
      <c r="F10" s="99">
        <v>321</v>
      </c>
      <c r="G10" s="99">
        <v>343</v>
      </c>
      <c r="H10" s="99">
        <v>373</v>
      </c>
      <c r="I10" s="99">
        <v>403</v>
      </c>
      <c r="J10" s="99">
        <v>432</v>
      </c>
    </row>
    <row r="11" spans="1:10" ht="15.75" thickBot="1">
      <c r="A11" s="98">
        <f>AVERAGE(A10,A12)</f>
        <v>15</v>
      </c>
      <c r="B11" s="98">
        <f t="shared" ref="B11" si="28">AVERAGE(B10,B12)</f>
        <v>218.5</v>
      </c>
      <c r="C11" s="98">
        <f t="shared" ref="C11" si="29">AVERAGE(C10,C12)</f>
        <v>248.5</v>
      </c>
      <c r="D11" s="98">
        <f t="shared" ref="D11" si="30">AVERAGE(D10,D12)</f>
        <v>278.5</v>
      </c>
      <c r="E11" s="98">
        <f t="shared" ref="E11" si="31">AVERAGE(E10,E12)</f>
        <v>307.5</v>
      </c>
      <c r="F11" s="98">
        <f t="shared" ref="F11" si="32">AVERAGE(F10,F12)</f>
        <v>330.5</v>
      </c>
      <c r="G11" s="98">
        <f t="shared" ref="G11" si="33">AVERAGE(G10,G12)</f>
        <v>352.5</v>
      </c>
      <c r="H11" s="98">
        <f t="shared" ref="H11" si="34">AVERAGE(H10,H12)</f>
        <v>382.5</v>
      </c>
      <c r="I11" s="98">
        <f t="shared" ref="I11" si="35">AVERAGE(I10,I12)</f>
        <v>412</v>
      </c>
      <c r="J11" s="98">
        <f t="shared" ref="J11" si="36">AVERAGE(J10,J12)</f>
        <v>441.5</v>
      </c>
    </row>
    <row r="12" spans="1:10" ht="15.75" thickBot="1">
      <c r="A12" s="98">
        <v>16</v>
      </c>
      <c r="B12" s="99">
        <v>228</v>
      </c>
      <c r="C12" s="99">
        <v>258</v>
      </c>
      <c r="D12" s="99">
        <v>288</v>
      </c>
      <c r="E12" s="99">
        <v>317</v>
      </c>
      <c r="F12" s="99">
        <v>340</v>
      </c>
      <c r="G12" s="99">
        <v>362</v>
      </c>
      <c r="H12" s="99">
        <v>392</v>
      </c>
      <c r="I12" s="99">
        <v>421</v>
      </c>
      <c r="J12" s="99">
        <v>451</v>
      </c>
    </row>
    <row r="13" spans="1:10" ht="15.75" thickBot="1">
      <c r="A13" s="98">
        <f>AVERAGE(A12,A14)</f>
        <v>17</v>
      </c>
      <c r="B13" s="98">
        <f t="shared" ref="B13" si="37">AVERAGE(B12,B14)</f>
        <v>237.5</v>
      </c>
      <c r="C13" s="98">
        <f t="shared" ref="C13" si="38">AVERAGE(C12,C14)</f>
        <v>267.5</v>
      </c>
      <c r="D13" s="98">
        <f t="shared" ref="D13" si="39">AVERAGE(D12,D14)</f>
        <v>296.5</v>
      </c>
      <c r="E13" s="98">
        <f t="shared" ref="E13" si="40">AVERAGE(E12,E14)</f>
        <v>326.5</v>
      </c>
      <c r="F13" s="98">
        <f t="shared" ref="F13" si="41">AVERAGE(F12,F14)</f>
        <v>349</v>
      </c>
      <c r="G13" s="98">
        <f t="shared" ref="G13" si="42">AVERAGE(G12,G14)</f>
        <v>371.5</v>
      </c>
      <c r="H13" s="98">
        <f t="shared" ref="H13" si="43">AVERAGE(H12,H14)</f>
        <v>401.5</v>
      </c>
      <c r="I13" s="98">
        <f t="shared" ref="I13" si="44">AVERAGE(I12,I14)</f>
        <v>430.5</v>
      </c>
      <c r="J13" s="98">
        <f t="shared" ref="J13" si="45">AVERAGE(J12,J14)</f>
        <v>460.5</v>
      </c>
    </row>
    <row r="14" spans="1:10" ht="15.75" thickBot="1">
      <c r="A14" s="98">
        <v>18</v>
      </c>
      <c r="B14" s="99">
        <v>247</v>
      </c>
      <c r="C14" s="99">
        <v>277</v>
      </c>
      <c r="D14" s="99">
        <v>305</v>
      </c>
      <c r="E14" s="99">
        <v>336</v>
      </c>
      <c r="F14" s="99">
        <v>358</v>
      </c>
      <c r="G14" s="99">
        <v>381</v>
      </c>
      <c r="H14" s="99">
        <v>411</v>
      </c>
      <c r="I14" s="99">
        <v>440</v>
      </c>
      <c r="J14" s="99">
        <v>470</v>
      </c>
    </row>
    <row r="15" spans="1:10" ht="15.75" thickBot="1">
      <c r="A15" s="98">
        <f>AVERAGE(A14,A16)</f>
        <v>19</v>
      </c>
      <c r="B15" s="98">
        <f t="shared" ref="B15" si="46">AVERAGE(B14,B16)</f>
        <v>256.5</v>
      </c>
      <c r="C15" s="98">
        <f t="shared" ref="C15" si="47">AVERAGE(C14,C16)</f>
        <v>286</v>
      </c>
      <c r="D15" s="98">
        <f t="shared" ref="D15" si="48">AVERAGE(D14,D16)</f>
        <v>315</v>
      </c>
      <c r="E15" s="98">
        <f t="shared" ref="E15" si="49">AVERAGE(E14,E16)</f>
        <v>345.5</v>
      </c>
      <c r="F15" s="98">
        <f t="shared" ref="F15" si="50">AVERAGE(F14,F16)</f>
        <v>367.5</v>
      </c>
      <c r="G15" s="98">
        <f t="shared" ref="G15" si="51">AVERAGE(G14,G16)</f>
        <v>390.5</v>
      </c>
      <c r="H15" s="98">
        <f t="shared" ref="H15" si="52">AVERAGE(H14,H16)</f>
        <v>420</v>
      </c>
      <c r="I15" s="98">
        <f t="shared" ref="I15" si="53">AVERAGE(I14,I16)</f>
        <v>449.5</v>
      </c>
      <c r="J15" s="98">
        <f t="shared" ref="J15" si="54">AVERAGE(J14,J16)</f>
        <v>479.5</v>
      </c>
    </row>
    <row r="16" spans="1:10" ht="15.75" thickBot="1">
      <c r="A16" s="98">
        <v>20</v>
      </c>
      <c r="B16" s="99">
        <v>266</v>
      </c>
      <c r="C16" s="99">
        <v>295</v>
      </c>
      <c r="D16" s="99">
        <v>325</v>
      </c>
      <c r="E16" s="99">
        <v>355</v>
      </c>
      <c r="F16" s="99">
        <v>377</v>
      </c>
      <c r="G16" s="99">
        <v>400</v>
      </c>
      <c r="H16" s="99">
        <v>429</v>
      </c>
      <c r="I16" s="99">
        <v>459</v>
      </c>
      <c r="J16" s="99">
        <v>489</v>
      </c>
    </row>
    <row r="18" spans="1:5">
      <c r="A18" t="s">
        <v>2581</v>
      </c>
    </row>
    <row r="19" spans="1:5">
      <c r="A19" t="s">
        <v>2587</v>
      </c>
      <c r="B19" t="s">
        <v>2606</v>
      </c>
      <c r="C19" t="s">
        <v>2607</v>
      </c>
      <c r="D19" t="s">
        <v>2608</v>
      </c>
      <c r="E19" t="s">
        <v>2609</v>
      </c>
    </row>
    <row r="20" spans="1:5" ht="15.75">
      <c r="A20" s="102" t="s">
        <v>2582</v>
      </c>
      <c r="B20" s="102" t="s">
        <v>2588</v>
      </c>
      <c r="C20" s="102" t="s">
        <v>2593</v>
      </c>
      <c r="D20" s="102" t="s">
        <v>2597</v>
      </c>
      <c r="E20" s="102" t="s">
        <v>2601</v>
      </c>
    </row>
    <row r="21" spans="1:5" ht="15.75">
      <c r="A21" s="102" t="s">
        <v>2583</v>
      </c>
      <c r="B21" s="102" t="s">
        <v>2589</v>
      </c>
      <c r="C21" s="102" t="s">
        <v>2594</v>
      </c>
      <c r="D21" s="102" t="s">
        <v>2598</v>
      </c>
      <c r="E21" s="102" t="s">
        <v>2602</v>
      </c>
    </row>
    <row r="22" spans="1:5" ht="15.75">
      <c r="A22" s="102" t="s">
        <v>2584</v>
      </c>
      <c r="B22" s="103" t="s">
        <v>2590</v>
      </c>
      <c r="C22" s="102" t="s">
        <v>2595</v>
      </c>
      <c r="D22" s="103" t="s">
        <v>2599</v>
      </c>
      <c r="E22" s="103" t="s">
        <v>2603</v>
      </c>
    </row>
    <row r="23" spans="1:5" ht="15.75">
      <c r="A23" s="103" t="s">
        <v>2585</v>
      </c>
      <c r="B23" s="102" t="s">
        <v>2591</v>
      </c>
      <c r="C23" s="103" t="s">
        <v>2596</v>
      </c>
      <c r="D23" s="102" t="s">
        <v>2600</v>
      </c>
      <c r="E23" s="102" t="s">
        <v>2604</v>
      </c>
    </row>
    <row r="24" spans="1:5" ht="15.75">
      <c r="A24" s="102" t="s">
        <v>2586</v>
      </c>
      <c r="B24" s="102" t="s">
        <v>2592</v>
      </c>
      <c r="C24" s="102" t="s">
        <v>2592</v>
      </c>
      <c r="D24" s="102" t="s">
        <v>2592</v>
      </c>
      <c r="E24" s="102" t="s">
        <v>2605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F17" sqref="F17"/>
    </sheetView>
  </sheetViews>
  <sheetFormatPr defaultRowHeight="15"/>
  <sheetData>
    <row r="1" spans="1:10" ht="15.75" customHeight="1" thickBot="1">
      <c r="A1" s="100" t="s">
        <v>2580</v>
      </c>
      <c r="B1" s="93">
        <v>44</v>
      </c>
      <c r="C1" s="93">
        <v>48</v>
      </c>
      <c r="D1" s="93">
        <v>52</v>
      </c>
      <c r="E1" s="93">
        <v>56</v>
      </c>
      <c r="F1" s="93">
        <v>60</v>
      </c>
      <c r="G1" s="93">
        <v>64</v>
      </c>
      <c r="H1" s="93">
        <v>68</v>
      </c>
      <c r="I1" s="93">
        <v>72</v>
      </c>
      <c r="J1" s="93">
        <v>77</v>
      </c>
    </row>
    <row r="2" spans="1:10" ht="15.75" thickBot="1">
      <c r="A2" s="94">
        <v>6</v>
      </c>
      <c r="B2" s="95">
        <v>99</v>
      </c>
      <c r="C2" s="95">
        <v>145</v>
      </c>
      <c r="D2" s="95">
        <v>194</v>
      </c>
      <c r="E2" s="95">
        <v>241</v>
      </c>
      <c r="F2" s="95">
        <v>289</v>
      </c>
      <c r="G2" s="95">
        <v>336</v>
      </c>
      <c r="H2" s="95">
        <v>384</v>
      </c>
      <c r="I2" s="95">
        <v>431</v>
      </c>
      <c r="J2" s="95">
        <v>479</v>
      </c>
    </row>
    <row r="3" spans="1:10" ht="15.75" thickBot="1">
      <c r="A3" s="94">
        <f>AVERAGE(A2,A4)</f>
        <v>7</v>
      </c>
      <c r="B3" s="94">
        <f t="shared" ref="B3:J3" si="0">AVERAGE(B2,B4)</f>
        <v>109</v>
      </c>
      <c r="C3" s="94">
        <f t="shared" si="0"/>
        <v>155.5</v>
      </c>
      <c r="D3" s="94">
        <f t="shared" si="0"/>
        <v>204</v>
      </c>
      <c r="E3" s="94">
        <f t="shared" si="0"/>
        <v>251</v>
      </c>
      <c r="F3" s="94">
        <f t="shared" si="0"/>
        <v>299</v>
      </c>
      <c r="G3" s="94">
        <f t="shared" si="0"/>
        <v>346</v>
      </c>
      <c r="H3" s="94">
        <f t="shared" si="0"/>
        <v>394</v>
      </c>
      <c r="I3" s="94">
        <f t="shared" si="0"/>
        <v>441</v>
      </c>
      <c r="J3" s="94">
        <f t="shared" si="0"/>
        <v>489</v>
      </c>
    </row>
    <row r="4" spans="1:10" ht="15.75" thickBot="1">
      <c r="A4" s="94">
        <v>8</v>
      </c>
      <c r="B4" s="95">
        <v>119</v>
      </c>
      <c r="C4" s="95">
        <v>166</v>
      </c>
      <c r="D4" s="95">
        <v>214</v>
      </c>
      <c r="E4" s="95">
        <v>261</v>
      </c>
      <c r="F4" s="95">
        <v>309</v>
      </c>
      <c r="G4" s="95">
        <v>356</v>
      </c>
      <c r="H4" s="95">
        <v>404</v>
      </c>
      <c r="I4" s="95">
        <v>451</v>
      </c>
      <c r="J4" s="95">
        <v>499</v>
      </c>
    </row>
    <row r="5" spans="1:10" ht="15.75" thickBot="1">
      <c r="A5" s="94">
        <f>AVERAGE(A4,A6)</f>
        <v>9</v>
      </c>
      <c r="B5" s="94">
        <f t="shared" ref="B5" si="1">AVERAGE(B4,B6)</f>
        <v>129</v>
      </c>
      <c r="C5" s="94">
        <f t="shared" ref="C5" si="2">AVERAGE(C4,C6)</f>
        <v>176</v>
      </c>
      <c r="D5" s="94">
        <f t="shared" ref="D5" si="3">AVERAGE(D4,D6)</f>
        <v>224</v>
      </c>
      <c r="E5" s="94">
        <f t="shared" ref="E5" si="4">AVERAGE(E4,E6)</f>
        <v>271</v>
      </c>
      <c r="F5" s="94">
        <f t="shared" ref="F5" si="5">AVERAGE(F4,F6)</f>
        <v>319</v>
      </c>
      <c r="G5" s="94">
        <f t="shared" ref="G5" si="6">AVERAGE(G4,G6)</f>
        <v>366</v>
      </c>
      <c r="H5" s="94">
        <f t="shared" ref="H5" si="7">AVERAGE(H4,H6)</f>
        <v>414</v>
      </c>
      <c r="I5" s="94">
        <f t="shared" ref="I5" si="8">AVERAGE(I4,I6)</f>
        <v>461</v>
      </c>
      <c r="J5" s="94">
        <f t="shared" ref="J5" si="9">AVERAGE(J4,J6)</f>
        <v>509</v>
      </c>
    </row>
    <row r="6" spans="1:10" ht="15.75" thickBot="1">
      <c r="A6" s="94">
        <v>10</v>
      </c>
      <c r="B6" s="95">
        <v>139</v>
      </c>
      <c r="C6" s="95">
        <v>186</v>
      </c>
      <c r="D6" s="95">
        <v>234</v>
      </c>
      <c r="E6" s="95">
        <v>281</v>
      </c>
      <c r="F6" s="95">
        <v>329</v>
      </c>
      <c r="G6" s="95">
        <v>376</v>
      </c>
      <c r="H6" s="95">
        <v>424</v>
      </c>
      <c r="I6" s="95">
        <v>471</v>
      </c>
      <c r="J6" s="95">
        <v>519</v>
      </c>
    </row>
    <row r="7" spans="1:10" ht="15.75" thickBot="1">
      <c r="A7" s="94">
        <f>AVERAGE(A6,A8)</f>
        <v>11</v>
      </c>
      <c r="B7" s="94">
        <f t="shared" ref="B7" si="10">AVERAGE(B6,B8)</f>
        <v>149</v>
      </c>
      <c r="C7" s="94">
        <f t="shared" ref="C7" si="11">AVERAGE(C6,C8)</f>
        <v>196</v>
      </c>
      <c r="D7" s="94">
        <f t="shared" ref="D7" si="12">AVERAGE(D6,D8)</f>
        <v>244</v>
      </c>
      <c r="E7" s="94">
        <f t="shared" ref="E7" si="13">AVERAGE(E6,E8)</f>
        <v>291</v>
      </c>
      <c r="F7" s="94">
        <f t="shared" ref="F7" si="14">AVERAGE(F6,F8)</f>
        <v>339</v>
      </c>
      <c r="G7" s="94">
        <f t="shared" ref="G7" si="15">AVERAGE(G6,G8)</f>
        <v>386</v>
      </c>
      <c r="H7" s="94">
        <f t="shared" ref="H7" si="16">AVERAGE(H6,H8)</f>
        <v>434</v>
      </c>
      <c r="I7" s="94">
        <f t="shared" ref="I7" si="17">AVERAGE(I6,I8)</f>
        <v>481</v>
      </c>
      <c r="J7" s="94">
        <f t="shared" ref="J7" si="18">AVERAGE(J6,J8)</f>
        <v>529</v>
      </c>
    </row>
    <row r="8" spans="1:10" ht="15.75" thickBot="1">
      <c r="A8" s="94">
        <v>12</v>
      </c>
      <c r="B8" s="95">
        <v>159</v>
      </c>
      <c r="C8" s="95">
        <v>206</v>
      </c>
      <c r="D8" s="95">
        <v>254</v>
      </c>
      <c r="E8" s="95">
        <v>301</v>
      </c>
      <c r="F8" s="95">
        <v>349</v>
      </c>
      <c r="G8" s="95">
        <v>396</v>
      </c>
      <c r="H8" s="95">
        <v>444</v>
      </c>
      <c r="I8" s="95">
        <v>491</v>
      </c>
      <c r="J8" s="95">
        <v>539</v>
      </c>
    </row>
    <row r="9" spans="1:10" ht="15.75" thickBot="1">
      <c r="A9" s="94">
        <f>AVERAGE(A8,A10)</f>
        <v>13</v>
      </c>
      <c r="B9" s="94">
        <f t="shared" ref="B9" si="19">AVERAGE(B8,B10)</f>
        <v>168.5</v>
      </c>
      <c r="C9" s="94">
        <f t="shared" ref="C9" si="20">AVERAGE(C8,C10)</f>
        <v>216</v>
      </c>
      <c r="D9" s="94">
        <f t="shared" ref="D9" si="21">AVERAGE(D8,D10)</f>
        <v>264</v>
      </c>
      <c r="E9" s="94">
        <f t="shared" ref="E9" si="22">AVERAGE(E8,E10)</f>
        <v>311</v>
      </c>
      <c r="F9" s="94">
        <f t="shared" ref="F9" si="23">AVERAGE(F8,F10)</f>
        <v>359</v>
      </c>
      <c r="G9" s="94">
        <f t="shared" ref="G9" si="24">AVERAGE(G8,G10)</f>
        <v>406</v>
      </c>
      <c r="H9" s="94">
        <f t="shared" ref="H9" si="25">AVERAGE(H8,H10)</f>
        <v>449</v>
      </c>
      <c r="I9" s="94">
        <f t="shared" ref="I9" si="26">AVERAGE(I8,I10)</f>
        <v>501</v>
      </c>
      <c r="J9" s="94">
        <f t="shared" ref="J9" si="27">AVERAGE(J8,J10)</f>
        <v>549</v>
      </c>
    </row>
    <row r="10" spans="1:10" ht="15.75" thickBot="1">
      <c r="A10" s="94">
        <v>14</v>
      </c>
      <c r="B10" s="95">
        <v>178</v>
      </c>
      <c r="C10" s="95">
        <v>226</v>
      </c>
      <c r="D10" s="95">
        <v>274</v>
      </c>
      <c r="E10" s="95">
        <v>321</v>
      </c>
      <c r="F10" s="95">
        <v>369</v>
      </c>
      <c r="G10" s="95">
        <v>416</v>
      </c>
      <c r="H10" s="95">
        <v>454</v>
      </c>
      <c r="I10" s="95">
        <v>511</v>
      </c>
      <c r="J10" s="95">
        <v>559</v>
      </c>
    </row>
    <row r="11" spans="1:10" ht="15.75" thickBot="1">
      <c r="A11" s="94">
        <f>AVERAGE(A10,A12)</f>
        <v>15</v>
      </c>
      <c r="B11" s="94">
        <f t="shared" ref="B11" si="28">AVERAGE(B10,B12)</f>
        <v>188</v>
      </c>
      <c r="C11" s="94">
        <f t="shared" ref="C11" si="29">AVERAGE(C10,C12)</f>
        <v>235.5</v>
      </c>
      <c r="D11" s="94">
        <f t="shared" ref="D11" si="30">AVERAGE(D10,D12)</f>
        <v>283.5</v>
      </c>
      <c r="E11" s="94">
        <f t="shared" ref="E11" si="31">AVERAGE(E10,E12)</f>
        <v>331</v>
      </c>
      <c r="F11" s="94">
        <f t="shared" ref="F11" si="32">AVERAGE(F10,F12)</f>
        <v>379</v>
      </c>
      <c r="G11" s="94">
        <f t="shared" ref="G11" si="33">AVERAGE(G10,G12)</f>
        <v>426</v>
      </c>
      <c r="H11" s="94">
        <f t="shared" ref="H11" si="34">AVERAGE(H10,H12)</f>
        <v>469</v>
      </c>
      <c r="I11" s="94">
        <f t="shared" ref="I11" si="35">AVERAGE(I10,I12)</f>
        <v>521</v>
      </c>
      <c r="J11" s="94">
        <f t="shared" ref="J11" si="36">AVERAGE(J10,J12)</f>
        <v>569</v>
      </c>
    </row>
    <row r="12" spans="1:10" ht="15.75" thickBot="1">
      <c r="A12" s="94">
        <v>16</v>
      </c>
      <c r="B12" s="95">
        <v>198</v>
      </c>
      <c r="C12" s="95">
        <v>245</v>
      </c>
      <c r="D12" s="95">
        <v>293</v>
      </c>
      <c r="E12" s="95">
        <v>341</v>
      </c>
      <c r="F12" s="95">
        <v>389</v>
      </c>
      <c r="G12" s="95">
        <v>436</v>
      </c>
      <c r="H12" s="95">
        <v>484</v>
      </c>
      <c r="I12" s="95">
        <v>531</v>
      </c>
      <c r="J12" s="95">
        <v>579</v>
      </c>
    </row>
    <row r="13" spans="1:10" ht="15.75" thickBot="1">
      <c r="A13" s="94">
        <f>AVERAGE(A12,A14)</f>
        <v>17</v>
      </c>
      <c r="B13" s="94">
        <f t="shared" ref="B13" si="37">AVERAGE(B12,B14)</f>
        <v>208</v>
      </c>
      <c r="C13" s="94">
        <f t="shared" ref="C13" si="38">AVERAGE(C12,C14)</f>
        <v>255.5</v>
      </c>
      <c r="D13" s="94">
        <f t="shared" ref="D13" si="39">AVERAGE(D12,D14)</f>
        <v>303</v>
      </c>
      <c r="E13" s="94">
        <f t="shared" ref="E13" si="40">AVERAGE(E12,E14)</f>
        <v>346</v>
      </c>
      <c r="F13" s="94">
        <f t="shared" ref="F13" si="41">AVERAGE(F12,F14)</f>
        <v>398.5</v>
      </c>
      <c r="G13" s="94">
        <f t="shared" ref="G13" si="42">AVERAGE(G12,G14)</f>
        <v>446</v>
      </c>
      <c r="H13" s="94">
        <f t="shared" ref="H13" si="43">AVERAGE(H12,H14)</f>
        <v>493.5</v>
      </c>
      <c r="I13" s="94">
        <f t="shared" ref="I13" si="44">AVERAGE(I12,I14)</f>
        <v>541</v>
      </c>
      <c r="J13" s="94">
        <f t="shared" ref="J13" si="45">AVERAGE(J12,J14)</f>
        <v>589</v>
      </c>
    </row>
    <row r="14" spans="1:10" ht="15.75" thickBot="1">
      <c r="A14" s="94">
        <v>18</v>
      </c>
      <c r="B14" s="95">
        <v>218</v>
      </c>
      <c r="C14" s="95">
        <v>266</v>
      </c>
      <c r="D14" s="95">
        <v>313</v>
      </c>
      <c r="E14" s="95">
        <v>351</v>
      </c>
      <c r="F14" s="95">
        <v>408</v>
      </c>
      <c r="G14" s="95">
        <v>456</v>
      </c>
      <c r="H14" s="95">
        <v>503</v>
      </c>
      <c r="I14" s="95">
        <v>551</v>
      </c>
      <c r="J14" s="95">
        <v>599</v>
      </c>
    </row>
    <row r="15" spans="1:10" ht="15.75" thickBot="1">
      <c r="A15" s="94">
        <f>AVERAGE(A14,A16)</f>
        <v>19</v>
      </c>
      <c r="B15" s="94">
        <f t="shared" ref="B15" si="46">AVERAGE(B14,B16)</f>
        <v>228</v>
      </c>
      <c r="C15" s="94">
        <f t="shared" ref="C15" si="47">AVERAGE(C14,C16)</f>
        <v>261</v>
      </c>
      <c r="D15" s="94">
        <f t="shared" ref="D15" si="48">AVERAGE(D14,D16)</f>
        <v>323</v>
      </c>
      <c r="E15" s="94">
        <f t="shared" ref="E15" si="49">AVERAGE(E14,E16)</f>
        <v>366</v>
      </c>
      <c r="F15" s="94">
        <f t="shared" ref="F15" si="50">AVERAGE(F14,F16)</f>
        <v>418</v>
      </c>
      <c r="G15" s="94">
        <f t="shared" ref="G15" si="51">AVERAGE(G14,G16)</f>
        <v>366</v>
      </c>
      <c r="H15" s="94">
        <f t="shared" ref="H15" si="52">AVERAGE(H14,H16)</f>
        <v>513</v>
      </c>
      <c r="I15" s="94">
        <f t="shared" ref="I15" si="53">AVERAGE(I14,I16)</f>
        <v>561</v>
      </c>
      <c r="J15" s="94">
        <f t="shared" ref="J15" si="54">AVERAGE(J14,J16)</f>
        <v>607</v>
      </c>
    </row>
    <row r="16" spans="1:10" ht="15.75" thickBot="1">
      <c r="A16" s="94">
        <v>20</v>
      </c>
      <c r="B16" s="95">
        <v>238</v>
      </c>
      <c r="C16" s="95">
        <v>256</v>
      </c>
      <c r="D16" s="95">
        <v>333</v>
      </c>
      <c r="E16" s="95">
        <v>381</v>
      </c>
      <c r="F16" s="95">
        <v>428</v>
      </c>
      <c r="G16" s="95">
        <v>276</v>
      </c>
      <c r="H16" s="95">
        <v>523</v>
      </c>
      <c r="I16" s="95">
        <v>571</v>
      </c>
      <c r="J16" s="95">
        <v>615</v>
      </c>
    </row>
    <row r="17" spans="1:10" ht="15.75" thickBot="1">
      <c r="A17" s="94">
        <f>AVERAGE(A16,A18)</f>
        <v>21</v>
      </c>
      <c r="B17" s="94">
        <f t="shared" ref="B17" si="55">AVERAGE(B16,B18)</f>
        <v>248</v>
      </c>
      <c r="C17" s="94">
        <f t="shared" ref="C17" si="56">AVERAGE(C16,C18)</f>
        <v>281</v>
      </c>
      <c r="D17" s="94">
        <f t="shared" ref="D17" si="57">AVERAGE(D16,D18)</f>
        <v>343</v>
      </c>
      <c r="E17" s="94">
        <f t="shared" ref="E17" si="58">AVERAGE(E16,E18)</f>
        <v>391</v>
      </c>
      <c r="F17" s="94">
        <f t="shared" ref="F17" si="59">AVERAGE(F16,F18)</f>
        <v>438</v>
      </c>
      <c r="G17" s="94">
        <f t="shared" ref="G17" si="60">AVERAGE(G16,G18)</f>
        <v>385.5</v>
      </c>
      <c r="H17" s="94">
        <f t="shared" ref="H17" si="61">AVERAGE(H16,H18)</f>
        <v>533</v>
      </c>
      <c r="I17" s="94">
        <f t="shared" ref="I17" si="62">AVERAGE(I16,I18)</f>
        <v>581</v>
      </c>
      <c r="J17" s="94">
        <f t="shared" ref="J17" si="63">AVERAGE(J16,J18)</f>
        <v>626.5</v>
      </c>
    </row>
    <row r="18" spans="1:10" ht="15.75" thickBot="1">
      <c r="A18" s="94">
        <v>22</v>
      </c>
      <c r="B18" s="95">
        <v>258</v>
      </c>
      <c r="C18" s="95">
        <v>306</v>
      </c>
      <c r="D18" s="95">
        <v>353</v>
      </c>
      <c r="E18" s="95">
        <v>401</v>
      </c>
      <c r="F18" s="95">
        <v>448</v>
      </c>
      <c r="G18" s="95">
        <v>495</v>
      </c>
      <c r="H18" s="95">
        <v>543</v>
      </c>
      <c r="I18" s="95">
        <v>591</v>
      </c>
      <c r="J18" s="95">
        <v>638</v>
      </c>
    </row>
    <row r="19" spans="1:10" ht="15.75" thickBot="1">
      <c r="A19" s="94">
        <f>AVERAGE(A18,A20)</f>
        <v>23</v>
      </c>
      <c r="B19" s="94">
        <f t="shared" ref="B19" si="64">AVERAGE(B18,B20)</f>
        <v>268</v>
      </c>
      <c r="C19" s="94">
        <f t="shared" ref="C19" si="65">AVERAGE(C18,C20)</f>
        <v>315.5</v>
      </c>
      <c r="D19" s="94">
        <f t="shared" ref="D19" si="66">AVERAGE(D18,D20)</f>
        <v>363</v>
      </c>
      <c r="E19" s="94">
        <f t="shared" ref="E19" si="67">AVERAGE(E18,E20)</f>
        <v>411</v>
      </c>
      <c r="F19" s="94">
        <f t="shared" ref="F19" si="68">AVERAGE(F18,F20)</f>
        <v>453</v>
      </c>
      <c r="G19" s="94">
        <f t="shared" ref="G19" si="69">AVERAGE(G18,G20)</f>
        <v>505.5</v>
      </c>
      <c r="H19" s="94">
        <f t="shared" ref="H19" si="70">AVERAGE(H18,H20)</f>
        <v>553</v>
      </c>
      <c r="I19" s="94">
        <f t="shared" ref="I19" si="71">AVERAGE(I18,I20)</f>
        <v>601</v>
      </c>
      <c r="J19" s="94">
        <f t="shared" ref="J19" si="72">AVERAGE(J18,J20)</f>
        <v>648</v>
      </c>
    </row>
    <row r="20" spans="1:10" ht="15.75" thickBot="1">
      <c r="A20" s="94">
        <v>24</v>
      </c>
      <c r="B20" s="95">
        <v>278</v>
      </c>
      <c r="C20" s="95">
        <v>325</v>
      </c>
      <c r="D20" s="95">
        <v>373</v>
      </c>
      <c r="E20" s="95">
        <v>421</v>
      </c>
      <c r="F20" s="95">
        <v>458</v>
      </c>
      <c r="G20" s="95">
        <v>516</v>
      </c>
      <c r="H20" s="95">
        <v>563</v>
      </c>
      <c r="I20" s="95">
        <v>611</v>
      </c>
      <c r="J20" s="95">
        <v>658</v>
      </c>
    </row>
    <row r="21" spans="1:10" ht="15.75" thickBot="1">
      <c r="A21" s="94">
        <v>25</v>
      </c>
      <c r="B21" s="95">
        <v>266</v>
      </c>
      <c r="C21" s="95">
        <v>336</v>
      </c>
      <c r="D21" s="95">
        <v>383</v>
      </c>
      <c r="E21" s="95">
        <v>431</v>
      </c>
      <c r="F21" s="95">
        <v>476</v>
      </c>
      <c r="G21" s="95">
        <v>526</v>
      </c>
      <c r="H21" s="95">
        <v>573</v>
      </c>
      <c r="I21" s="95">
        <v>621</v>
      </c>
      <c r="J21" s="95">
        <v>668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56"/>
  <sheetViews>
    <sheetView workbookViewId="0"/>
  </sheetViews>
  <sheetFormatPr defaultRowHeight="15"/>
  <cols>
    <col min="1" max="1" width="24" bestFit="1" customWidth="1"/>
    <col min="2" max="2" width="22.42578125" bestFit="1" customWidth="1"/>
    <col min="3" max="3" width="23.85546875" bestFit="1" customWidth="1"/>
    <col min="4" max="4" width="23.7109375" bestFit="1" customWidth="1"/>
  </cols>
  <sheetData>
    <row r="1" spans="1:4">
      <c r="A1" t="s">
        <v>238</v>
      </c>
      <c r="B1" t="s">
        <v>240</v>
      </c>
      <c r="C1" t="s">
        <v>241</v>
      </c>
      <c r="D1" t="s">
        <v>242</v>
      </c>
    </row>
    <row r="2" spans="1:4">
      <c r="A2" t="s">
        <v>239</v>
      </c>
      <c r="C2" t="s">
        <v>1735</v>
      </c>
      <c r="D2" t="s">
        <v>1736</v>
      </c>
    </row>
    <row r="3" spans="1:4">
      <c r="A3" t="s">
        <v>1778</v>
      </c>
      <c r="B3" t="s">
        <v>1788</v>
      </c>
    </row>
    <row r="4" spans="1:4">
      <c r="A4" t="s">
        <v>1779</v>
      </c>
      <c r="B4" t="s">
        <v>1789</v>
      </c>
    </row>
    <row r="5" spans="1:4">
      <c r="A5" t="s">
        <v>1780</v>
      </c>
      <c r="B5" t="s">
        <v>1790</v>
      </c>
    </row>
    <row r="6" spans="1:4">
      <c r="A6" t="s">
        <v>1783</v>
      </c>
      <c r="B6" t="s">
        <v>1791</v>
      </c>
    </row>
    <row r="7" spans="1:4">
      <c r="A7" t="s">
        <v>1781</v>
      </c>
      <c r="B7" t="s">
        <v>1792</v>
      </c>
    </row>
    <row r="8" spans="1:4">
      <c r="A8" t="s">
        <v>1782</v>
      </c>
      <c r="B8" t="s">
        <v>1793</v>
      </c>
    </row>
    <row r="9" spans="1:4">
      <c r="A9" t="s">
        <v>1784</v>
      </c>
      <c r="B9" t="s">
        <v>1794</v>
      </c>
    </row>
    <row r="10" spans="1:4">
      <c r="A10" t="s">
        <v>1785</v>
      </c>
      <c r="B10" t="s">
        <v>1795</v>
      </c>
    </row>
    <row r="11" spans="1:4">
      <c r="A11" t="s">
        <v>1786</v>
      </c>
      <c r="B11" t="s">
        <v>1796</v>
      </c>
    </row>
    <row r="12" spans="1:4">
      <c r="A12" t="s">
        <v>1787</v>
      </c>
      <c r="B12" t="s">
        <v>1797</v>
      </c>
    </row>
    <row r="13" spans="1:4">
      <c r="A13" t="s">
        <v>1801</v>
      </c>
      <c r="B13" t="s">
        <v>1802</v>
      </c>
      <c r="C13" t="s">
        <v>42</v>
      </c>
    </row>
    <row r="14" spans="1:4">
      <c r="A14" t="s">
        <v>164</v>
      </c>
      <c r="B14" t="s">
        <v>1831</v>
      </c>
    </row>
    <row r="15" spans="1:4">
      <c r="A15" t="s">
        <v>58</v>
      </c>
      <c r="B15" t="s">
        <v>1832</v>
      </c>
    </row>
    <row r="16" spans="1:4">
      <c r="A16" t="s">
        <v>1820</v>
      </c>
      <c r="B16" t="s">
        <v>1833</v>
      </c>
    </row>
    <row r="17" spans="1:2">
      <c r="A17" t="s">
        <v>1821</v>
      </c>
      <c r="B17" t="s">
        <v>1834</v>
      </c>
    </row>
    <row r="18" spans="1:2">
      <c r="A18" t="s">
        <v>1822</v>
      </c>
      <c r="B18" t="s">
        <v>1835</v>
      </c>
    </row>
    <row r="19" spans="1:2">
      <c r="A19" t="s">
        <v>168</v>
      </c>
      <c r="B19" t="s">
        <v>1835</v>
      </c>
    </row>
    <row r="20" spans="1:2">
      <c r="A20" t="s">
        <v>1823</v>
      </c>
      <c r="B20" t="s">
        <v>1836</v>
      </c>
    </row>
    <row r="21" spans="1:2">
      <c r="A21" t="s">
        <v>1824</v>
      </c>
      <c r="B21" t="s">
        <v>1837</v>
      </c>
    </row>
    <row r="22" spans="1:2">
      <c r="A22" t="s">
        <v>1825</v>
      </c>
    </row>
    <row r="23" spans="1:2">
      <c r="A23" t="s">
        <v>1826</v>
      </c>
      <c r="B23" t="s">
        <v>1838</v>
      </c>
    </row>
    <row r="24" spans="1:2">
      <c r="A24" t="s">
        <v>1827</v>
      </c>
      <c r="B24" t="s">
        <v>1839</v>
      </c>
    </row>
    <row r="25" spans="1:2">
      <c r="A25" t="s">
        <v>1828</v>
      </c>
      <c r="B25" t="s">
        <v>1840</v>
      </c>
    </row>
    <row r="26" spans="1:2">
      <c r="A26" t="s">
        <v>1829</v>
      </c>
      <c r="B26" t="s">
        <v>1830</v>
      </c>
    </row>
    <row r="27" spans="1:2">
      <c r="A27" t="s">
        <v>1907</v>
      </c>
      <c r="B27" t="s">
        <v>1908</v>
      </c>
    </row>
    <row r="28" spans="1:2">
      <c r="A28" t="s">
        <v>1909</v>
      </c>
    </row>
    <row r="29" spans="1:2">
      <c r="A29" t="s">
        <v>1910</v>
      </c>
    </row>
    <row r="30" spans="1:2">
      <c r="A30" t="s">
        <v>1911</v>
      </c>
    </row>
    <row r="31" spans="1:2">
      <c r="A31" t="s">
        <v>1912</v>
      </c>
    </row>
    <row r="32" spans="1:2">
      <c r="A32" t="s">
        <v>1913</v>
      </c>
      <c r="B32" t="s">
        <v>2040</v>
      </c>
    </row>
    <row r="33" spans="1:2">
      <c r="A33" t="s">
        <v>1914</v>
      </c>
    </row>
    <row r="34" spans="1:2">
      <c r="A34" t="s">
        <v>1915</v>
      </c>
    </row>
    <row r="35" spans="1:2">
      <c r="A35" t="s">
        <v>1916</v>
      </c>
    </row>
    <row r="36" spans="1:2">
      <c r="A36" t="s">
        <v>1917</v>
      </c>
    </row>
    <row r="37" spans="1:2">
      <c r="A37" t="s">
        <v>1918</v>
      </c>
    </row>
    <row r="38" spans="1:2">
      <c r="A38" t="s">
        <v>1919</v>
      </c>
    </row>
    <row r="39" spans="1:2">
      <c r="A39" t="s">
        <v>2004</v>
      </c>
      <c r="B39" t="s">
        <v>2006</v>
      </c>
    </row>
    <row r="40" spans="1:2">
      <c r="A40" t="s">
        <v>2005</v>
      </c>
      <c r="B40" t="s">
        <v>2007</v>
      </c>
    </row>
    <row r="41" spans="1:2">
      <c r="A41" t="s">
        <v>2008</v>
      </c>
      <c r="B41" t="s">
        <v>2009</v>
      </c>
    </row>
    <row r="42" spans="1:2">
      <c r="A42" t="s">
        <v>2010</v>
      </c>
      <c r="B42" t="s">
        <v>2011</v>
      </c>
    </row>
    <row r="43" spans="1:2">
      <c r="A43" t="s">
        <v>2012</v>
      </c>
      <c r="B43" t="s">
        <v>2013</v>
      </c>
    </row>
    <row r="44" spans="1:2">
      <c r="A44" t="s">
        <v>2014</v>
      </c>
      <c r="B44" t="s">
        <v>2015</v>
      </c>
    </row>
    <row r="45" spans="1:2">
      <c r="A45" t="s">
        <v>2016</v>
      </c>
      <c r="B45" t="s">
        <v>2017</v>
      </c>
    </row>
    <row r="46" spans="1:2">
      <c r="A46" t="s">
        <v>2018</v>
      </c>
      <c r="B46" t="s">
        <v>2019</v>
      </c>
    </row>
    <row r="47" spans="1:2">
      <c r="A47" t="s">
        <v>2020</v>
      </c>
      <c r="B47" t="s">
        <v>2021</v>
      </c>
    </row>
    <row r="48" spans="1:2">
      <c r="A48" t="s">
        <v>2022</v>
      </c>
      <c r="B48" t="s">
        <v>2023</v>
      </c>
    </row>
    <row r="49" spans="1:2">
      <c r="A49" t="s">
        <v>2024</v>
      </c>
      <c r="B49" t="s">
        <v>2025</v>
      </c>
    </row>
    <row r="50" spans="1:2">
      <c r="A50" t="s">
        <v>2026</v>
      </c>
      <c r="B50" t="s">
        <v>2027</v>
      </c>
    </row>
    <row r="51" spans="1:2">
      <c r="A51" t="s">
        <v>2028</v>
      </c>
      <c r="B51" t="s">
        <v>2029</v>
      </c>
    </row>
    <row r="52" spans="1:2">
      <c r="A52" t="s">
        <v>2030</v>
      </c>
      <c r="B52" t="s">
        <v>2031</v>
      </c>
    </row>
    <row r="53" spans="1:2">
      <c r="A53" t="s">
        <v>2032</v>
      </c>
      <c r="B53" t="s">
        <v>2033</v>
      </c>
    </row>
    <row r="54" spans="1:2">
      <c r="A54" t="s">
        <v>2034</v>
      </c>
      <c r="B54" t="s">
        <v>2035</v>
      </c>
    </row>
    <row r="55" spans="1:2">
      <c r="A55" t="s">
        <v>2036</v>
      </c>
      <c r="B55" t="s">
        <v>2037</v>
      </c>
    </row>
    <row r="56" spans="1:2">
      <c r="A56" t="s">
        <v>2038</v>
      </c>
      <c r="B56" t="s">
        <v>2039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22"/>
  <sheetViews>
    <sheetView topLeftCell="A88" workbookViewId="0">
      <selection activeCell="B88" sqref="B88"/>
    </sheetView>
  </sheetViews>
  <sheetFormatPr defaultRowHeight="15"/>
  <cols>
    <col min="1" max="1" width="19" bestFit="1" customWidth="1"/>
    <col min="2" max="2" width="13.7109375" bestFit="1" customWidth="1"/>
    <col min="3" max="3" width="24.28515625" bestFit="1" customWidth="1"/>
    <col min="4" max="4" width="24" bestFit="1" customWidth="1"/>
  </cols>
  <sheetData>
    <row r="1" spans="1:5">
      <c r="A1" t="s">
        <v>243</v>
      </c>
      <c r="B1" t="s">
        <v>183</v>
      </c>
      <c r="C1" t="s">
        <v>244</v>
      </c>
      <c r="D1" t="s">
        <v>245</v>
      </c>
      <c r="E1" t="s">
        <v>248</v>
      </c>
    </row>
    <row r="2" spans="1:5">
      <c r="A2" t="s">
        <v>1737</v>
      </c>
      <c r="B2" t="s">
        <v>1738</v>
      </c>
      <c r="C2" t="s">
        <v>42</v>
      </c>
      <c r="D2" t="s">
        <v>1742</v>
      </c>
      <c r="E2" t="s">
        <v>1751</v>
      </c>
    </row>
    <row r="3" spans="1:5">
      <c r="A3" t="s">
        <v>1739</v>
      </c>
      <c r="B3" t="s">
        <v>1740</v>
      </c>
      <c r="C3" t="s">
        <v>42</v>
      </c>
      <c r="D3" t="s">
        <v>1741</v>
      </c>
      <c r="E3" t="s">
        <v>1752</v>
      </c>
    </row>
    <row r="4" spans="1:5">
      <c r="A4" t="s">
        <v>1742</v>
      </c>
      <c r="B4" t="s">
        <v>1743</v>
      </c>
      <c r="C4" t="s">
        <v>42</v>
      </c>
      <c r="E4" t="s">
        <v>1752</v>
      </c>
    </row>
    <row r="5" spans="1:5">
      <c r="A5" t="s">
        <v>56</v>
      </c>
      <c r="B5" t="s">
        <v>1744</v>
      </c>
      <c r="C5" t="s">
        <v>1748</v>
      </c>
      <c r="E5" t="s">
        <v>1753</v>
      </c>
    </row>
    <row r="6" spans="1:5">
      <c r="A6" t="s">
        <v>1745</v>
      </c>
      <c r="B6" t="s">
        <v>1746</v>
      </c>
      <c r="C6" t="s">
        <v>42</v>
      </c>
      <c r="E6" t="s">
        <v>1754</v>
      </c>
    </row>
    <row r="7" spans="1:5">
      <c r="A7" t="s">
        <v>54</v>
      </c>
      <c r="B7" t="s">
        <v>1747</v>
      </c>
      <c r="C7" t="s">
        <v>1748</v>
      </c>
      <c r="E7" t="s">
        <v>1755</v>
      </c>
    </row>
    <row r="8" spans="1:5">
      <c r="A8" t="s">
        <v>1749</v>
      </c>
      <c r="B8" t="s">
        <v>1750</v>
      </c>
      <c r="C8" t="s">
        <v>42</v>
      </c>
      <c r="E8" t="s">
        <v>1756</v>
      </c>
    </row>
    <row r="9" spans="1:5" ht="15.75">
      <c r="A9" s="3" t="s">
        <v>1757</v>
      </c>
      <c r="B9" t="s">
        <v>1758</v>
      </c>
      <c r="C9" t="s">
        <v>42</v>
      </c>
      <c r="E9" t="s">
        <v>1759</v>
      </c>
    </row>
    <row r="10" spans="1:5">
      <c r="A10" t="s">
        <v>1760</v>
      </c>
      <c r="B10" t="s">
        <v>1761</v>
      </c>
      <c r="C10" t="s">
        <v>42</v>
      </c>
      <c r="E10" t="s">
        <v>1762</v>
      </c>
    </row>
    <row r="11" spans="1:5">
      <c r="A11" t="s">
        <v>1763</v>
      </c>
      <c r="B11" t="s">
        <v>1764</v>
      </c>
      <c r="C11" t="s">
        <v>42</v>
      </c>
      <c r="D11" t="s">
        <v>1763</v>
      </c>
      <c r="E11" t="s">
        <v>1765</v>
      </c>
    </row>
    <row r="12" spans="1:5">
      <c r="A12" t="s">
        <v>1766</v>
      </c>
      <c r="B12" t="s">
        <v>1767</v>
      </c>
      <c r="C12" t="s">
        <v>42</v>
      </c>
      <c r="E12" t="s">
        <v>1768</v>
      </c>
    </row>
    <row r="13" spans="1:5">
      <c r="A13" t="s">
        <v>1769</v>
      </c>
      <c r="B13" t="s">
        <v>1770</v>
      </c>
      <c r="C13" t="s">
        <v>42</v>
      </c>
      <c r="D13" t="s">
        <v>1769</v>
      </c>
      <c r="E13" t="s">
        <v>1771</v>
      </c>
    </row>
    <row r="14" spans="1:5">
      <c r="A14" t="s">
        <v>1772</v>
      </c>
      <c r="B14" t="s">
        <v>1866</v>
      </c>
    </row>
    <row r="15" spans="1:5">
      <c r="A15" t="s">
        <v>1773</v>
      </c>
      <c r="B15" t="s">
        <v>1867</v>
      </c>
    </row>
    <row r="16" spans="1:5">
      <c r="A16" t="s">
        <v>1774</v>
      </c>
      <c r="B16" t="s">
        <v>1775</v>
      </c>
      <c r="C16" t="s">
        <v>42</v>
      </c>
      <c r="E16" t="s">
        <v>1776</v>
      </c>
    </row>
    <row r="17" spans="1:5">
      <c r="A17" t="s">
        <v>10</v>
      </c>
      <c r="B17" t="s">
        <v>1804</v>
      </c>
      <c r="C17" t="s">
        <v>1748</v>
      </c>
      <c r="E17" t="s">
        <v>1805</v>
      </c>
    </row>
    <row r="18" spans="1:5">
      <c r="A18" t="s">
        <v>1806</v>
      </c>
      <c r="B18" t="s">
        <v>1809</v>
      </c>
      <c r="C18" t="s">
        <v>1813</v>
      </c>
      <c r="D18" t="s">
        <v>1807</v>
      </c>
      <c r="E18" t="s">
        <v>1808</v>
      </c>
    </row>
    <row r="19" spans="1:5">
      <c r="A19" t="s">
        <v>1810</v>
      </c>
      <c r="B19" t="s">
        <v>1814</v>
      </c>
      <c r="C19" t="s">
        <v>1813</v>
      </c>
      <c r="D19" t="s">
        <v>1815</v>
      </c>
      <c r="E19" t="s">
        <v>1816</v>
      </c>
    </row>
    <row r="20" spans="1:5">
      <c r="A20" t="s">
        <v>1811</v>
      </c>
      <c r="B20" t="s">
        <v>1812</v>
      </c>
      <c r="C20" t="s">
        <v>1813</v>
      </c>
    </row>
    <row r="21" spans="1:5">
      <c r="A21" t="s">
        <v>1817</v>
      </c>
      <c r="B21" t="s">
        <v>1818</v>
      </c>
      <c r="C21" t="s">
        <v>1813</v>
      </c>
    </row>
    <row r="22" spans="1:5">
      <c r="A22" t="s">
        <v>1819</v>
      </c>
      <c r="B22" t="s">
        <v>22</v>
      </c>
      <c r="C22" t="s">
        <v>1813</v>
      </c>
    </row>
    <row r="23" spans="1:5">
      <c r="A23" s="16" t="s">
        <v>1844</v>
      </c>
      <c r="B23" t="s">
        <v>1729</v>
      </c>
    </row>
    <row r="24" spans="1:5">
      <c r="A24" s="16" t="s">
        <v>1847</v>
      </c>
      <c r="B24" t="s">
        <v>1868</v>
      </c>
    </row>
    <row r="25" spans="1:5">
      <c r="A25" s="16" t="s">
        <v>1851</v>
      </c>
      <c r="B25" t="s">
        <v>1869</v>
      </c>
    </row>
    <row r="26" spans="1:5">
      <c r="A26" s="16" t="s">
        <v>1855</v>
      </c>
      <c r="B26" t="s">
        <v>1870</v>
      </c>
    </row>
    <row r="27" spans="1:5">
      <c r="A27" s="16" t="s">
        <v>1859</v>
      </c>
      <c r="B27" t="s">
        <v>1871</v>
      </c>
    </row>
    <row r="28" spans="1:5">
      <c r="A28" s="16" t="s">
        <v>1862</v>
      </c>
      <c r="B28" t="s">
        <v>1889</v>
      </c>
    </row>
    <row r="29" spans="1:5">
      <c r="A29" s="16" t="s">
        <v>1863</v>
      </c>
      <c r="B29" t="s">
        <v>1872</v>
      </c>
    </row>
    <row r="30" spans="1:5">
      <c r="A30" s="16" t="s">
        <v>227</v>
      </c>
      <c r="B30" t="s">
        <v>124</v>
      </c>
    </row>
    <row r="31" spans="1:5">
      <c r="A31" s="16" t="s">
        <v>1848</v>
      </c>
      <c r="B31" t="s">
        <v>1873</v>
      </c>
    </row>
    <row r="32" spans="1:5">
      <c r="A32" s="16" t="s">
        <v>1852</v>
      </c>
      <c r="B32" t="s">
        <v>1874</v>
      </c>
    </row>
    <row r="33" spans="1:2">
      <c r="A33" s="16" t="s">
        <v>1856</v>
      </c>
      <c r="B33" t="s">
        <v>1888</v>
      </c>
    </row>
    <row r="34" spans="1:2">
      <c r="A34" s="16" t="s">
        <v>1860</v>
      </c>
      <c r="B34" t="s">
        <v>1875</v>
      </c>
    </row>
    <row r="35" spans="1:2">
      <c r="A35" s="16" t="s">
        <v>55</v>
      </c>
      <c r="B35" t="s">
        <v>1876</v>
      </c>
    </row>
    <row r="36" spans="1:2">
      <c r="A36" s="16" t="s">
        <v>1864</v>
      </c>
      <c r="B36" t="s">
        <v>1877</v>
      </c>
    </row>
    <row r="37" spans="1:2">
      <c r="A37" s="16" t="s">
        <v>1845</v>
      </c>
      <c r="B37" t="s">
        <v>128</v>
      </c>
    </row>
    <row r="38" spans="1:2">
      <c r="A38" s="16" t="s">
        <v>1849</v>
      </c>
      <c r="B38" t="s">
        <v>1878</v>
      </c>
    </row>
    <row r="39" spans="1:2">
      <c r="A39" s="16" t="s">
        <v>1853</v>
      </c>
      <c r="B39" t="s">
        <v>1879</v>
      </c>
    </row>
    <row r="40" spans="1:2">
      <c r="A40" s="16" t="s">
        <v>1857</v>
      </c>
      <c r="B40" t="s">
        <v>1880</v>
      </c>
    </row>
    <row r="41" spans="1:2">
      <c r="A41" s="16" t="s">
        <v>1861</v>
      </c>
      <c r="B41" t="s">
        <v>1881</v>
      </c>
    </row>
    <row r="42" spans="1:2">
      <c r="A42" s="16" t="s">
        <v>1865</v>
      </c>
      <c r="B42" t="s">
        <v>1882</v>
      </c>
    </row>
    <row r="43" spans="1:2">
      <c r="A43" s="16" t="s">
        <v>1846</v>
      </c>
      <c r="B43" t="s">
        <v>1883</v>
      </c>
    </row>
    <row r="44" spans="1:2">
      <c r="A44" s="16" t="s">
        <v>1850</v>
      </c>
      <c r="B44" t="s">
        <v>1884</v>
      </c>
    </row>
    <row r="45" spans="1:2">
      <c r="A45" s="16" t="s">
        <v>1854</v>
      </c>
      <c r="B45" t="s">
        <v>1875</v>
      </c>
    </row>
    <row r="46" spans="1:2">
      <c r="A46" s="16" t="s">
        <v>1858</v>
      </c>
      <c r="B46" t="s">
        <v>1885</v>
      </c>
    </row>
    <row r="47" spans="1:2">
      <c r="A47" s="16" t="s">
        <v>123</v>
      </c>
      <c r="B47" t="s">
        <v>1886</v>
      </c>
    </row>
    <row r="48" spans="1:2">
      <c r="A48" s="16" t="s">
        <v>1892</v>
      </c>
      <c r="B48" t="s">
        <v>1899</v>
      </c>
    </row>
    <row r="49" spans="1:2">
      <c r="A49" s="16" t="s">
        <v>1893</v>
      </c>
      <c r="B49" t="s">
        <v>1900</v>
      </c>
    </row>
    <row r="50" spans="1:2">
      <c r="A50" s="16" t="s">
        <v>1894</v>
      </c>
      <c r="B50" t="s">
        <v>1901</v>
      </c>
    </row>
    <row r="51" spans="1:2">
      <c r="A51" s="16" t="s">
        <v>1895</v>
      </c>
      <c r="B51" t="s">
        <v>1902</v>
      </c>
    </row>
    <row r="52" spans="1:2">
      <c r="A52" s="16" t="s">
        <v>100</v>
      </c>
      <c r="B52" t="s">
        <v>1903</v>
      </c>
    </row>
    <row r="53" spans="1:2">
      <c r="A53" s="16" t="s">
        <v>1896</v>
      </c>
      <c r="B53" t="s">
        <v>1904</v>
      </c>
    </row>
    <row r="54" spans="1:2">
      <c r="A54" s="16" t="s">
        <v>1897</v>
      </c>
      <c r="B54" t="s">
        <v>1905</v>
      </c>
    </row>
    <row r="55" spans="1:2">
      <c r="A55" s="16" t="s">
        <v>1898</v>
      </c>
      <c r="B55" t="s">
        <v>1906</v>
      </c>
    </row>
    <row r="56" spans="1:2">
      <c r="A56" s="16" t="s">
        <v>1942</v>
      </c>
      <c r="B56" t="s">
        <v>1973</v>
      </c>
    </row>
    <row r="57" spans="1:2">
      <c r="A57" s="16" t="s">
        <v>1941</v>
      </c>
      <c r="B57" t="s">
        <v>1972</v>
      </c>
    </row>
    <row r="58" spans="1:2">
      <c r="A58" s="16" t="s">
        <v>1943</v>
      </c>
    </row>
    <row r="59" spans="1:2">
      <c r="A59" s="16" t="s">
        <v>1944</v>
      </c>
      <c r="B59" t="s">
        <v>1979</v>
      </c>
    </row>
    <row r="60" spans="1:2">
      <c r="A60" s="16" t="s">
        <v>1945</v>
      </c>
      <c r="B60" t="s">
        <v>1981</v>
      </c>
    </row>
    <row r="61" spans="1:2">
      <c r="A61" s="16" t="s">
        <v>1946</v>
      </c>
      <c r="B61" t="s">
        <v>1987</v>
      </c>
    </row>
    <row r="62" spans="1:2">
      <c r="A62" s="16" t="s">
        <v>1947</v>
      </c>
    </row>
    <row r="63" spans="1:2">
      <c r="A63" s="16" t="s">
        <v>1948</v>
      </c>
      <c r="B63" t="s">
        <v>1982</v>
      </c>
    </row>
    <row r="64" spans="1:2">
      <c r="A64" s="16" t="s">
        <v>1949</v>
      </c>
      <c r="B64" t="s">
        <v>1983</v>
      </c>
    </row>
    <row r="65" spans="1:2">
      <c r="A65" s="16" t="s">
        <v>1951</v>
      </c>
    </row>
    <row r="66" spans="1:2">
      <c r="A66" s="16" t="s">
        <v>1950</v>
      </c>
      <c r="B66" t="s">
        <v>1984</v>
      </c>
    </row>
    <row r="67" spans="1:2">
      <c r="A67" s="16" t="s">
        <v>1929</v>
      </c>
      <c r="B67" t="s">
        <v>1990</v>
      </c>
    </row>
    <row r="68" spans="1:2">
      <c r="A68" s="16" t="s">
        <v>1930</v>
      </c>
    </row>
    <row r="69" spans="1:2">
      <c r="A69" s="16" t="s">
        <v>1931</v>
      </c>
      <c r="B69" t="s">
        <v>1986</v>
      </c>
    </row>
    <row r="70" spans="1:2">
      <c r="A70" s="16" t="s">
        <v>1952</v>
      </c>
    </row>
    <row r="71" spans="1:2">
      <c r="A71" s="16" t="s">
        <v>1731</v>
      </c>
      <c r="B71" t="s">
        <v>1977</v>
      </c>
    </row>
    <row r="72" spans="1:2">
      <c r="A72" s="16" t="s">
        <v>1932</v>
      </c>
    </row>
    <row r="73" spans="1:2">
      <c r="A73" s="16" t="s">
        <v>1953</v>
      </c>
      <c r="B73" t="s">
        <v>1991</v>
      </c>
    </row>
    <row r="74" spans="1:2">
      <c r="A74" s="16" t="s">
        <v>117</v>
      </c>
      <c r="B74" t="s">
        <v>1988</v>
      </c>
    </row>
    <row r="75" spans="1:2">
      <c r="A75" s="16" t="s">
        <v>1954</v>
      </c>
      <c r="B75" t="s">
        <v>1922</v>
      </c>
    </row>
    <row r="76" spans="1:2">
      <c r="A76" s="16" t="s">
        <v>1955</v>
      </c>
    </row>
    <row r="77" spans="1:2">
      <c r="A77" s="16" t="s">
        <v>1956</v>
      </c>
    </row>
    <row r="78" spans="1:2">
      <c r="A78" s="16" t="s">
        <v>1957</v>
      </c>
      <c r="B78" t="s">
        <v>1975</v>
      </c>
    </row>
    <row r="79" spans="1:2">
      <c r="A79" s="16" t="s">
        <v>1958</v>
      </c>
    </row>
    <row r="80" spans="1:2">
      <c r="A80" s="16" t="s">
        <v>1959</v>
      </c>
      <c r="B80" t="s">
        <v>1980</v>
      </c>
    </row>
    <row r="81" spans="1:2">
      <c r="A81" s="16" t="s">
        <v>1934</v>
      </c>
    </row>
    <row r="82" spans="1:2">
      <c r="A82" s="16" t="s">
        <v>1960</v>
      </c>
    </row>
    <row r="83" spans="1:2">
      <c r="A83" s="16" t="s">
        <v>1935</v>
      </c>
      <c r="B83" t="s">
        <v>1940</v>
      </c>
    </row>
    <row r="84" spans="1:2">
      <c r="A84" s="16" t="s">
        <v>1936</v>
      </c>
    </row>
    <row r="85" spans="1:2">
      <c r="A85" s="16" t="s">
        <v>1961</v>
      </c>
    </row>
    <row r="86" spans="1:2">
      <c r="A86" s="16" t="s">
        <v>1962</v>
      </c>
    </row>
    <row r="87" spans="1:2">
      <c r="A87" s="16" t="s">
        <v>1963</v>
      </c>
      <c r="B87" t="s">
        <v>1989</v>
      </c>
    </row>
    <row r="88" spans="1:2">
      <c r="A88" s="16" t="s">
        <v>1964</v>
      </c>
      <c r="B88" t="s">
        <v>1978</v>
      </c>
    </row>
    <row r="89" spans="1:2">
      <c r="A89" s="16" t="s">
        <v>1965</v>
      </c>
      <c r="B89" t="s">
        <v>1841</v>
      </c>
    </row>
    <row r="90" spans="1:2">
      <c r="A90" s="16" t="s">
        <v>1966</v>
      </c>
      <c r="B90" t="s">
        <v>118</v>
      </c>
    </row>
    <row r="91" spans="1:2">
      <c r="A91" s="16" t="s">
        <v>1967</v>
      </c>
    </row>
    <row r="92" spans="1:2">
      <c r="A92" s="16" t="s">
        <v>1968</v>
      </c>
      <c r="B92" t="s">
        <v>1985</v>
      </c>
    </row>
    <row r="93" spans="1:2">
      <c r="A93" s="16" t="s">
        <v>1937</v>
      </c>
    </row>
    <row r="94" spans="1:2">
      <c r="A94" s="16" t="s">
        <v>1969</v>
      </c>
      <c r="B94" t="s">
        <v>1974</v>
      </c>
    </row>
    <row r="95" spans="1:2">
      <c r="A95" s="16" t="s">
        <v>1938</v>
      </c>
      <c r="B95" t="s">
        <v>1939</v>
      </c>
    </row>
    <row r="96" spans="1:2">
      <c r="A96" s="16" t="s">
        <v>1970</v>
      </c>
    </row>
    <row r="97" spans="1:2">
      <c r="A97" s="16" t="s">
        <v>1971</v>
      </c>
      <c r="B97" t="s">
        <v>1976</v>
      </c>
    </row>
    <row r="98" spans="1:2">
      <c r="A98" s="16" t="s">
        <v>1933</v>
      </c>
      <c r="B98" t="s">
        <v>1926</v>
      </c>
    </row>
    <row r="99" spans="1:2">
      <c r="A99" s="16" t="s">
        <v>1992</v>
      </c>
      <c r="B99" t="s">
        <v>1993</v>
      </c>
    </row>
    <row r="100" spans="1:2">
      <c r="A100" s="16" t="s">
        <v>1994</v>
      </c>
      <c r="B100" t="s">
        <v>1995</v>
      </c>
    </row>
    <row r="101" spans="1:2">
      <c r="A101" s="16" t="s">
        <v>1996</v>
      </c>
      <c r="B101" t="s">
        <v>1997</v>
      </c>
    </row>
    <row r="102" spans="1:2">
      <c r="A102" s="16" t="s">
        <v>1998</v>
      </c>
      <c r="B102" t="s">
        <v>1999</v>
      </c>
    </row>
    <row r="103" spans="1:2">
      <c r="A103" s="16" t="s">
        <v>2000</v>
      </c>
      <c r="B103" t="s">
        <v>2001</v>
      </c>
    </row>
    <row r="104" spans="1:2">
      <c r="A104" s="16" t="s">
        <v>2002</v>
      </c>
      <c r="B104" t="s">
        <v>2003</v>
      </c>
    </row>
    <row r="105" spans="1:2">
      <c r="A105" s="16"/>
    </row>
    <row r="106" spans="1:2">
      <c r="A106" s="16"/>
    </row>
    <row r="107" spans="1:2">
      <c r="A107" s="16"/>
    </row>
    <row r="108" spans="1:2">
      <c r="A108" s="16"/>
    </row>
    <row r="109" spans="1:2">
      <c r="A109" s="16"/>
    </row>
    <row r="110" spans="1:2">
      <c r="A110" s="16"/>
    </row>
    <row r="111" spans="1:2">
      <c r="A111" s="16"/>
    </row>
    <row r="112" spans="1:2">
      <c r="A112" s="16"/>
    </row>
    <row r="113" spans="1:1">
      <c r="A113" s="16"/>
    </row>
    <row r="114" spans="1:1">
      <c r="A114" s="16"/>
    </row>
    <row r="115" spans="1:1">
      <c r="A115" s="16"/>
    </row>
    <row r="116" spans="1:1">
      <c r="A116" s="16"/>
    </row>
    <row r="117" spans="1:1">
      <c r="A117" s="16"/>
    </row>
    <row r="118" spans="1:1">
      <c r="A118" s="16"/>
    </row>
    <row r="119" spans="1:1">
      <c r="A119" s="16"/>
    </row>
    <row r="120" spans="1:1">
      <c r="A120" s="16"/>
    </row>
    <row r="121" spans="1:1">
      <c r="A121" s="16"/>
    </row>
    <row r="122" spans="1:1">
      <c r="A122" s="16"/>
    </row>
  </sheetData>
  <sortState ref="A56:B98">
    <sortCondition ref="A56:A98"/>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8"/>
  <sheetViews>
    <sheetView workbookViewId="0">
      <selection activeCell="A16" sqref="A16"/>
    </sheetView>
  </sheetViews>
  <sheetFormatPr defaultRowHeight="15"/>
  <cols>
    <col min="1" max="1" width="18.140625" bestFit="1" customWidth="1"/>
    <col min="2" max="2" width="19.28515625" bestFit="1" customWidth="1"/>
    <col min="3" max="3" width="23.5703125" bestFit="1" customWidth="1"/>
    <col min="4" max="4" width="11.28515625" bestFit="1" customWidth="1"/>
    <col min="5" max="5" width="15.140625" bestFit="1" customWidth="1"/>
    <col min="6" max="6" width="9.7109375" bestFit="1" customWidth="1"/>
    <col min="7" max="7" width="13.7109375" bestFit="1" customWidth="1"/>
    <col min="8" max="8" width="16.42578125" bestFit="1" customWidth="1"/>
    <col min="9" max="9" width="19.85546875" bestFit="1" customWidth="1"/>
    <col min="10" max="10" width="15" bestFit="1" customWidth="1"/>
    <col min="11" max="11" width="29.28515625" bestFit="1" customWidth="1"/>
  </cols>
  <sheetData>
    <row r="1" spans="1:12">
      <c r="A1" t="s">
        <v>226</v>
      </c>
      <c r="B1" t="s">
        <v>230</v>
      </c>
      <c r="C1" t="s">
        <v>231</v>
      </c>
      <c r="D1" t="s">
        <v>232</v>
      </c>
      <c r="E1" t="s">
        <v>233</v>
      </c>
      <c r="F1" t="s">
        <v>234</v>
      </c>
      <c r="G1" t="s">
        <v>235</v>
      </c>
      <c r="H1" t="s">
        <v>236</v>
      </c>
      <c r="I1" t="s">
        <v>237</v>
      </c>
      <c r="J1" t="s">
        <v>246</v>
      </c>
      <c r="K1" t="s">
        <v>247</v>
      </c>
      <c r="L1" t="s">
        <v>349</v>
      </c>
    </row>
    <row r="2" spans="1:12" ht="15" customHeight="1">
      <c r="A2" t="s">
        <v>227</v>
      </c>
      <c r="B2" t="s">
        <v>1729</v>
      </c>
      <c r="D2" s="13" t="s">
        <v>1887</v>
      </c>
      <c r="G2" t="s">
        <v>1890</v>
      </c>
      <c r="H2" t="e">
        <f>IF(NOT('Vitals and Labs'!G12="Mainstream"),'Vitals and Labs'!G12&amp;": Use "&amp;VLOOKUP('Vitals and Labs'!G12,Calculations!S2:T8,2,FALSE),IF(OR(SBP&gt;=160,DBP&gt;=100),"Mainstream Stage 2 HTN: Two drug combo using an ACEI or ARB with a thiazide diuretic or ACEI or ARB with a CCB.",IF('Vitals and Labs'!B4="African American","African American: Use a Thiazide Diuretic or DHCCB",IF(OR(SBP&gt;=140,DBP&gt;=90),"Mainstream Stage 1 HTN: use Monotherapy using an ACE-I, ARB, DHCCB or Thiazide Diuretic or a two-drug combo","Controlled or no HTN"))))</f>
        <v>#N/A</v>
      </c>
      <c r="J2">
        <v>3</v>
      </c>
      <c r="K2" t="s">
        <v>2294</v>
      </c>
      <c r="L2" t="s">
        <v>352</v>
      </c>
    </row>
    <row r="3" spans="1:12" ht="15" customHeight="1">
      <c r="A3" t="s">
        <v>228</v>
      </c>
      <c r="B3" t="s">
        <v>1730</v>
      </c>
      <c r="K3" s="15" t="s">
        <v>2295</v>
      </c>
      <c r="L3" t="s">
        <v>352</v>
      </c>
    </row>
    <row r="4" spans="1:12">
      <c r="A4" t="s">
        <v>350</v>
      </c>
      <c r="B4" t="s">
        <v>1731</v>
      </c>
      <c r="I4" s="15"/>
      <c r="K4" s="15" t="s">
        <v>2296</v>
      </c>
      <c r="L4" t="s">
        <v>352</v>
      </c>
    </row>
    <row r="5" spans="1:12">
      <c r="A5" t="s">
        <v>42</v>
      </c>
      <c r="B5" t="s">
        <v>1803</v>
      </c>
      <c r="D5" t="s">
        <v>1798</v>
      </c>
      <c r="F5" t="s">
        <v>1799</v>
      </c>
      <c r="G5" t="s">
        <v>1891</v>
      </c>
      <c r="H5" t="s">
        <v>1800</v>
      </c>
      <c r="J5">
        <v>57</v>
      </c>
      <c r="K5" s="15" t="s">
        <v>1777</v>
      </c>
      <c r="L5" t="s">
        <v>352</v>
      </c>
    </row>
    <row r="6" spans="1:12">
      <c r="A6" t="s">
        <v>353</v>
      </c>
      <c r="L6" t="s">
        <v>351</v>
      </c>
    </row>
    <row r="7" spans="1:12">
      <c r="A7" t="s">
        <v>98</v>
      </c>
      <c r="B7" t="s">
        <v>1732</v>
      </c>
      <c r="L7" t="s">
        <v>351</v>
      </c>
    </row>
    <row r="8" spans="1:12">
      <c r="A8" t="s">
        <v>354</v>
      </c>
      <c r="L8" t="s">
        <v>351</v>
      </c>
    </row>
    <row r="9" spans="1:12">
      <c r="A9" t="s">
        <v>355</v>
      </c>
      <c r="L9" t="s">
        <v>359</v>
      </c>
    </row>
    <row r="10" spans="1:12">
      <c r="A10" t="s">
        <v>356</v>
      </c>
      <c r="B10" t="s">
        <v>1733</v>
      </c>
      <c r="L10" t="s">
        <v>359</v>
      </c>
    </row>
    <row r="11" spans="1:12" ht="15" customHeight="1">
      <c r="A11" t="s">
        <v>229</v>
      </c>
      <c r="B11" t="s">
        <v>1734</v>
      </c>
      <c r="D11" t="s">
        <v>2094</v>
      </c>
      <c r="E11" t="s">
        <v>2095</v>
      </c>
      <c r="F11" t="s">
        <v>2096</v>
      </c>
      <c r="G11" t="s">
        <v>2097</v>
      </c>
      <c r="H11" s="19" t="s">
        <v>2144</v>
      </c>
      <c r="J11">
        <v>103</v>
      </c>
      <c r="L11" t="s">
        <v>360</v>
      </c>
    </row>
    <row r="12" spans="1:12">
      <c r="A12" t="s">
        <v>357</v>
      </c>
      <c r="L12" t="s">
        <v>360</v>
      </c>
    </row>
    <row r="13" spans="1:12">
      <c r="A13" t="s">
        <v>358</v>
      </c>
      <c r="L13" t="s">
        <v>360</v>
      </c>
    </row>
    <row r="14" spans="1:12">
      <c r="A14" t="s">
        <v>1813</v>
      </c>
      <c r="B14" t="s">
        <v>1843</v>
      </c>
      <c r="J14">
        <v>37</v>
      </c>
      <c r="K14" s="15" t="s">
        <v>1842</v>
      </c>
    </row>
    <row r="15" spans="1:12">
      <c r="A15" t="s">
        <v>1898</v>
      </c>
      <c r="B15" t="s">
        <v>1920</v>
      </c>
      <c r="J15" t="s">
        <v>1921</v>
      </c>
      <c r="K15" t="s">
        <v>2293</v>
      </c>
    </row>
    <row r="16" spans="1:12">
      <c r="A16" t="s">
        <v>1922</v>
      </c>
      <c r="J16">
        <v>6</v>
      </c>
      <c r="K16" s="17" t="s">
        <v>1923</v>
      </c>
    </row>
    <row r="17" spans="1:11">
      <c r="A17" t="s">
        <v>1924</v>
      </c>
      <c r="J17">
        <v>7</v>
      </c>
      <c r="K17" s="17" t="s">
        <v>1925</v>
      </c>
    </row>
    <row r="18" spans="1:11" ht="15" customHeight="1">
      <c r="A18" t="s">
        <v>1926</v>
      </c>
      <c r="D18" s="14" t="s">
        <v>1928</v>
      </c>
      <c r="J18">
        <v>9</v>
      </c>
      <c r="K18" s="18" t="s">
        <v>1927</v>
      </c>
    </row>
  </sheetData>
  <hyperlinks>
    <hyperlink ref="K5" r:id="rId1"/>
    <hyperlink ref="K14" r:id="rId2"/>
    <hyperlink ref="K3" r:id="rId3"/>
    <hyperlink ref="K4" r:id="rId4"/>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O38"/>
  <sheetViews>
    <sheetView topLeftCell="A10" zoomScaleNormal="100" workbookViewId="0">
      <selection activeCell="H29" sqref="H29"/>
    </sheetView>
  </sheetViews>
  <sheetFormatPr defaultRowHeight="12.75"/>
  <cols>
    <col min="1" max="1" width="38.85546875" style="28" customWidth="1"/>
    <col min="2" max="2" width="18.42578125" style="28" customWidth="1"/>
    <col min="3" max="3" width="12.28515625" style="28" customWidth="1"/>
    <col min="4" max="4" width="22.28515625" style="28" customWidth="1"/>
    <col min="5" max="5" width="14.7109375" style="28" customWidth="1"/>
    <col min="6" max="6" width="47.42578125" style="28" customWidth="1"/>
    <col min="7" max="7" width="17.5703125" style="28" customWidth="1"/>
    <col min="8" max="8" width="9.140625" style="28"/>
    <col min="9" max="9" width="18.28515625" style="28" customWidth="1"/>
    <col min="10" max="10" width="23.7109375" style="28" customWidth="1"/>
    <col min="11" max="11" width="13.85546875" style="28" customWidth="1"/>
    <col min="12" max="12" width="9.140625" style="28"/>
    <col min="13" max="13" width="16" style="28" customWidth="1"/>
    <col min="14" max="256" width="9.140625" style="28"/>
    <col min="257" max="257" width="38.85546875" style="28" customWidth="1"/>
    <col min="258" max="258" width="18.42578125" style="28" customWidth="1"/>
    <col min="259" max="259" width="12.28515625" style="28" customWidth="1"/>
    <col min="260" max="260" width="22.28515625" style="28" customWidth="1"/>
    <col min="261" max="261" width="14.7109375" style="28" customWidth="1"/>
    <col min="262" max="262" width="47.42578125" style="28" customWidth="1"/>
    <col min="263" max="263" width="17.5703125" style="28" customWidth="1"/>
    <col min="264" max="264" width="9.140625" style="28"/>
    <col min="265" max="265" width="18.28515625" style="28" customWidth="1"/>
    <col min="266" max="266" width="23.7109375" style="28" customWidth="1"/>
    <col min="267" max="267" width="13.85546875" style="28" customWidth="1"/>
    <col min="268" max="268" width="9.140625" style="28"/>
    <col min="269" max="269" width="16" style="28" customWidth="1"/>
    <col min="270" max="512" width="9.140625" style="28"/>
    <col min="513" max="513" width="38.85546875" style="28" customWidth="1"/>
    <col min="514" max="514" width="18.42578125" style="28" customWidth="1"/>
    <col min="515" max="515" width="12.28515625" style="28" customWidth="1"/>
    <col min="516" max="516" width="22.28515625" style="28" customWidth="1"/>
    <col min="517" max="517" width="14.7109375" style="28" customWidth="1"/>
    <col min="518" max="518" width="47.42578125" style="28" customWidth="1"/>
    <col min="519" max="519" width="17.5703125" style="28" customWidth="1"/>
    <col min="520" max="520" width="9.140625" style="28"/>
    <col min="521" max="521" width="18.28515625" style="28" customWidth="1"/>
    <col min="522" max="522" width="23.7109375" style="28" customWidth="1"/>
    <col min="523" max="523" width="13.85546875" style="28" customWidth="1"/>
    <col min="524" max="524" width="9.140625" style="28"/>
    <col min="525" max="525" width="16" style="28" customWidth="1"/>
    <col min="526" max="768" width="9.140625" style="28"/>
    <col min="769" max="769" width="38.85546875" style="28" customWidth="1"/>
    <col min="770" max="770" width="18.42578125" style="28" customWidth="1"/>
    <col min="771" max="771" width="12.28515625" style="28" customWidth="1"/>
    <col min="772" max="772" width="22.28515625" style="28" customWidth="1"/>
    <col min="773" max="773" width="14.7109375" style="28" customWidth="1"/>
    <col min="774" max="774" width="47.42578125" style="28" customWidth="1"/>
    <col min="775" max="775" width="17.5703125" style="28" customWidth="1"/>
    <col min="776" max="776" width="9.140625" style="28"/>
    <col min="777" max="777" width="18.28515625" style="28" customWidth="1"/>
    <col min="778" max="778" width="23.7109375" style="28" customWidth="1"/>
    <col min="779" max="779" width="13.85546875" style="28" customWidth="1"/>
    <col min="780" max="780" width="9.140625" style="28"/>
    <col min="781" max="781" width="16" style="28" customWidth="1"/>
    <col min="782" max="1024" width="9.140625" style="28"/>
    <col min="1025" max="1025" width="38.85546875" style="28" customWidth="1"/>
    <col min="1026" max="1026" width="18.42578125" style="28" customWidth="1"/>
    <col min="1027" max="1027" width="12.28515625" style="28" customWidth="1"/>
    <col min="1028" max="1028" width="22.28515625" style="28" customWidth="1"/>
    <col min="1029" max="1029" width="14.7109375" style="28" customWidth="1"/>
    <col min="1030" max="1030" width="47.42578125" style="28" customWidth="1"/>
    <col min="1031" max="1031" width="17.5703125" style="28" customWidth="1"/>
    <col min="1032" max="1032" width="9.140625" style="28"/>
    <col min="1033" max="1033" width="18.28515625" style="28" customWidth="1"/>
    <col min="1034" max="1034" width="23.7109375" style="28" customWidth="1"/>
    <col min="1035" max="1035" width="13.85546875" style="28" customWidth="1"/>
    <col min="1036" max="1036" width="9.140625" style="28"/>
    <col min="1037" max="1037" width="16" style="28" customWidth="1"/>
    <col min="1038" max="1280" width="9.140625" style="28"/>
    <col min="1281" max="1281" width="38.85546875" style="28" customWidth="1"/>
    <col min="1282" max="1282" width="18.42578125" style="28" customWidth="1"/>
    <col min="1283" max="1283" width="12.28515625" style="28" customWidth="1"/>
    <col min="1284" max="1284" width="22.28515625" style="28" customWidth="1"/>
    <col min="1285" max="1285" width="14.7109375" style="28" customWidth="1"/>
    <col min="1286" max="1286" width="47.42578125" style="28" customWidth="1"/>
    <col min="1287" max="1287" width="17.5703125" style="28" customWidth="1"/>
    <col min="1288" max="1288" width="9.140625" style="28"/>
    <col min="1289" max="1289" width="18.28515625" style="28" customWidth="1"/>
    <col min="1290" max="1290" width="23.7109375" style="28" customWidth="1"/>
    <col min="1291" max="1291" width="13.85546875" style="28" customWidth="1"/>
    <col min="1292" max="1292" width="9.140625" style="28"/>
    <col min="1293" max="1293" width="16" style="28" customWidth="1"/>
    <col min="1294" max="1536" width="9.140625" style="28"/>
    <col min="1537" max="1537" width="38.85546875" style="28" customWidth="1"/>
    <col min="1538" max="1538" width="18.42578125" style="28" customWidth="1"/>
    <col min="1539" max="1539" width="12.28515625" style="28" customWidth="1"/>
    <col min="1540" max="1540" width="22.28515625" style="28" customWidth="1"/>
    <col min="1541" max="1541" width="14.7109375" style="28" customWidth="1"/>
    <col min="1542" max="1542" width="47.42578125" style="28" customWidth="1"/>
    <col min="1543" max="1543" width="17.5703125" style="28" customWidth="1"/>
    <col min="1544" max="1544" width="9.140625" style="28"/>
    <col min="1545" max="1545" width="18.28515625" style="28" customWidth="1"/>
    <col min="1546" max="1546" width="23.7109375" style="28" customWidth="1"/>
    <col min="1547" max="1547" width="13.85546875" style="28" customWidth="1"/>
    <col min="1548" max="1548" width="9.140625" style="28"/>
    <col min="1549" max="1549" width="16" style="28" customWidth="1"/>
    <col min="1550" max="1792" width="9.140625" style="28"/>
    <col min="1793" max="1793" width="38.85546875" style="28" customWidth="1"/>
    <col min="1794" max="1794" width="18.42578125" style="28" customWidth="1"/>
    <col min="1795" max="1795" width="12.28515625" style="28" customWidth="1"/>
    <col min="1796" max="1796" width="22.28515625" style="28" customWidth="1"/>
    <col min="1797" max="1797" width="14.7109375" style="28" customWidth="1"/>
    <col min="1798" max="1798" width="47.42578125" style="28" customWidth="1"/>
    <col min="1799" max="1799" width="17.5703125" style="28" customWidth="1"/>
    <col min="1800" max="1800" width="9.140625" style="28"/>
    <col min="1801" max="1801" width="18.28515625" style="28" customWidth="1"/>
    <col min="1802" max="1802" width="23.7109375" style="28" customWidth="1"/>
    <col min="1803" max="1803" width="13.85546875" style="28" customWidth="1"/>
    <col min="1804" max="1804" width="9.140625" style="28"/>
    <col min="1805" max="1805" width="16" style="28" customWidth="1"/>
    <col min="1806" max="2048" width="9.140625" style="28"/>
    <col min="2049" max="2049" width="38.85546875" style="28" customWidth="1"/>
    <col min="2050" max="2050" width="18.42578125" style="28" customWidth="1"/>
    <col min="2051" max="2051" width="12.28515625" style="28" customWidth="1"/>
    <col min="2052" max="2052" width="22.28515625" style="28" customWidth="1"/>
    <col min="2053" max="2053" width="14.7109375" style="28" customWidth="1"/>
    <col min="2054" max="2054" width="47.42578125" style="28" customWidth="1"/>
    <col min="2055" max="2055" width="17.5703125" style="28" customWidth="1"/>
    <col min="2056" max="2056" width="9.140625" style="28"/>
    <col min="2057" max="2057" width="18.28515625" style="28" customWidth="1"/>
    <col min="2058" max="2058" width="23.7109375" style="28" customWidth="1"/>
    <col min="2059" max="2059" width="13.85546875" style="28" customWidth="1"/>
    <col min="2060" max="2060" width="9.140625" style="28"/>
    <col min="2061" max="2061" width="16" style="28" customWidth="1"/>
    <col min="2062" max="2304" width="9.140625" style="28"/>
    <col min="2305" max="2305" width="38.85546875" style="28" customWidth="1"/>
    <col min="2306" max="2306" width="18.42578125" style="28" customWidth="1"/>
    <col min="2307" max="2307" width="12.28515625" style="28" customWidth="1"/>
    <col min="2308" max="2308" width="22.28515625" style="28" customWidth="1"/>
    <col min="2309" max="2309" width="14.7109375" style="28" customWidth="1"/>
    <col min="2310" max="2310" width="47.42578125" style="28" customWidth="1"/>
    <col min="2311" max="2311" width="17.5703125" style="28" customWidth="1"/>
    <col min="2312" max="2312" width="9.140625" style="28"/>
    <col min="2313" max="2313" width="18.28515625" style="28" customWidth="1"/>
    <col min="2314" max="2314" width="23.7109375" style="28" customWidth="1"/>
    <col min="2315" max="2315" width="13.85546875" style="28" customWidth="1"/>
    <col min="2316" max="2316" width="9.140625" style="28"/>
    <col min="2317" max="2317" width="16" style="28" customWidth="1"/>
    <col min="2318" max="2560" width="9.140625" style="28"/>
    <col min="2561" max="2561" width="38.85546875" style="28" customWidth="1"/>
    <col min="2562" max="2562" width="18.42578125" style="28" customWidth="1"/>
    <col min="2563" max="2563" width="12.28515625" style="28" customWidth="1"/>
    <col min="2564" max="2564" width="22.28515625" style="28" customWidth="1"/>
    <col min="2565" max="2565" width="14.7109375" style="28" customWidth="1"/>
    <col min="2566" max="2566" width="47.42578125" style="28" customWidth="1"/>
    <col min="2567" max="2567" width="17.5703125" style="28" customWidth="1"/>
    <col min="2568" max="2568" width="9.140625" style="28"/>
    <col min="2569" max="2569" width="18.28515625" style="28" customWidth="1"/>
    <col min="2570" max="2570" width="23.7109375" style="28" customWidth="1"/>
    <col min="2571" max="2571" width="13.85546875" style="28" customWidth="1"/>
    <col min="2572" max="2572" width="9.140625" style="28"/>
    <col min="2573" max="2573" width="16" style="28" customWidth="1"/>
    <col min="2574" max="2816" width="9.140625" style="28"/>
    <col min="2817" max="2817" width="38.85546875" style="28" customWidth="1"/>
    <col min="2818" max="2818" width="18.42578125" style="28" customWidth="1"/>
    <col min="2819" max="2819" width="12.28515625" style="28" customWidth="1"/>
    <col min="2820" max="2820" width="22.28515625" style="28" customWidth="1"/>
    <col min="2821" max="2821" width="14.7109375" style="28" customWidth="1"/>
    <col min="2822" max="2822" width="47.42578125" style="28" customWidth="1"/>
    <col min="2823" max="2823" width="17.5703125" style="28" customWidth="1"/>
    <col min="2824" max="2824" width="9.140625" style="28"/>
    <col min="2825" max="2825" width="18.28515625" style="28" customWidth="1"/>
    <col min="2826" max="2826" width="23.7109375" style="28" customWidth="1"/>
    <col min="2827" max="2827" width="13.85546875" style="28" customWidth="1"/>
    <col min="2828" max="2828" width="9.140625" style="28"/>
    <col min="2829" max="2829" width="16" style="28" customWidth="1"/>
    <col min="2830" max="3072" width="9.140625" style="28"/>
    <col min="3073" max="3073" width="38.85546875" style="28" customWidth="1"/>
    <col min="3074" max="3074" width="18.42578125" style="28" customWidth="1"/>
    <col min="3075" max="3075" width="12.28515625" style="28" customWidth="1"/>
    <col min="3076" max="3076" width="22.28515625" style="28" customWidth="1"/>
    <col min="3077" max="3077" width="14.7109375" style="28" customWidth="1"/>
    <col min="3078" max="3078" width="47.42578125" style="28" customWidth="1"/>
    <col min="3079" max="3079" width="17.5703125" style="28" customWidth="1"/>
    <col min="3080" max="3080" width="9.140625" style="28"/>
    <col min="3081" max="3081" width="18.28515625" style="28" customWidth="1"/>
    <col min="3082" max="3082" width="23.7109375" style="28" customWidth="1"/>
    <col min="3083" max="3083" width="13.85546875" style="28" customWidth="1"/>
    <col min="3084" max="3084" width="9.140625" style="28"/>
    <col min="3085" max="3085" width="16" style="28" customWidth="1"/>
    <col min="3086" max="3328" width="9.140625" style="28"/>
    <col min="3329" max="3329" width="38.85546875" style="28" customWidth="1"/>
    <col min="3330" max="3330" width="18.42578125" style="28" customWidth="1"/>
    <col min="3331" max="3331" width="12.28515625" style="28" customWidth="1"/>
    <col min="3332" max="3332" width="22.28515625" style="28" customWidth="1"/>
    <col min="3333" max="3333" width="14.7109375" style="28" customWidth="1"/>
    <col min="3334" max="3334" width="47.42578125" style="28" customWidth="1"/>
    <col min="3335" max="3335" width="17.5703125" style="28" customWidth="1"/>
    <col min="3336" max="3336" width="9.140625" style="28"/>
    <col min="3337" max="3337" width="18.28515625" style="28" customWidth="1"/>
    <col min="3338" max="3338" width="23.7109375" style="28" customWidth="1"/>
    <col min="3339" max="3339" width="13.85546875" style="28" customWidth="1"/>
    <col min="3340" max="3340" width="9.140625" style="28"/>
    <col min="3341" max="3341" width="16" style="28" customWidth="1"/>
    <col min="3342" max="3584" width="9.140625" style="28"/>
    <col min="3585" max="3585" width="38.85546875" style="28" customWidth="1"/>
    <col min="3586" max="3586" width="18.42578125" style="28" customWidth="1"/>
    <col min="3587" max="3587" width="12.28515625" style="28" customWidth="1"/>
    <col min="3588" max="3588" width="22.28515625" style="28" customWidth="1"/>
    <col min="3589" max="3589" width="14.7109375" style="28" customWidth="1"/>
    <col min="3590" max="3590" width="47.42578125" style="28" customWidth="1"/>
    <col min="3591" max="3591" width="17.5703125" style="28" customWidth="1"/>
    <col min="3592" max="3592" width="9.140625" style="28"/>
    <col min="3593" max="3593" width="18.28515625" style="28" customWidth="1"/>
    <col min="3594" max="3594" width="23.7109375" style="28" customWidth="1"/>
    <col min="3595" max="3595" width="13.85546875" style="28" customWidth="1"/>
    <col min="3596" max="3596" width="9.140625" style="28"/>
    <col min="3597" max="3597" width="16" style="28" customWidth="1"/>
    <col min="3598" max="3840" width="9.140625" style="28"/>
    <col min="3841" max="3841" width="38.85546875" style="28" customWidth="1"/>
    <col min="3842" max="3842" width="18.42578125" style="28" customWidth="1"/>
    <col min="3843" max="3843" width="12.28515625" style="28" customWidth="1"/>
    <col min="3844" max="3844" width="22.28515625" style="28" customWidth="1"/>
    <col min="3845" max="3845" width="14.7109375" style="28" customWidth="1"/>
    <col min="3846" max="3846" width="47.42578125" style="28" customWidth="1"/>
    <col min="3847" max="3847" width="17.5703125" style="28" customWidth="1"/>
    <col min="3848" max="3848" width="9.140625" style="28"/>
    <col min="3849" max="3849" width="18.28515625" style="28" customWidth="1"/>
    <col min="3850" max="3850" width="23.7109375" style="28" customWidth="1"/>
    <col min="3851" max="3851" width="13.85546875" style="28" customWidth="1"/>
    <col min="3852" max="3852" width="9.140625" style="28"/>
    <col min="3853" max="3853" width="16" style="28" customWidth="1"/>
    <col min="3854" max="4096" width="9.140625" style="28"/>
    <col min="4097" max="4097" width="38.85546875" style="28" customWidth="1"/>
    <col min="4098" max="4098" width="18.42578125" style="28" customWidth="1"/>
    <col min="4099" max="4099" width="12.28515625" style="28" customWidth="1"/>
    <col min="4100" max="4100" width="22.28515625" style="28" customWidth="1"/>
    <col min="4101" max="4101" width="14.7109375" style="28" customWidth="1"/>
    <col min="4102" max="4102" width="47.42578125" style="28" customWidth="1"/>
    <col min="4103" max="4103" width="17.5703125" style="28" customWidth="1"/>
    <col min="4104" max="4104" width="9.140625" style="28"/>
    <col min="4105" max="4105" width="18.28515625" style="28" customWidth="1"/>
    <col min="4106" max="4106" width="23.7109375" style="28" customWidth="1"/>
    <col min="4107" max="4107" width="13.85546875" style="28" customWidth="1"/>
    <col min="4108" max="4108" width="9.140625" style="28"/>
    <col min="4109" max="4109" width="16" style="28" customWidth="1"/>
    <col min="4110" max="4352" width="9.140625" style="28"/>
    <col min="4353" max="4353" width="38.85546875" style="28" customWidth="1"/>
    <col min="4354" max="4354" width="18.42578125" style="28" customWidth="1"/>
    <col min="4355" max="4355" width="12.28515625" style="28" customWidth="1"/>
    <col min="4356" max="4356" width="22.28515625" style="28" customWidth="1"/>
    <col min="4357" max="4357" width="14.7109375" style="28" customWidth="1"/>
    <col min="4358" max="4358" width="47.42578125" style="28" customWidth="1"/>
    <col min="4359" max="4359" width="17.5703125" style="28" customWidth="1"/>
    <col min="4360" max="4360" width="9.140625" style="28"/>
    <col min="4361" max="4361" width="18.28515625" style="28" customWidth="1"/>
    <col min="4362" max="4362" width="23.7109375" style="28" customWidth="1"/>
    <col min="4363" max="4363" width="13.85546875" style="28" customWidth="1"/>
    <col min="4364" max="4364" width="9.140625" style="28"/>
    <col min="4365" max="4365" width="16" style="28" customWidth="1"/>
    <col min="4366" max="4608" width="9.140625" style="28"/>
    <col min="4609" max="4609" width="38.85546875" style="28" customWidth="1"/>
    <col min="4610" max="4610" width="18.42578125" style="28" customWidth="1"/>
    <col min="4611" max="4611" width="12.28515625" style="28" customWidth="1"/>
    <col min="4612" max="4612" width="22.28515625" style="28" customWidth="1"/>
    <col min="4613" max="4613" width="14.7109375" style="28" customWidth="1"/>
    <col min="4614" max="4614" width="47.42578125" style="28" customWidth="1"/>
    <col min="4615" max="4615" width="17.5703125" style="28" customWidth="1"/>
    <col min="4616" max="4616" width="9.140625" style="28"/>
    <col min="4617" max="4617" width="18.28515625" style="28" customWidth="1"/>
    <col min="4618" max="4618" width="23.7109375" style="28" customWidth="1"/>
    <col min="4619" max="4619" width="13.85546875" style="28" customWidth="1"/>
    <col min="4620" max="4620" width="9.140625" style="28"/>
    <col min="4621" max="4621" width="16" style="28" customWidth="1"/>
    <col min="4622" max="4864" width="9.140625" style="28"/>
    <col min="4865" max="4865" width="38.85546875" style="28" customWidth="1"/>
    <col min="4866" max="4866" width="18.42578125" style="28" customWidth="1"/>
    <col min="4867" max="4867" width="12.28515625" style="28" customWidth="1"/>
    <col min="4868" max="4868" width="22.28515625" style="28" customWidth="1"/>
    <col min="4869" max="4869" width="14.7109375" style="28" customWidth="1"/>
    <col min="4870" max="4870" width="47.42578125" style="28" customWidth="1"/>
    <col min="4871" max="4871" width="17.5703125" style="28" customWidth="1"/>
    <col min="4872" max="4872" width="9.140625" style="28"/>
    <col min="4873" max="4873" width="18.28515625" style="28" customWidth="1"/>
    <col min="4874" max="4874" width="23.7109375" style="28" customWidth="1"/>
    <col min="4875" max="4875" width="13.85546875" style="28" customWidth="1"/>
    <col min="4876" max="4876" width="9.140625" style="28"/>
    <col min="4877" max="4877" width="16" style="28" customWidth="1"/>
    <col min="4878" max="5120" width="9.140625" style="28"/>
    <col min="5121" max="5121" width="38.85546875" style="28" customWidth="1"/>
    <col min="5122" max="5122" width="18.42578125" style="28" customWidth="1"/>
    <col min="5123" max="5123" width="12.28515625" style="28" customWidth="1"/>
    <col min="5124" max="5124" width="22.28515625" style="28" customWidth="1"/>
    <col min="5125" max="5125" width="14.7109375" style="28" customWidth="1"/>
    <col min="5126" max="5126" width="47.42578125" style="28" customWidth="1"/>
    <col min="5127" max="5127" width="17.5703125" style="28" customWidth="1"/>
    <col min="5128" max="5128" width="9.140625" style="28"/>
    <col min="5129" max="5129" width="18.28515625" style="28" customWidth="1"/>
    <col min="5130" max="5130" width="23.7109375" style="28" customWidth="1"/>
    <col min="5131" max="5131" width="13.85546875" style="28" customWidth="1"/>
    <col min="5132" max="5132" width="9.140625" style="28"/>
    <col min="5133" max="5133" width="16" style="28" customWidth="1"/>
    <col min="5134" max="5376" width="9.140625" style="28"/>
    <col min="5377" max="5377" width="38.85546875" style="28" customWidth="1"/>
    <col min="5378" max="5378" width="18.42578125" style="28" customWidth="1"/>
    <col min="5379" max="5379" width="12.28515625" style="28" customWidth="1"/>
    <col min="5380" max="5380" width="22.28515625" style="28" customWidth="1"/>
    <col min="5381" max="5381" width="14.7109375" style="28" customWidth="1"/>
    <col min="5382" max="5382" width="47.42578125" style="28" customWidth="1"/>
    <col min="5383" max="5383" width="17.5703125" style="28" customWidth="1"/>
    <col min="5384" max="5384" width="9.140625" style="28"/>
    <col min="5385" max="5385" width="18.28515625" style="28" customWidth="1"/>
    <col min="5386" max="5386" width="23.7109375" style="28" customWidth="1"/>
    <col min="5387" max="5387" width="13.85546875" style="28" customWidth="1"/>
    <col min="5388" max="5388" width="9.140625" style="28"/>
    <col min="5389" max="5389" width="16" style="28" customWidth="1"/>
    <col min="5390" max="5632" width="9.140625" style="28"/>
    <col min="5633" max="5633" width="38.85546875" style="28" customWidth="1"/>
    <col min="5634" max="5634" width="18.42578125" style="28" customWidth="1"/>
    <col min="5635" max="5635" width="12.28515625" style="28" customWidth="1"/>
    <col min="5636" max="5636" width="22.28515625" style="28" customWidth="1"/>
    <col min="5637" max="5637" width="14.7109375" style="28" customWidth="1"/>
    <col min="5638" max="5638" width="47.42578125" style="28" customWidth="1"/>
    <col min="5639" max="5639" width="17.5703125" style="28" customWidth="1"/>
    <col min="5640" max="5640" width="9.140625" style="28"/>
    <col min="5641" max="5641" width="18.28515625" style="28" customWidth="1"/>
    <col min="5642" max="5642" width="23.7109375" style="28" customWidth="1"/>
    <col min="5643" max="5643" width="13.85546875" style="28" customWidth="1"/>
    <col min="5644" max="5644" width="9.140625" style="28"/>
    <col min="5645" max="5645" width="16" style="28" customWidth="1"/>
    <col min="5646" max="5888" width="9.140625" style="28"/>
    <col min="5889" max="5889" width="38.85546875" style="28" customWidth="1"/>
    <col min="5890" max="5890" width="18.42578125" style="28" customWidth="1"/>
    <col min="5891" max="5891" width="12.28515625" style="28" customWidth="1"/>
    <col min="5892" max="5892" width="22.28515625" style="28" customWidth="1"/>
    <col min="5893" max="5893" width="14.7109375" style="28" customWidth="1"/>
    <col min="5894" max="5894" width="47.42578125" style="28" customWidth="1"/>
    <col min="5895" max="5895" width="17.5703125" style="28" customWidth="1"/>
    <col min="5896" max="5896" width="9.140625" style="28"/>
    <col min="5897" max="5897" width="18.28515625" style="28" customWidth="1"/>
    <col min="5898" max="5898" width="23.7109375" style="28" customWidth="1"/>
    <col min="5899" max="5899" width="13.85546875" style="28" customWidth="1"/>
    <col min="5900" max="5900" width="9.140625" style="28"/>
    <col min="5901" max="5901" width="16" style="28" customWidth="1"/>
    <col min="5902" max="6144" width="9.140625" style="28"/>
    <col min="6145" max="6145" width="38.85546875" style="28" customWidth="1"/>
    <col min="6146" max="6146" width="18.42578125" style="28" customWidth="1"/>
    <col min="6147" max="6147" width="12.28515625" style="28" customWidth="1"/>
    <col min="6148" max="6148" width="22.28515625" style="28" customWidth="1"/>
    <col min="6149" max="6149" width="14.7109375" style="28" customWidth="1"/>
    <col min="6150" max="6150" width="47.42578125" style="28" customWidth="1"/>
    <col min="6151" max="6151" width="17.5703125" style="28" customWidth="1"/>
    <col min="6152" max="6152" width="9.140625" style="28"/>
    <col min="6153" max="6153" width="18.28515625" style="28" customWidth="1"/>
    <col min="6154" max="6154" width="23.7109375" style="28" customWidth="1"/>
    <col min="6155" max="6155" width="13.85546875" style="28" customWidth="1"/>
    <col min="6156" max="6156" width="9.140625" style="28"/>
    <col min="6157" max="6157" width="16" style="28" customWidth="1"/>
    <col min="6158" max="6400" width="9.140625" style="28"/>
    <col min="6401" max="6401" width="38.85546875" style="28" customWidth="1"/>
    <col min="6402" max="6402" width="18.42578125" style="28" customWidth="1"/>
    <col min="6403" max="6403" width="12.28515625" style="28" customWidth="1"/>
    <col min="6404" max="6404" width="22.28515625" style="28" customWidth="1"/>
    <col min="6405" max="6405" width="14.7109375" style="28" customWidth="1"/>
    <col min="6406" max="6406" width="47.42578125" style="28" customWidth="1"/>
    <col min="6407" max="6407" width="17.5703125" style="28" customWidth="1"/>
    <col min="6408" max="6408" width="9.140625" style="28"/>
    <col min="6409" max="6409" width="18.28515625" style="28" customWidth="1"/>
    <col min="6410" max="6410" width="23.7109375" style="28" customWidth="1"/>
    <col min="6411" max="6411" width="13.85546875" style="28" customWidth="1"/>
    <col min="6412" max="6412" width="9.140625" style="28"/>
    <col min="6413" max="6413" width="16" style="28" customWidth="1"/>
    <col min="6414" max="6656" width="9.140625" style="28"/>
    <col min="6657" max="6657" width="38.85546875" style="28" customWidth="1"/>
    <col min="6658" max="6658" width="18.42578125" style="28" customWidth="1"/>
    <col min="6659" max="6659" width="12.28515625" style="28" customWidth="1"/>
    <col min="6660" max="6660" width="22.28515625" style="28" customWidth="1"/>
    <col min="6661" max="6661" width="14.7109375" style="28" customWidth="1"/>
    <col min="6662" max="6662" width="47.42578125" style="28" customWidth="1"/>
    <col min="6663" max="6663" width="17.5703125" style="28" customWidth="1"/>
    <col min="6664" max="6664" width="9.140625" style="28"/>
    <col min="6665" max="6665" width="18.28515625" style="28" customWidth="1"/>
    <col min="6666" max="6666" width="23.7109375" style="28" customWidth="1"/>
    <col min="6667" max="6667" width="13.85546875" style="28" customWidth="1"/>
    <col min="6668" max="6668" width="9.140625" style="28"/>
    <col min="6669" max="6669" width="16" style="28" customWidth="1"/>
    <col min="6670" max="6912" width="9.140625" style="28"/>
    <col min="6913" max="6913" width="38.85546875" style="28" customWidth="1"/>
    <col min="6914" max="6914" width="18.42578125" style="28" customWidth="1"/>
    <col min="6915" max="6915" width="12.28515625" style="28" customWidth="1"/>
    <col min="6916" max="6916" width="22.28515625" style="28" customWidth="1"/>
    <col min="6917" max="6917" width="14.7109375" style="28" customWidth="1"/>
    <col min="6918" max="6918" width="47.42578125" style="28" customWidth="1"/>
    <col min="6919" max="6919" width="17.5703125" style="28" customWidth="1"/>
    <col min="6920" max="6920" width="9.140625" style="28"/>
    <col min="6921" max="6921" width="18.28515625" style="28" customWidth="1"/>
    <col min="6922" max="6922" width="23.7109375" style="28" customWidth="1"/>
    <col min="6923" max="6923" width="13.85546875" style="28" customWidth="1"/>
    <col min="6924" max="6924" width="9.140625" style="28"/>
    <col min="6925" max="6925" width="16" style="28" customWidth="1"/>
    <col min="6926" max="7168" width="9.140625" style="28"/>
    <col min="7169" max="7169" width="38.85546875" style="28" customWidth="1"/>
    <col min="7170" max="7170" width="18.42578125" style="28" customWidth="1"/>
    <col min="7171" max="7171" width="12.28515625" style="28" customWidth="1"/>
    <col min="7172" max="7172" width="22.28515625" style="28" customWidth="1"/>
    <col min="7173" max="7173" width="14.7109375" style="28" customWidth="1"/>
    <col min="7174" max="7174" width="47.42578125" style="28" customWidth="1"/>
    <col min="7175" max="7175" width="17.5703125" style="28" customWidth="1"/>
    <col min="7176" max="7176" width="9.140625" style="28"/>
    <col min="7177" max="7177" width="18.28515625" style="28" customWidth="1"/>
    <col min="7178" max="7178" width="23.7109375" style="28" customWidth="1"/>
    <col min="7179" max="7179" width="13.85546875" style="28" customWidth="1"/>
    <col min="7180" max="7180" width="9.140625" style="28"/>
    <col min="7181" max="7181" width="16" style="28" customWidth="1"/>
    <col min="7182" max="7424" width="9.140625" style="28"/>
    <col min="7425" max="7425" width="38.85546875" style="28" customWidth="1"/>
    <col min="7426" max="7426" width="18.42578125" style="28" customWidth="1"/>
    <col min="7427" max="7427" width="12.28515625" style="28" customWidth="1"/>
    <col min="7428" max="7428" width="22.28515625" style="28" customWidth="1"/>
    <col min="7429" max="7429" width="14.7109375" style="28" customWidth="1"/>
    <col min="7430" max="7430" width="47.42578125" style="28" customWidth="1"/>
    <col min="7431" max="7431" width="17.5703125" style="28" customWidth="1"/>
    <col min="7432" max="7432" width="9.140625" style="28"/>
    <col min="7433" max="7433" width="18.28515625" style="28" customWidth="1"/>
    <col min="7434" max="7434" width="23.7109375" style="28" customWidth="1"/>
    <col min="7435" max="7435" width="13.85546875" style="28" customWidth="1"/>
    <col min="7436" max="7436" width="9.140625" style="28"/>
    <col min="7437" max="7437" width="16" style="28" customWidth="1"/>
    <col min="7438" max="7680" width="9.140625" style="28"/>
    <col min="7681" max="7681" width="38.85546875" style="28" customWidth="1"/>
    <col min="7682" max="7682" width="18.42578125" style="28" customWidth="1"/>
    <col min="7683" max="7683" width="12.28515625" style="28" customWidth="1"/>
    <col min="7684" max="7684" width="22.28515625" style="28" customWidth="1"/>
    <col min="7685" max="7685" width="14.7109375" style="28" customWidth="1"/>
    <col min="7686" max="7686" width="47.42578125" style="28" customWidth="1"/>
    <col min="7687" max="7687" width="17.5703125" style="28" customWidth="1"/>
    <col min="7688" max="7688" width="9.140625" style="28"/>
    <col min="7689" max="7689" width="18.28515625" style="28" customWidth="1"/>
    <col min="7690" max="7690" width="23.7109375" style="28" customWidth="1"/>
    <col min="7691" max="7691" width="13.85546875" style="28" customWidth="1"/>
    <col min="7692" max="7692" width="9.140625" style="28"/>
    <col min="7693" max="7693" width="16" style="28" customWidth="1"/>
    <col min="7694" max="7936" width="9.140625" style="28"/>
    <col min="7937" max="7937" width="38.85546875" style="28" customWidth="1"/>
    <col min="7938" max="7938" width="18.42578125" style="28" customWidth="1"/>
    <col min="7939" max="7939" width="12.28515625" style="28" customWidth="1"/>
    <col min="7940" max="7940" width="22.28515625" style="28" customWidth="1"/>
    <col min="7941" max="7941" width="14.7109375" style="28" customWidth="1"/>
    <col min="7942" max="7942" width="47.42578125" style="28" customWidth="1"/>
    <col min="7943" max="7943" width="17.5703125" style="28" customWidth="1"/>
    <col min="7944" max="7944" width="9.140625" style="28"/>
    <col min="7945" max="7945" width="18.28515625" style="28" customWidth="1"/>
    <col min="7946" max="7946" width="23.7109375" style="28" customWidth="1"/>
    <col min="7947" max="7947" width="13.85546875" style="28" customWidth="1"/>
    <col min="7948" max="7948" width="9.140625" style="28"/>
    <col min="7949" max="7949" width="16" style="28" customWidth="1"/>
    <col min="7950" max="8192" width="9.140625" style="28"/>
    <col min="8193" max="8193" width="38.85546875" style="28" customWidth="1"/>
    <col min="8194" max="8194" width="18.42578125" style="28" customWidth="1"/>
    <col min="8195" max="8195" width="12.28515625" style="28" customWidth="1"/>
    <col min="8196" max="8196" width="22.28515625" style="28" customWidth="1"/>
    <col min="8197" max="8197" width="14.7109375" style="28" customWidth="1"/>
    <col min="8198" max="8198" width="47.42578125" style="28" customWidth="1"/>
    <col min="8199" max="8199" width="17.5703125" style="28" customWidth="1"/>
    <col min="8200" max="8200" width="9.140625" style="28"/>
    <col min="8201" max="8201" width="18.28515625" style="28" customWidth="1"/>
    <col min="8202" max="8202" width="23.7109375" style="28" customWidth="1"/>
    <col min="8203" max="8203" width="13.85546875" style="28" customWidth="1"/>
    <col min="8204" max="8204" width="9.140625" style="28"/>
    <col min="8205" max="8205" width="16" style="28" customWidth="1"/>
    <col min="8206" max="8448" width="9.140625" style="28"/>
    <col min="8449" max="8449" width="38.85546875" style="28" customWidth="1"/>
    <col min="8450" max="8450" width="18.42578125" style="28" customWidth="1"/>
    <col min="8451" max="8451" width="12.28515625" style="28" customWidth="1"/>
    <col min="8452" max="8452" width="22.28515625" style="28" customWidth="1"/>
    <col min="8453" max="8453" width="14.7109375" style="28" customWidth="1"/>
    <col min="8454" max="8454" width="47.42578125" style="28" customWidth="1"/>
    <col min="8455" max="8455" width="17.5703125" style="28" customWidth="1"/>
    <col min="8456" max="8456" width="9.140625" style="28"/>
    <col min="8457" max="8457" width="18.28515625" style="28" customWidth="1"/>
    <col min="8458" max="8458" width="23.7109375" style="28" customWidth="1"/>
    <col min="8459" max="8459" width="13.85546875" style="28" customWidth="1"/>
    <col min="8460" max="8460" width="9.140625" style="28"/>
    <col min="8461" max="8461" width="16" style="28" customWidth="1"/>
    <col min="8462" max="8704" width="9.140625" style="28"/>
    <col min="8705" max="8705" width="38.85546875" style="28" customWidth="1"/>
    <col min="8706" max="8706" width="18.42578125" style="28" customWidth="1"/>
    <col min="8707" max="8707" width="12.28515625" style="28" customWidth="1"/>
    <col min="8708" max="8708" width="22.28515625" style="28" customWidth="1"/>
    <col min="8709" max="8709" width="14.7109375" style="28" customWidth="1"/>
    <col min="8710" max="8710" width="47.42578125" style="28" customWidth="1"/>
    <col min="8711" max="8711" width="17.5703125" style="28" customWidth="1"/>
    <col min="8712" max="8712" width="9.140625" style="28"/>
    <col min="8713" max="8713" width="18.28515625" style="28" customWidth="1"/>
    <col min="8714" max="8714" width="23.7109375" style="28" customWidth="1"/>
    <col min="8715" max="8715" width="13.85546875" style="28" customWidth="1"/>
    <col min="8716" max="8716" width="9.140625" style="28"/>
    <col min="8717" max="8717" width="16" style="28" customWidth="1"/>
    <col min="8718" max="8960" width="9.140625" style="28"/>
    <col min="8961" max="8961" width="38.85546875" style="28" customWidth="1"/>
    <col min="8962" max="8962" width="18.42578125" style="28" customWidth="1"/>
    <col min="8963" max="8963" width="12.28515625" style="28" customWidth="1"/>
    <col min="8964" max="8964" width="22.28515625" style="28" customWidth="1"/>
    <col min="8965" max="8965" width="14.7109375" style="28" customWidth="1"/>
    <col min="8966" max="8966" width="47.42578125" style="28" customWidth="1"/>
    <col min="8967" max="8967" width="17.5703125" style="28" customWidth="1"/>
    <col min="8968" max="8968" width="9.140625" style="28"/>
    <col min="8969" max="8969" width="18.28515625" style="28" customWidth="1"/>
    <col min="8970" max="8970" width="23.7109375" style="28" customWidth="1"/>
    <col min="8971" max="8971" width="13.85546875" style="28" customWidth="1"/>
    <col min="8972" max="8972" width="9.140625" style="28"/>
    <col min="8973" max="8973" width="16" style="28" customWidth="1"/>
    <col min="8974" max="9216" width="9.140625" style="28"/>
    <col min="9217" max="9217" width="38.85546875" style="28" customWidth="1"/>
    <col min="9218" max="9218" width="18.42578125" style="28" customWidth="1"/>
    <col min="9219" max="9219" width="12.28515625" style="28" customWidth="1"/>
    <col min="9220" max="9220" width="22.28515625" style="28" customWidth="1"/>
    <col min="9221" max="9221" width="14.7109375" style="28" customWidth="1"/>
    <col min="9222" max="9222" width="47.42578125" style="28" customWidth="1"/>
    <col min="9223" max="9223" width="17.5703125" style="28" customWidth="1"/>
    <col min="9224" max="9224" width="9.140625" style="28"/>
    <col min="9225" max="9225" width="18.28515625" style="28" customWidth="1"/>
    <col min="9226" max="9226" width="23.7109375" style="28" customWidth="1"/>
    <col min="9227" max="9227" width="13.85546875" style="28" customWidth="1"/>
    <col min="9228" max="9228" width="9.140625" style="28"/>
    <col min="9229" max="9229" width="16" style="28" customWidth="1"/>
    <col min="9230" max="9472" width="9.140625" style="28"/>
    <col min="9473" max="9473" width="38.85546875" style="28" customWidth="1"/>
    <col min="9474" max="9474" width="18.42578125" style="28" customWidth="1"/>
    <col min="9475" max="9475" width="12.28515625" style="28" customWidth="1"/>
    <col min="9476" max="9476" width="22.28515625" style="28" customWidth="1"/>
    <col min="9477" max="9477" width="14.7109375" style="28" customWidth="1"/>
    <col min="9478" max="9478" width="47.42578125" style="28" customWidth="1"/>
    <col min="9479" max="9479" width="17.5703125" style="28" customWidth="1"/>
    <col min="9480" max="9480" width="9.140625" style="28"/>
    <col min="9481" max="9481" width="18.28515625" style="28" customWidth="1"/>
    <col min="9482" max="9482" width="23.7109375" style="28" customWidth="1"/>
    <col min="9483" max="9483" width="13.85546875" style="28" customWidth="1"/>
    <col min="9484" max="9484" width="9.140625" style="28"/>
    <col min="9485" max="9485" width="16" style="28" customWidth="1"/>
    <col min="9486" max="9728" width="9.140625" style="28"/>
    <col min="9729" max="9729" width="38.85546875" style="28" customWidth="1"/>
    <col min="9730" max="9730" width="18.42578125" style="28" customWidth="1"/>
    <col min="9731" max="9731" width="12.28515625" style="28" customWidth="1"/>
    <col min="9732" max="9732" width="22.28515625" style="28" customWidth="1"/>
    <col min="9733" max="9733" width="14.7109375" style="28" customWidth="1"/>
    <col min="9734" max="9734" width="47.42578125" style="28" customWidth="1"/>
    <col min="9735" max="9735" width="17.5703125" style="28" customWidth="1"/>
    <col min="9736" max="9736" width="9.140625" style="28"/>
    <col min="9737" max="9737" width="18.28515625" style="28" customWidth="1"/>
    <col min="9738" max="9738" width="23.7109375" style="28" customWidth="1"/>
    <col min="9739" max="9739" width="13.85546875" style="28" customWidth="1"/>
    <col min="9740" max="9740" width="9.140625" style="28"/>
    <col min="9741" max="9741" width="16" style="28" customWidth="1"/>
    <col min="9742" max="9984" width="9.140625" style="28"/>
    <col min="9985" max="9985" width="38.85546875" style="28" customWidth="1"/>
    <col min="9986" max="9986" width="18.42578125" style="28" customWidth="1"/>
    <col min="9987" max="9987" width="12.28515625" style="28" customWidth="1"/>
    <col min="9988" max="9988" width="22.28515625" style="28" customWidth="1"/>
    <col min="9989" max="9989" width="14.7109375" style="28" customWidth="1"/>
    <col min="9990" max="9990" width="47.42578125" style="28" customWidth="1"/>
    <col min="9991" max="9991" width="17.5703125" style="28" customWidth="1"/>
    <col min="9992" max="9992" width="9.140625" style="28"/>
    <col min="9993" max="9993" width="18.28515625" style="28" customWidth="1"/>
    <col min="9994" max="9994" width="23.7109375" style="28" customWidth="1"/>
    <col min="9995" max="9995" width="13.85546875" style="28" customWidth="1"/>
    <col min="9996" max="9996" width="9.140625" style="28"/>
    <col min="9997" max="9997" width="16" style="28" customWidth="1"/>
    <col min="9998" max="10240" width="9.140625" style="28"/>
    <col min="10241" max="10241" width="38.85546875" style="28" customWidth="1"/>
    <col min="10242" max="10242" width="18.42578125" style="28" customWidth="1"/>
    <col min="10243" max="10243" width="12.28515625" style="28" customWidth="1"/>
    <col min="10244" max="10244" width="22.28515625" style="28" customWidth="1"/>
    <col min="10245" max="10245" width="14.7109375" style="28" customWidth="1"/>
    <col min="10246" max="10246" width="47.42578125" style="28" customWidth="1"/>
    <col min="10247" max="10247" width="17.5703125" style="28" customWidth="1"/>
    <col min="10248" max="10248" width="9.140625" style="28"/>
    <col min="10249" max="10249" width="18.28515625" style="28" customWidth="1"/>
    <col min="10250" max="10250" width="23.7109375" style="28" customWidth="1"/>
    <col min="10251" max="10251" width="13.85546875" style="28" customWidth="1"/>
    <col min="10252" max="10252" width="9.140625" style="28"/>
    <col min="10253" max="10253" width="16" style="28" customWidth="1"/>
    <col min="10254" max="10496" width="9.140625" style="28"/>
    <col min="10497" max="10497" width="38.85546875" style="28" customWidth="1"/>
    <col min="10498" max="10498" width="18.42578125" style="28" customWidth="1"/>
    <col min="10499" max="10499" width="12.28515625" style="28" customWidth="1"/>
    <col min="10500" max="10500" width="22.28515625" style="28" customWidth="1"/>
    <col min="10501" max="10501" width="14.7109375" style="28" customWidth="1"/>
    <col min="10502" max="10502" width="47.42578125" style="28" customWidth="1"/>
    <col min="10503" max="10503" width="17.5703125" style="28" customWidth="1"/>
    <col min="10504" max="10504" width="9.140625" style="28"/>
    <col min="10505" max="10505" width="18.28515625" style="28" customWidth="1"/>
    <col min="10506" max="10506" width="23.7109375" style="28" customWidth="1"/>
    <col min="10507" max="10507" width="13.85546875" style="28" customWidth="1"/>
    <col min="10508" max="10508" width="9.140625" style="28"/>
    <col min="10509" max="10509" width="16" style="28" customWidth="1"/>
    <col min="10510" max="10752" width="9.140625" style="28"/>
    <col min="10753" max="10753" width="38.85546875" style="28" customWidth="1"/>
    <col min="10754" max="10754" width="18.42578125" style="28" customWidth="1"/>
    <col min="10755" max="10755" width="12.28515625" style="28" customWidth="1"/>
    <col min="10756" max="10756" width="22.28515625" style="28" customWidth="1"/>
    <col min="10757" max="10757" width="14.7109375" style="28" customWidth="1"/>
    <col min="10758" max="10758" width="47.42578125" style="28" customWidth="1"/>
    <col min="10759" max="10759" width="17.5703125" style="28" customWidth="1"/>
    <col min="10760" max="10760" width="9.140625" style="28"/>
    <col min="10761" max="10761" width="18.28515625" style="28" customWidth="1"/>
    <col min="10762" max="10762" width="23.7109375" style="28" customWidth="1"/>
    <col min="10763" max="10763" width="13.85546875" style="28" customWidth="1"/>
    <col min="10764" max="10764" width="9.140625" style="28"/>
    <col min="10765" max="10765" width="16" style="28" customWidth="1"/>
    <col min="10766" max="11008" width="9.140625" style="28"/>
    <col min="11009" max="11009" width="38.85546875" style="28" customWidth="1"/>
    <col min="11010" max="11010" width="18.42578125" style="28" customWidth="1"/>
    <col min="11011" max="11011" width="12.28515625" style="28" customWidth="1"/>
    <col min="11012" max="11012" width="22.28515625" style="28" customWidth="1"/>
    <col min="11013" max="11013" width="14.7109375" style="28" customWidth="1"/>
    <col min="11014" max="11014" width="47.42578125" style="28" customWidth="1"/>
    <col min="11015" max="11015" width="17.5703125" style="28" customWidth="1"/>
    <col min="11016" max="11016" width="9.140625" style="28"/>
    <col min="11017" max="11017" width="18.28515625" style="28" customWidth="1"/>
    <col min="11018" max="11018" width="23.7109375" style="28" customWidth="1"/>
    <col min="11019" max="11019" width="13.85546875" style="28" customWidth="1"/>
    <col min="11020" max="11020" width="9.140625" style="28"/>
    <col min="11021" max="11021" width="16" style="28" customWidth="1"/>
    <col min="11022" max="11264" width="9.140625" style="28"/>
    <col min="11265" max="11265" width="38.85546875" style="28" customWidth="1"/>
    <col min="11266" max="11266" width="18.42578125" style="28" customWidth="1"/>
    <col min="11267" max="11267" width="12.28515625" style="28" customWidth="1"/>
    <col min="11268" max="11268" width="22.28515625" style="28" customWidth="1"/>
    <col min="11269" max="11269" width="14.7109375" style="28" customWidth="1"/>
    <col min="11270" max="11270" width="47.42578125" style="28" customWidth="1"/>
    <col min="11271" max="11271" width="17.5703125" style="28" customWidth="1"/>
    <col min="11272" max="11272" width="9.140625" style="28"/>
    <col min="11273" max="11273" width="18.28515625" style="28" customWidth="1"/>
    <col min="11274" max="11274" width="23.7109375" style="28" customWidth="1"/>
    <col min="11275" max="11275" width="13.85546875" style="28" customWidth="1"/>
    <col min="11276" max="11276" width="9.140625" style="28"/>
    <col min="11277" max="11277" width="16" style="28" customWidth="1"/>
    <col min="11278" max="11520" width="9.140625" style="28"/>
    <col min="11521" max="11521" width="38.85546875" style="28" customWidth="1"/>
    <col min="11522" max="11522" width="18.42578125" style="28" customWidth="1"/>
    <col min="11523" max="11523" width="12.28515625" style="28" customWidth="1"/>
    <col min="11524" max="11524" width="22.28515625" style="28" customWidth="1"/>
    <col min="11525" max="11525" width="14.7109375" style="28" customWidth="1"/>
    <col min="11526" max="11526" width="47.42578125" style="28" customWidth="1"/>
    <col min="11527" max="11527" width="17.5703125" style="28" customWidth="1"/>
    <col min="11528" max="11528" width="9.140625" style="28"/>
    <col min="11529" max="11529" width="18.28515625" style="28" customWidth="1"/>
    <col min="11530" max="11530" width="23.7109375" style="28" customWidth="1"/>
    <col min="11531" max="11531" width="13.85546875" style="28" customWidth="1"/>
    <col min="11532" max="11532" width="9.140625" style="28"/>
    <col min="11533" max="11533" width="16" style="28" customWidth="1"/>
    <col min="11534" max="11776" width="9.140625" style="28"/>
    <col min="11777" max="11777" width="38.85546875" style="28" customWidth="1"/>
    <col min="11778" max="11778" width="18.42578125" style="28" customWidth="1"/>
    <col min="11779" max="11779" width="12.28515625" style="28" customWidth="1"/>
    <col min="11780" max="11780" width="22.28515625" style="28" customWidth="1"/>
    <col min="11781" max="11781" width="14.7109375" style="28" customWidth="1"/>
    <col min="11782" max="11782" width="47.42578125" style="28" customWidth="1"/>
    <col min="11783" max="11783" width="17.5703125" style="28" customWidth="1"/>
    <col min="11784" max="11784" width="9.140625" style="28"/>
    <col min="11785" max="11785" width="18.28515625" style="28" customWidth="1"/>
    <col min="11786" max="11786" width="23.7109375" style="28" customWidth="1"/>
    <col min="11787" max="11787" width="13.85546875" style="28" customWidth="1"/>
    <col min="11788" max="11788" width="9.140625" style="28"/>
    <col min="11789" max="11789" width="16" style="28" customWidth="1"/>
    <col min="11790" max="12032" width="9.140625" style="28"/>
    <col min="12033" max="12033" width="38.85546875" style="28" customWidth="1"/>
    <col min="12034" max="12034" width="18.42578125" style="28" customWidth="1"/>
    <col min="12035" max="12035" width="12.28515625" style="28" customWidth="1"/>
    <col min="12036" max="12036" width="22.28515625" style="28" customWidth="1"/>
    <col min="12037" max="12037" width="14.7109375" style="28" customWidth="1"/>
    <col min="12038" max="12038" width="47.42578125" style="28" customWidth="1"/>
    <col min="12039" max="12039" width="17.5703125" style="28" customWidth="1"/>
    <col min="12040" max="12040" width="9.140625" style="28"/>
    <col min="12041" max="12041" width="18.28515625" style="28" customWidth="1"/>
    <col min="12042" max="12042" width="23.7109375" style="28" customWidth="1"/>
    <col min="12043" max="12043" width="13.85546875" style="28" customWidth="1"/>
    <col min="12044" max="12044" width="9.140625" style="28"/>
    <col min="12045" max="12045" width="16" style="28" customWidth="1"/>
    <col min="12046" max="12288" width="9.140625" style="28"/>
    <col min="12289" max="12289" width="38.85546875" style="28" customWidth="1"/>
    <col min="12290" max="12290" width="18.42578125" style="28" customWidth="1"/>
    <col min="12291" max="12291" width="12.28515625" style="28" customWidth="1"/>
    <col min="12292" max="12292" width="22.28515625" style="28" customWidth="1"/>
    <col min="12293" max="12293" width="14.7109375" style="28" customWidth="1"/>
    <col min="12294" max="12294" width="47.42578125" style="28" customWidth="1"/>
    <col min="12295" max="12295" width="17.5703125" style="28" customWidth="1"/>
    <col min="12296" max="12296" width="9.140625" style="28"/>
    <col min="12297" max="12297" width="18.28515625" style="28" customWidth="1"/>
    <col min="12298" max="12298" width="23.7109375" style="28" customWidth="1"/>
    <col min="12299" max="12299" width="13.85546875" style="28" customWidth="1"/>
    <col min="12300" max="12300" width="9.140625" style="28"/>
    <col min="12301" max="12301" width="16" style="28" customWidth="1"/>
    <col min="12302" max="12544" width="9.140625" style="28"/>
    <col min="12545" max="12545" width="38.85546875" style="28" customWidth="1"/>
    <col min="12546" max="12546" width="18.42578125" style="28" customWidth="1"/>
    <col min="12547" max="12547" width="12.28515625" style="28" customWidth="1"/>
    <col min="12548" max="12548" width="22.28515625" style="28" customWidth="1"/>
    <col min="12549" max="12549" width="14.7109375" style="28" customWidth="1"/>
    <col min="12550" max="12550" width="47.42578125" style="28" customWidth="1"/>
    <col min="12551" max="12551" width="17.5703125" style="28" customWidth="1"/>
    <col min="12552" max="12552" width="9.140625" style="28"/>
    <col min="12553" max="12553" width="18.28515625" style="28" customWidth="1"/>
    <col min="12554" max="12554" width="23.7109375" style="28" customWidth="1"/>
    <col min="12555" max="12555" width="13.85546875" style="28" customWidth="1"/>
    <col min="12556" max="12556" width="9.140625" style="28"/>
    <col min="12557" max="12557" width="16" style="28" customWidth="1"/>
    <col min="12558" max="12800" width="9.140625" style="28"/>
    <col min="12801" max="12801" width="38.85546875" style="28" customWidth="1"/>
    <col min="12802" max="12802" width="18.42578125" style="28" customWidth="1"/>
    <col min="12803" max="12803" width="12.28515625" style="28" customWidth="1"/>
    <col min="12804" max="12804" width="22.28515625" style="28" customWidth="1"/>
    <col min="12805" max="12805" width="14.7109375" style="28" customWidth="1"/>
    <col min="12806" max="12806" width="47.42578125" style="28" customWidth="1"/>
    <col min="12807" max="12807" width="17.5703125" style="28" customWidth="1"/>
    <col min="12808" max="12808" width="9.140625" style="28"/>
    <col min="12809" max="12809" width="18.28515625" style="28" customWidth="1"/>
    <col min="12810" max="12810" width="23.7109375" style="28" customWidth="1"/>
    <col min="12811" max="12811" width="13.85546875" style="28" customWidth="1"/>
    <col min="12812" max="12812" width="9.140625" style="28"/>
    <col min="12813" max="12813" width="16" style="28" customWidth="1"/>
    <col min="12814" max="13056" width="9.140625" style="28"/>
    <col min="13057" max="13057" width="38.85546875" style="28" customWidth="1"/>
    <col min="13058" max="13058" width="18.42578125" style="28" customWidth="1"/>
    <col min="13059" max="13059" width="12.28515625" style="28" customWidth="1"/>
    <col min="13060" max="13060" width="22.28515625" style="28" customWidth="1"/>
    <col min="13061" max="13061" width="14.7109375" style="28" customWidth="1"/>
    <col min="13062" max="13062" width="47.42578125" style="28" customWidth="1"/>
    <col min="13063" max="13063" width="17.5703125" style="28" customWidth="1"/>
    <col min="13064" max="13064" width="9.140625" style="28"/>
    <col min="13065" max="13065" width="18.28515625" style="28" customWidth="1"/>
    <col min="13066" max="13066" width="23.7109375" style="28" customWidth="1"/>
    <col min="13067" max="13067" width="13.85546875" style="28" customWidth="1"/>
    <col min="13068" max="13068" width="9.140625" style="28"/>
    <col min="13069" max="13069" width="16" style="28" customWidth="1"/>
    <col min="13070" max="13312" width="9.140625" style="28"/>
    <col min="13313" max="13313" width="38.85546875" style="28" customWidth="1"/>
    <col min="13314" max="13314" width="18.42578125" style="28" customWidth="1"/>
    <col min="13315" max="13315" width="12.28515625" style="28" customWidth="1"/>
    <col min="13316" max="13316" width="22.28515625" style="28" customWidth="1"/>
    <col min="13317" max="13317" width="14.7109375" style="28" customWidth="1"/>
    <col min="13318" max="13318" width="47.42578125" style="28" customWidth="1"/>
    <col min="13319" max="13319" width="17.5703125" style="28" customWidth="1"/>
    <col min="13320" max="13320" width="9.140625" style="28"/>
    <col min="13321" max="13321" width="18.28515625" style="28" customWidth="1"/>
    <col min="13322" max="13322" width="23.7109375" style="28" customWidth="1"/>
    <col min="13323" max="13323" width="13.85546875" style="28" customWidth="1"/>
    <col min="13324" max="13324" width="9.140625" style="28"/>
    <col min="13325" max="13325" width="16" style="28" customWidth="1"/>
    <col min="13326" max="13568" width="9.140625" style="28"/>
    <col min="13569" max="13569" width="38.85546875" style="28" customWidth="1"/>
    <col min="13570" max="13570" width="18.42578125" style="28" customWidth="1"/>
    <col min="13571" max="13571" width="12.28515625" style="28" customWidth="1"/>
    <col min="13572" max="13572" width="22.28515625" style="28" customWidth="1"/>
    <col min="13573" max="13573" width="14.7109375" style="28" customWidth="1"/>
    <col min="13574" max="13574" width="47.42578125" style="28" customWidth="1"/>
    <col min="13575" max="13575" width="17.5703125" style="28" customWidth="1"/>
    <col min="13576" max="13576" width="9.140625" style="28"/>
    <col min="13577" max="13577" width="18.28515625" style="28" customWidth="1"/>
    <col min="13578" max="13578" width="23.7109375" style="28" customWidth="1"/>
    <col min="13579" max="13579" width="13.85546875" style="28" customWidth="1"/>
    <col min="13580" max="13580" width="9.140625" style="28"/>
    <col min="13581" max="13581" width="16" style="28" customWidth="1"/>
    <col min="13582" max="13824" width="9.140625" style="28"/>
    <col min="13825" max="13825" width="38.85546875" style="28" customWidth="1"/>
    <col min="13826" max="13826" width="18.42578125" style="28" customWidth="1"/>
    <col min="13827" max="13827" width="12.28515625" style="28" customWidth="1"/>
    <col min="13828" max="13828" width="22.28515625" style="28" customWidth="1"/>
    <col min="13829" max="13829" width="14.7109375" style="28" customWidth="1"/>
    <col min="13830" max="13830" width="47.42578125" style="28" customWidth="1"/>
    <col min="13831" max="13831" width="17.5703125" style="28" customWidth="1"/>
    <col min="13832" max="13832" width="9.140625" style="28"/>
    <col min="13833" max="13833" width="18.28515625" style="28" customWidth="1"/>
    <col min="13834" max="13834" width="23.7109375" style="28" customWidth="1"/>
    <col min="13835" max="13835" width="13.85546875" style="28" customWidth="1"/>
    <col min="13836" max="13836" width="9.140625" style="28"/>
    <col min="13837" max="13837" width="16" style="28" customWidth="1"/>
    <col min="13838" max="14080" width="9.140625" style="28"/>
    <col min="14081" max="14081" width="38.85546875" style="28" customWidth="1"/>
    <col min="14082" max="14082" width="18.42578125" style="28" customWidth="1"/>
    <col min="14083" max="14083" width="12.28515625" style="28" customWidth="1"/>
    <col min="14084" max="14084" width="22.28515625" style="28" customWidth="1"/>
    <col min="14085" max="14085" width="14.7109375" style="28" customWidth="1"/>
    <col min="14086" max="14086" width="47.42578125" style="28" customWidth="1"/>
    <col min="14087" max="14087" width="17.5703125" style="28" customWidth="1"/>
    <col min="14088" max="14088" width="9.140625" style="28"/>
    <col min="14089" max="14089" width="18.28515625" style="28" customWidth="1"/>
    <col min="14090" max="14090" width="23.7109375" style="28" customWidth="1"/>
    <col min="14091" max="14091" width="13.85546875" style="28" customWidth="1"/>
    <col min="14092" max="14092" width="9.140625" style="28"/>
    <col min="14093" max="14093" width="16" style="28" customWidth="1"/>
    <col min="14094" max="14336" width="9.140625" style="28"/>
    <col min="14337" max="14337" width="38.85546875" style="28" customWidth="1"/>
    <col min="14338" max="14338" width="18.42578125" style="28" customWidth="1"/>
    <col min="14339" max="14339" width="12.28515625" style="28" customWidth="1"/>
    <col min="14340" max="14340" width="22.28515625" style="28" customWidth="1"/>
    <col min="14341" max="14341" width="14.7109375" style="28" customWidth="1"/>
    <col min="14342" max="14342" width="47.42578125" style="28" customWidth="1"/>
    <col min="14343" max="14343" width="17.5703125" style="28" customWidth="1"/>
    <col min="14344" max="14344" width="9.140625" style="28"/>
    <col min="14345" max="14345" width="18.28515625" style="28" customWidth="1"/>
    <col min="14346" max="14346" width="23.7109375" style="28" customWidth="1"/>
    <col min="14347" max="14347" width="13.85546875" style="28" customWidth="1"/>
    <col min="14348" max="14348" width="9.140625" style="28"/>
    <col min="14349" max="14349" width="16" style="28" customWidth="1"/>
    <col min="14350" max="14592" width="9.140625" style="28"/>
    <col min="14593" max="14593" width="38.85546875" style="28" customWidth="1"/>
    <col min="14594" max="14594" width="18.42578125" style="28" customWidth="1"/>
    <col min="14595" max="14595" width="12.28515625" style="28" customWidth="1"/>
    <col min="14596" max="14596" width="22.28515625" style="28" customWidth="1"/>
    <col min="14597" max="14597" width="14.7109375" style="28" customWidth="1"/>
    <col min="14598" max="14598" width="47.42578125" style="28" customWidth="1"/>
    <col min="14599" max="14599" width="17.5703125" style="28" customWidth="1"/>
    <col min="14600" max="14600" width="9.140625" style="28"/>
    <col min="14601" max="14601" width="18.28515625" style="28" customWidth="1"/>
    <col min="14602" max="14602" width="23.7109375" style="28" customWidth="1"/>
    <col min="14603" max="14603" width="13.85546875" style="28" customWidth="1"/>
    <col min="14604" max="14604" width="9.140625" style="28"/>
    <col min="14605" max="14605" width="16" style="28" customWidth="1"/>
    <col min="14606" max="14848" width="9.140625" style="28"/>
    <col min="14849" max="14849" width="38.85546875" style="28" customWidth="1"/>
    <col min="14850" max="14850" width="18.42578125" style="28" customWidth="1"/>
    <col min="14851" max="14851" width="12.28515625" style="28" customWidth="1"/>
    <col min="14852" max="14852" width="22.28515625" style="28" customWidth="1"/>
    <col min="14853" max="14853" width="14.7109375" style="28" customWidth="1"/>
    <col min="14854" max="14854" width="47.42578125" style="28" customWidth="1"/>
    <col min="14855" max="14855" width="17.5703125" style="28" customWidth="1"/>
    <col min="14856" max="14856" width="9.140625" style="28"/>
    <col min="14857" max="14857" width="18.28515625" style="28" customWidth="1"/>
    <col min="14858" max="14858" width="23.7109375" style="28" customWidth="1"/>
    <col min="14859" max="14859" width="13.85546875" style="28" customWidth="1"/>
    <col min="14860" max="14860" width="9.140625" style="28"/>
    <col min="14861" max="14861" width="16" style="28" customWidth="1"/>
    <col min="14862" max="15104" width="9.140625" style="28"/>
    <col min="15105" max="15105" width="38.85546875" style="28" customWidth="1"/>
    <col min="15106" max="15106" width="18.42578125" style="28" customWidth="1"/>
    <col min="15107" max="15107" width="12.28515625" style="28" customWidth="1"/>
    <col min="15108" max="15108" width="22.28515625" style="28" customWidth="1"/>
    <col min="15109" max="15109" width="14.7109375" style="28" customWidth="1"/>
    <col min="15110" max="15110" width="47.42578125" style="28" customWidth="1"/>
    <col min="15111" max="15111" width="17.5703125" style="28" customWidth="1"/>
    <col min="15112" max="15112" width="9.140625" style="28"/>
    <col min="15113" max="15113" width="18.28515625" style="28" customWidth="1"/>
    <col min="15114" max="15114" width="23.7109375" style="28" customWidth="1"/>
    <col min="15115" max="15115" width="13.85546875" style="28" customWidth="1"/>
    <col min="15116" max="15116" width="9.140625" style="28"/>
    <col min="15117" max="15117" width="16" style="28" customWidth="1"/>
    <col min="15118" max="15360" width="9.140625" style="28"/>
    <col min="15361" max="15361" width="38.85546875" style="28" customWidth="1"/>
    <col min="15362" max="15362" width="18.42578125" style="28" customWidth="1"/>
    <col min="15363" max="15363" width="12.28515625" style="28" customWidth="1"/>
    <col min="15364" max="15364" width="22.28515625" style="28" customWidth="1"/>
    <col min="15365" max="15365" width="14.7109375" style="28" customWidth="1"/>
    <col min="15366" max="15366" width="47.42578125" style="28" customWidth="1"/>
    <col min="15367" max="15367" width="17.5703125" style="28" customWidth="1"/>
    <col min="15368" max="15368" width="9.140625" style="28"/>
    <col min="15369" max="15369" width="18.28515625" style="28" customWidth="1"/>
    <col min="15370" max="15370" width="23.7109375" style="28" customWidth="1"/>
    <col min="15371" max="15371" width="13.85546875" style="28" customWidth="1"/>
    <col min="15372" max="15372" width="9.140625" style="28"/>
    <col min="15373" max="15373" width="16" style="28" customWidth="1"/>
    <col min="15374" max="15616" width="9.140625" style="28"/>
    <col min="15617" max="15617" width="38.85546875" style="28" customWidth="1"/>
    <col min="15618" max="15618" width="18.42578125" style="28" customWidth="1"/>
    <col min="15619" max="15619" width="12.28515625" style="28" customWidth="1"/>
    <col min="15620" max="15620" width="22.28515625" style="28" customWidth="1"/>
    <col min="15621" max="15621" width="14.7109375" style="28" customWidth="1"/>
    <col min="15622" max="15622" width="47.42578125" style="28" customWidth="1"/>
    <col min="15623" max="15623" width="17.5703125" style="28" customWidth="1"/>
    <col min="15624" max="15624" width="9.140625" style="28"/>
    <col min="15625" max="15625" width="18.28515625" style="28" customWidth="1"/>
    <col min="15626" max="15626" width="23.7109375" style="28" customWidth="1"/>
    <col min="15627" max="15627" width="13.85546875" style="28" customWidth="1"/>
    <col min="15628" max="15628" width="9.140625" style="28"/>
    <col min="15629" max="15629" width="16" style="28" customWidth="1"/>
    <col min="15630" max="15872" width="9.140625" style="28"/>
    <col min="15873" max="15873" width="38.85546875" style="28" customWidth="1"/>
    <col min="15874" max="15874" width="18.42578125" style="28" customWidth="1"/>
    <col min="15875" max="15875" width="12.28515625" style="28" customWidth="1"/>
    <col min="15876" max="15876" width="22.28515625" style="28" customWidth="1"/>
    <col min="15877" max="15877" width="14.7109375" style="28" customWidth="1"/>
    <col min="15878" max="15878" width="47.42578125" style="28" customWidth="1"/>
    <col min="15879" max="15879" width="17.5703125" style="28" customWidth="1"/>
    <col min="15880" max="15880" width="9.140625" style="28"/>
    <col min="15881" max="15881" width="18.28515625" style="28" customWidth="1"/>
    <col min="15882" max="15882" width="23.7109375" style="28" customWidth="1"/>
    <col min="15883" max="15883" width="13.85546875" style="28" customWidth="1"/>
    <col min="15884" max="15884" width="9.140625" style="28"/>
    <col min="15885" max="15885" width="16" style="28" customWidth="1"/>
    <col min="15886" max="16128" width="9.140625" style="28"/>
    <col min="16129" max="16129" width="38.85546875" style="28" customWidth="1"/>
    <col min="16130" max="16130" width="18.42578125" style="28" customWidth="1"/>
    <col min="16131" max="16131" width="12.28515625" style="28" customWidth="1"/>
    <col min="16132" max="16132" width="22.28515625" style="28" customWidth="1"/>
    <col min="16133" max="16133" width="14.7109375" style="28" customWidth="1"/>
    <col min="16134" max="16134" width="47.42578125" style="28" customWidth="1"/>
    <col min="16135" max="16135" width="17.5703125" style="28" customWidth="1"/>
    <col min="16136" max="16136" width="9.140625" style="28"/>
    <col min="16137" max="16137" width="18.28515625" style="28" customWidth="1"/>
    <col min="16138" max="16138" width="23.7109375" style="28" customWidth="1"/>
    <col min="16139" max="16139" width="13.85546875" style="28" customWidth="1"/>
    <col min="16140" max="16140" width="9.140625" style="28"/>
    <col min="16141" max="16141" width="16" style="28" customWidth="1"/>
    <col min="16142" max="16384" width="9.140625" style="28"/>
  </cols>
  <sheetData>
    <row r="1" spans="1:13">
      <c r="A1" s="26" t="s">
        <v>2342</v>
      </c>
      <c r="B1" s="26"/>
      <c r="C1" s="26"/>
      <c r="D1" s="27"/>
      <c r="E1" s="27"/>
      <c r="J1" s="29"/>
    </row>
    <row r="2" spans="1:13" ht="13.5" thickBot="1">
      <c r="A2" s="27" t="s">
        <v>2343</v>
      </c>
      <c r="E2" s="27"/>
      <c r="J2" s="29" t="s">
        <v>2344</v>
      </c>
    </row>
    <row r="3" spans="1:13" ht="13.5" thickBot="1">
      <c r="A3" s="30" t="s">
        <v>2345</v>
      </c>
      <c r="B3" s="30" t="s">
        <v>2346</v>
      </c>
      <c r="C3" s="30" t="s">
        <v>2347</v>
      </c>
      <c r="D3" s="31" t="str">
        <f t="shared" ref="D3:D12" ca="1" si="0">INDIRECT("'"&amp;B3&amp;"'!"&amp;C3)</f>
        <v>M</v>
      </c>
      <c r="E3" s="27"/>
      <c r="F3" s="32">
        <f ca="1">IF(OR(D3="f", D3="m"),  0, "Enter M or F for Gender")</f>
        <v>0</v>
      </c>
      <c r="G3" s="32" t="str">
        <f ca="1">IF(F3&lt;&gt;0, F3, " " )</f>
        <v xml:space="preserve"> </v>
      </c>
      <c r="J3" s="29"/>
    </row>
    <row r="4" spans="1:13" ht="13.5" thickBot="1">
      <c r="A4" s="30" t="s">
        <v>2137</v>
      </c>
      <c r="B4" s="30" t="s">
        <v>2348</v>
      </c>
      <c r="C4" s="30" t="s">
        <v>2349</v>
      </c>
      <c r="D4" s="31">
        <f t="shared" ca="1" si="0"/>
        <v>35</v>
      </c>
      <c r="E4" s="27"/>
      <c r="F4" s="32" t="str">
        <f ca="1">IF(AND(D4&gt;=40,D4&lt;=79),0,"This calculator only provides 10-year risk estimates for individuals 40 to 79 years of age")</f>
        <v>This calculator only provides 10-year risk estimates for individuals 40 to 79 years of age</v>
      </c>
      <c r="G4" s="32" t="str">
        <f ca="1">IF(F4&lt;&gt;0, F4, " " )</f>
        <v>This calculator only provides 10-year risk estimates for individuals 40 to 79 years of age</v>
      </c>
      <c r="J4" s="29"/>
    </row>
    <row r="5" spans="1:13" ht="13.5" thickBot="1">
      <c r="A5" s="33" t="s">
        <v>2203</v>
      </c>
      <c r="B5" s="30" t="s">
        <v>2348</v>
      </c>
      <c r="C5" s="30" t="s">
        <v>2350</v>
      </c>
      <c r="D5" s="31" t="str">
        <f t="shared" ca="1" si="0"/>
        <v>WH</v>
      </c>
      <c r="E5" s="27"/>
      <c r="F5" s="32">
        <f ca="1">IF(OR(D5="AA", D5="WH"),0,"Enter WH or AA for race")</f>
        <v>0</v>
      </c>
      <c r="G5" s="32" t="str">
        <f ca="1">IF(F5&lt;&gt;0, F5, " " )</f>
        <v xml:space="preserve"> </v>
      </c>
      <c r="J5" s="29"/>
    </row>
    <row r="6" spans="1:13" ht="13.5" thickBot="1">
      <c r="A6" s="30" t="s">
        <v>1841</v>
      </c>
      <c r="B6" s="30" t="s">
        <v>2348</v>
      </c>
      <c r="C6" s="30" t="s">
        <v>2351</v>
      </c>
      <c r="D6" s="31">
        <f t="shared" ca="1" si="0"/>
        <v>0</v>
      </c>
      <c r="E6" s="27"/>
      <c r="F6" s="32" t="str">
        <f ca="1">IF(AND(D6&gt;=130, D6&lt;=320),0,"Enter 130-320 for TC value")</f>
        <v>Enter 130-320 for TC value</v>
      </c>
      <c r="G6" s="32" t="str">
        <f t="shared" ref="G6:G12" ca="1" si="1">IF(F6&lt;&gt;0, F6, " " )</f>
        <v>Enter 130-320 for TC value</v>
      </c>
      <c r="J6" s="29">
        <v>170</v>
      </c>
    </row>
    <row r="7" spans="1:13" ht="13.5" thickBot="1">
      <c r="A7" s="30" t="s">
        <v>2352</v>
      </c>
      <c r="B7" s="30" t="s">
        <v>2348</v>
      </c>
      <c r="C7" s="30" t="s">
        <v>2353</v>
      </c>
      <c r="D7" s="31">
        <f t="shared" ca="1" si="0"/>
        <v>0</v>
      </c>
      <c r="E7" s="27"/>
      <c r="F7" s="32" t="str">
        <f ca="1">IF(AND(D7&gt;=20, D7&lt;=100),0,"Enter 20-100 for HDL value")</f>
        <v>Enter 20-100 for HDL value</v>
      </c>
      <c r="G7" s="32" t="str">
        <f t="shared" ca="1" si="1"/>
        <v>Enter 20-100 for HDL value</v>
      </c>
      <c r="J7" s="29">
        <v>50</v>
      </c>
    </row>
    <row r="8" spans="1:13" ht="14.25" customHeight="1" thickBot="1">
      <c r="A8" s="30" t="s">
        <v>1868</v>
      </c>
      <c r="B8" s="30" t="s">
        <v>2348</v>
      </c>
      <c r="C8" s="30" t="s">
        <v>2354</v>
      </c>
      <c r="D8" s="31">
        <f t="shared" ca="1" si="0"/>
        <v>85</v>
      </c>
      <c r="E8" s="27"/>
      <c r="F8" s="32" t="str">
        <f ca="1">IF(AND(D8&gt;=90, D8&lt;=200),0,"Enter 90-200 for SBP value")</f>
        <v>Enter 90-200 for SBP value</v>
      </c>
      <c r="G8" s="32" t="str">
        <f t="shared" ca="1" si="1"/>
        <v>Enter 90-200 for SBP value</v>
      </c>
      <c r="J8" s="29">
        <v>110</v>
      </c>
    </row>
    <row r="9" spans="1:13" ht="15.75" customHeight="1" thickBot="1">
      <c r="A9" s="30" t="s">
        <v>2355</v>
      </c>
      <c r="B9" s="30" t="s">
        <v>2348</v>
      </c>
      <c r="C9" s="30" t="s">
        <v>2356</v>
      </c>
      <c r="D9" s="31" t="str">
        <f t="shared" ca="1" si="0"/>
        <v>N</v>
      </c>
      <c r="E9" s="34" t="str">
        <f ca="1">IF($D$10="Y", "1", "0")</f>
        <v>0</v>
      </c>
      <c r="F9" s="32">
        <f ca="1">IF(OR(D9="y", D9="n"),0, "Enter Y or N for treatment for hypertension")</f>
        <v>0</v>
      </c>
      <c r="G9" s="32" t="str">
        <f t="shared" ca="1" si="1"/>
        <v xml:space="preserve"> </v>
      </c>
      <c r="J9" s="29">
        <v>0</v>
      </c>
    </row>
    <row r="10" spans="1:13" ht="15.75" customHeight="1" thickBot="1">
      <c r="A10" s="30" t="s">
        <v>2357</v>
      </c>
      <c r="B10" s="30" t="s">
        <v>2348</v>
      </c>
      <c r="C10" s="30" t="s">
        <v>2356</v>
      </c>
      <c r="D10" s="31" t="str">
        <f t="shared" ca="1" si="0"/>
        <v>N</v>
      </c>
      <c r="E10" s="34" t="str">
        <f ca="1">IF($D$10="Y", "0", "1")</f>
        <v>1</v>
      </c>
      <c r="F10" s="32">
        <f ca="1">IF(OR(D10="y", D10="n"),0, "Enter Y or N for treatment for hypertension")</f>
        <v>0</v>
      </c>
      <c r="G10" s="32" t="str">
        <f t="shared" ca="1" si="1"/>
        <v xml:space="preserve"> </v>
      </c>
      <c r="J10" s="29">
        <v>1</v>
      </c>
    </row>
    <row r="11" spans="1:13" ht="13.5" thickBot="1">
      <c r="A11" s="30" t="s">
        <v>42</v>
      </c>
      <c r="B11" s="30" t="s">
        <v>2348</v>
      </c>
      <c r="C11" s="30" t="s">
        <v>2358</v>
      </c>
      <c r="D11" s="31" t="str">
        <f t="shared" ca="1" si="0"/>
        <v>N</v>
      </c>
      <c r="E11" s="34" t="str">
        <f ca="1">IF($D$11="Y", "1", "0")</f>
        <v>0</v>
      </c>
      <c r="F11" s="32">
        <f ca="1">IF(OR(D11="y", D11="n"),0, "Enter Y or N for Diabetes")</f>
        <v>0</v>
      </c>
      <c r="G11" s="32" t="str">
        <f t="shared" ca="1" si="1"/>
        <v xml:space="preserve"> </v>
      </c>
      <c r="J11" s="29">
        <v>0</v>
      </c>
    </row>
    <row r="12" spans="1:13" ht="13.5" thickBot="1">
      <c r="A12" s="35" t="s">
        <v>2359</v>
      </c>
      <c r="B12" s="30" t="s">
        <v>2348</v>
      </c>
      <c r="C12" s="30" t="s">
        <v>2360</v>
      </c>
      <c r="D12" s="31" t="str">
        <f t="shared" ca="1" si="0"/>
        <v>N</v>
      </c>
      <c r="E12" s="34" t="str">
        <f ca="1">IF($D$12="Y", "1", "0")</f>
        <v>0</v>
      </c>
      <c r="F12" s="32">
        <f ca="1">IF(OR(D12="y", D12="n"),0, "Enter Y or N for Smoker")</f>
        <v>0</v>
      </c>
      <c r="G12" s="32" t="str">
        <f t="shared" ca="1" si="1"/>
        <v xml:space="preserve"> </v>
      </c>
      <c r="I12" s="28" t="s">
        <v>2361</v>
      </c>
      <c r="J12" s="29">
        <v>0</v>
      </c>
    </row>
    <row r="13" spans="1:13">
      <c r="G13" s="36" t="str">
        <f ca="1">G4&amp;" "&amp;G3&amp;" "&amp;G5&amp;" "&amp;G6&amp;" "&amp;G7&amp;" "&amp;G8&amp;" "&amp;G9&amp;" "&amp;G11&amp;" "&amp;G12</f>
        <v xml:space="preserve">This calculator only provides 10-year risk estimates for individuals 40 to 79 years of age     Enter 130-320 for TC value Enter 20-100 for HDL value Enter 90-200 for SBP value      </v>
      </c>
      <c r="I13" s="36" t="str">
        <f ca="1">G3&amp;" "&amp;G4&amp;" "&amp;G5</f>
        <v xml:space="preserve">  This calculator only provides 10-year risk estimates for individuals 40 to 79 years of age  </v>
      </c>
      <c r="J13" s="37"/>
    </row>
    <row r="14" spans="1:13">
      <c r="G14" s="32" t="str">
        <f ca="1">TRIM(G13)</f>
        <v>This calculator only provides 10-year risk estimates for individuals 40 to 79 years of age Enter 130-320 for TC value Enter 20-100 for HDL value Enter 90-200 for SBP value</v>
      </c>
      <c r="I14" s="32" t="str">
        <f ca="1">TRIM(I13)</f>
        <v>This calculator only provides 10-year risk estimates for individuals 40 to 79 years of age</v>
      </c>
    </row>
    <row r="15" spans="1:13">
      <c r="A15" s="38"/>
      <c r="B15" s="38" t="s">
        <v>2362</v>
      </c>
      <c r="C15" s="29"/>
      <c r="D15" s="29"/>
      <c r="G15" s="28" t="s">
        <v>2363</v>
      </c>
      <c r="K15" s="29"/>
      <c r="L15" s="29"/>
      <c r="M15" s="29"/>
    </row>
    <row r="16" spans="1:13">
      <c r="A16" s="28" t="s">
        <v>2364</v>
      </c>
      <c r="B16" s="34">
        <f ca="1">LN(D$4)</f>
        <v>3.5553480614894135</v>
      </c>
      <c r="C16" s="29"/>
      <c r="D16" s="29"/>
      <c r="E16" s="29"/>
      <c r="F16" s="29"/>
      <c r="G16" s="34">
        <f ca="1">LN(D4)</f>
        <v>3.5553480614894135</v>
      </c>
      <c r="H16" s="39"/>
      <c r="I16" s="40"/>
      <c r="K16" s="29"/>
      <c r="L16" s="29"/>
      <c r="M16" s="29"/>
    </row>
    <row r="17" spans="1:15">
      <c r="A17" s="28" t="s">
        <v>2365</v>
      </c>
      <c r="B17" s="34" t="e">
        <f ca="1">LN(D$6)</f>
        <v>#NUM!</v>
      </c>
      <c r="C17" s="29"/>
      <c r="D17" s="29"/>
      <c r="E17" s="29"/>
      <c r="F17" s="29"/>
      <c r="G17" s="34">
        <f>LN(J6)</f>
        <v>5.1357984370502621</v>
      </c>
      <c r="H17" s="40"/>
      <c r="I17" s="40"/>
      <c r="K17" s="29"/>
      <c r="L17" s="29"/>
      <c r="M17" s="29"/>
    </row>
    <row r="18" spans="1:15">
      <c r="A18" s="28" t="s">
        <v>2366</v>
      </c>
      <c r="B18" s="34" t="e">
        <f ca="1">LN(D$7)</f>
        <v>#NUM!</v>
      </c>
      <c r="C18" s="29"/>
      <c r="D18" s="29"/>
      <c r="E18" s="29"/>
      <c r="F18" s="29"/>
      <c r="G18" s="34">
        <f>LN(J7)</f>
        <v>3.912023005428146</v>
      </c>
      <c r="H18" s="40"/>
      <c r="I18" s="40"/>
      <c r="K18" s="29"/>
      <c r="L18" s="29"/>
      <c r="M18" s="29"/>
    </row>
    <row r="19" spans="1:15">
      <c r="A19" s="28" t="s">
        <v>2367</v>
      </c>
      <c r="B19" s="34">
        <f ca="1">LN(D$8)*E$9</f>
        <v>0</v>
      </c>
      <c r="C19" s="29"/>
      <c r="D19" s="29"/>
      <c r="E19" s="29"/>
      <c r="F19" s="29"/>
      <c r="G19" s="34">
        <v>0</v>
      </c>
      <c r="H19" s="40"/>
      <c r="I19" s="40"/>
      <c r="K19" s="29"/>
      <c r="L19" s="29"/>
      <c r="M19" s="29"/>
    </row>
    <row r="20" spans="1:15">
      <c r="A20" s="28" t="s">
        <v>2368</v>
      </c>
      <c r="B20" s="34">
        <f ca="1">LN(D$8)*E$10</f>
        <v>4.4426512564903167</v>
      </c>
      <c r="C20" s="29"/>
      <c r="D20" s="29"/>
      <c r="E20" s="29"/>
      <c r="F20" s="29"/>
      <c r="G20" s="34">
        <f>LN(J8)*J10</f>
        <v>4.7004803657924166</v>
      </c>
      <c r="H20" s="40"/>
      <c r="I20" s="40"/>
      <c r="K20" s="29"/>
      <c r="L20" s="29"/>
      <c r="M20" s="29"/>
    </row>
    <row r="21" spans="1:15">
      <c r="A21" s="28" t="s">
        <v>2369</v>
      </c>
      <c r="B21" s="34">
        <f ca="1">B$16*B$16</f>
        <v>12.640499838336531</v>
      </c>
      <c r="C21" s="29"/>
      <c r="D21" s="29"/>
      <c r="E21" s="29"/>
      <c r="F21" s="29"/>
      <c r="G21" s="34">
        <f ca="1">G$16*G$16</f>
        <v>12.640499838336531</v>
      </c>
      <c r="H21" s="40"/>
      <c r="I21" s="40"/>
      <c r="K21" s="29"/>
      <c r="L21" s="29"/>
      <c r="M21" s="29"/>
    </row>
    <row r="22" spans="1:15">
      <c r="A22" s="28" t="s">
        <v>2370</v>
      </c>
      <c r="B22" s="34" t="e">
        <f ca="1">B$16*B$17</f>
        <v>#NUM!</v>
      </c>
      <c r="C22" s="29"/>
      <c r="D22" s="29"/>
      <c r="E22" s="29"/>
      <c r="F22" s="29"/>
      <c r="G22" s="34">
        <f ca="1">G$16*G$17</f>
        <v>18.259551017367009</v>
      </c>
      <c r="H22" s="40"/>
      <c r="I22" s="40"/>
      <c r="K22" s="29"/>
      <c r="L22" s="29"/>
      <c r="M22" s="29"/>
    </row>
    <row r="23" spans="1:15">
      <c r="A23" s="28" t="s">
        <v>2371</v>
      </c>
      <c r="B23" s="34" t="e">
        <f ca="1">B$16*B$18</f>
        <v>#NUM!</v>
      </c>
      <c r="C23" s="29"/>
      <c r="D23" s="29"/>
      <c r="E23" s="29"/>
      <c r="F23" s="29"/>
      <c r="G23" s="34">
        <f ca="1">G$16*G$18</f>
        <v>13.908603408850949</v>
      </c>
      <c r="H23" s="40"/>
      <c r="I23" s="40"/>
      <c r="K23" s="29"/>
      <c r="L23" s="29"/>
      <c r="M23" s="29"/>
    </row>
    <row r="24" spans="1:15">
      <c r="A24" s="28" t="s">
        <v>2372</v>
      </c>
      <c r="B24" s="34">
        <f ca="1">B$16*B$19</f>
        <v>0</v>
      </c>
      <c r="C24" s="29"/>
      <c r="D24" s="29"/>
      <c r="E24" s="29"/>
      <c r="F24" s="29"/>
      <c r="G24" s="34">
        <f ca="1">G$16*G$19</f>
        <v>0</v>
      </c>
      <c r="H24" s="40"/>
      <c r="I24" s="40"/>
      <c r="K24" s="29"/>
      <c r="L24" s="29"/>
      <c r="M24" s="29"/>
    </row>
    <row r="25" spans="1:15">
      <c r="A25" s="28" t="s">
        <v>2373</v>
      </c>
      <c r="B25" s="34">
        <f ca="1">B$16*B$20</f>
        <v>15.795171532636354</v>
      </c>
      <c r="C25" s="29"/>
      <c r="D25" s="29"/>
      <c r="E25" s="29"/>
      <c r="F25" s="29"/>
      <c r="G25" s="34">
        <f ca="1">G$16*G$20</f>
        <v>16.711843756589118</v>
      </c>
      <c r="H25" s="40"/>
      <c r="I25" s="40"/>
      <c r="K25" s="29"/>
      <c r="L25" s="29"/>
      <c r="M25" s="29"/>
    </row>
    <row r="26" spans="1:15">
      <c r="A26" s="28" t="s">
        <v>2374</v>
      </c>
      <c r="B26" s="34">
        <f ca="1">B$16*E$12</f>
        <v>0</v>
      </c>
      <c r="C26" s="29"/>
      <c r="D26" s="29"/>
      <c r="G26" s="34">
        <f ca="1">G$16*J$12</f>
        <v>0</v>
      </c>
      <c r="K26" s="29"/>
      <c r="L26" s="29"/>
      <c r="M26" s="29"/>
    </row>
    <row r="27" spans="1:15">
      <c r="A27" s="28" t="s">
        <v>2375</v>
      </c>
      <c r="B27" s="34">
        <f ca="1">B$16*E$11</f>
        <v>0</v>
      </c>
      <c r="G27" s="34">
        <f ca="1">G$16*J$11</f>
        <v>0</v>
      </c>
      <c r="K27" s="29"/>
      <c r="L27" s="29"/>
      <c r="M27" s="29"/>
    </row>
    <row r="28" spans="1:15">
      <c r="B28" s="29" t="s">
        <v>2376</v>
      </c>
      <c r="C28" s="29" t="s">
        <v>2377</v>
      </c>
      <c r="D28" s="29" t="s">
        <v>2378</v>
      </c>
      <c r="E28" s="29" t="s">
        <v>2379</v>
      </c>
      <c r="F28" s="29" t="s">
        <v>2380</v>
      </c>
      <c r="G28" s="29" t="s">
        <v>2381</v>
      </c>
    </row>
    <row r="29" spans="1:15">
      <c r="A29" s="38" t="s">
        <v>2382</v>
      </c>
      <c r="B29" s="29">
        <v>0.95333999999999997</v>
      </c>
      <c r="C29" s="29">
        <v>86.608099999999993</v>
      </c>
      <c r="D29" s="29" t="e">
        <f ca="1">17.1141*B16+0.9396*B17+(-18.9196*B18)+4.4748*B23+29.2907*B19+(-6.4321*B24)+27.8197*B20+(-6.0873*B25)+0.6908*E12+0.8738*E11</f>
        <v>#NUM!</v>
      </c>
      <c r="E29" s="29" t="e">
        <f ca="1">1-(B29^(EXP(D29-C29)))</f>
        <v>#NUM!</v>
      </c>
      <c r="F29" s="28">
        <f ca="1">IF( D$3="F", "1","0")*IF( $D$5="AA", "1","0")</f>
        <v>0</v>
      </c>
      <c r="G29" s="28" t="e">
        <f ca="1">SUM(E29*F29+E30*F30+E31*F31+E32*F32)</f>
        <v>#NUM!</v>
      </c>
      <c r="H29" s="28" t="str">
        <f ca="1">IF(G14&lt;&gt;"", G14, G30)</f>
        <v>This calculator only provides 10-year risk estimates for individuals 40 to 79 years of age Enter 130-320 for TC value Enter 20-100 for HDL value Enter 90-200 for SBP value</v>
      </c>
      <c r="I29" s="37"/>
      <c r="J29" s="37"/>
      <c r="K29" s="37"/>
      <c r="L29" s="41"/>
      <c r="M29" s="37"/>
      <c r="N29" s="37"/>
      <c r="O29" s="37"/>
    </row>
    <row r="30" spans="1:15">
      <c r="A30" s="38" t="s">
        <v>2383</v>
      </c>
      <c r="B30" s="29">
        <v>0.96652000000000005</v>
      </c>
      <c r="C30" s="29">
        <v>-29.181699999999999</v>
      </c>
      <c r="D30" s="29" t="e">
        <f ca="1">(-29.799*B16)+4.884*B21+13.54*B17+(-3.114*B22)+(-13.578*B18)+3.149*B23+2.019*B19+1.957*B20+7.574*E12+(-1.665*B26)+0.661*E11</f>
        <v>#NUM!</v>
      </c>
      <c r="E30" s="29" t="e">
        <f ca="1">1-(B30^(EXP(D30-C30)))</f>
        <v>#NUM!</v>
      </c>
      <c r="F30" s="28">
        <f ca="1">IF( D$3="F", "1","0")*IF( $D$5="wh", "1","0")</f>
        <v>0</v>
      </c>
      <c r="G30" s="40" t="e">
        <f ca="1">G29*100</f>
        <v>#NUM!</v>
      </c>
      <c r="H30" s="40"/>
      <c r="I30" s="40"/>
      <c r="J30" s="40"/>
    </row>
    <row r="31" spans="1:15">
      <c r="A31" s="38" t="s">
        <v>2384</v>
      </c>
      <c r="B31" s="29">
        <v>0.89536000000000004</v>
      </c>
      <c r="C31" s="29">
        <v>19.5425</v>
      </c>
      <c r="D31" s="29" t="e">
        <f ca="1">2.469*B16+0.302*B17+(-0.307*B18)+1.916*B19+1.809*B20+0.549*E12+0.645*E11</f>
        <v>#NUM!</v>
      </c>
      <c r="E31" s="29" t="e">
        <f ca="1">1-(B31^(EXP(D31-C31)))</f>
        <v>#NUM!</v>
      </c>
      <c r="F31" s="28">
        <f ca="1">IF( D$3="M", "1","0")*IF( $D$5="AA", "1","0")</f>
        <v>0</v>
      </c>
      <c r="G31" s="29"/>
      <c r="H31" s="29"/>
      <c r="I31" s="29"/>
      <c r="J31" s="40"/>
    </row>
    <row r="32" spans="1:15">
      <c r="A32" s="38" t="s">
        <v>2385</v>
      </c>
      <c r="B32" s="29">
        <v>0.91435999999999995</v>
      </c>
      <c r="C32" s="29">
        <v>61.181600000000003</v>
      </c>
      <c r="D32" s="29" t="e">
        <f ca="1">12.344*B16+11.853*B17+(-2.664*B22)+(-7.99*B18)+1.769*B23+1.797*B19+1.764*B20+7.837*E12+(-1.795*B26)+0.658*E11</f>
        <v>#NUM!</v>
      </c>
      <c r="E32" s="29" t="e">
        <f ca="1">1-(B32^(EXP(D32-C32)))</f>
        <v>#NUM!</v>
      </c>
      <c r="F32" s="28">
        <f ca="1">IF( D$3="M", "1","0")*IF( $D$5="wh", "1","0")</f>
        <v>1</v>
      </c>
      <c r="G32" s="29"/>
      <c r="H32" s="29"/>
      <c r="I32" s="29"/>
      <c r="J32" s="40"/>
    </row>
    <row r="33" spans="1:9">
      <c r="B33" s="29"/>
      <c r="C33" s="29"/>
      <c r="D33" s="29"/>
      <c r="E33" s="29"/>
      <c r="F33" s="29"/>
      <c r="G33" s="29"/>
      <c r="H33" s="29"/>
      <c r="I33" s="29"/>
    </row>
    <row r="34" spans="1:9">
      <c r="A34" s="38" t="s">
        <v>2386</v>
      </c>
      <c r="B34" s="29"/>
      <c r="C34" s="29"/>
      <c r="D34" s="29"/>
      <c r="E34" s="29"/>
      <c r="F34" s="29"/>
      <c r="G34" s="29"/>
      <c r="H34" s="29"/>
      <c r="I34" s="29"/>
    </row>
    <row r="35" spans="1:9">
      <c r="A35" s="38" t="s">
        <v>2382</v>
      </c>
      <c r="B35" s="29">
        <v>0.95333999999999997</v>
      </c>
      <c r="C35" s="29">
        <v>86.608099999999993</v>
      </c>
      <c r="D35" s="29">
        <f ca="1">17.1141*G16+0.9396*G17+(-18.9196*G18)+4.4748*G23+29.2907*G19+(-6.4321*G24)+27.8197*G20+(-6.0873*G25)+0.6908*J12+0.8738*J11</f>
        <v>82.932433683766646</v>
      </c>
      <c r="E35" s="29">
        <f ca="1">1-(B35^(EXP(D35-C35)))</f>
        <v>1.2097484816629978E-3</v>
      </c>
      <c r="F35" s="28">
        <f ca="1">IF( D$3="F", "1","0")*IF( $D$5="AA", "1","0")</f>
        <v>0</v>
      </c>
      <c r="G35" s="28">
        <f ca="1">SUM(E35*F35+E36*F36+E37*F37+E38*F38)</f>
        <v>2.9119432069469875E-3</v>
      </c>
      <c r="H35" s="28" t="str">
        <f ca="1">IF(I14&lt;&gt;"",I14, G36)</f>
        <v>This calculator only provides 10-year risk estimates for individuals 40 to 79 years of age</v>
      </c>
    </row>
    <row r="36" spans="1:9">
      <c r="A36" s="38" t="s">
        <v>2383</v>
      </c>
      <c r="B36" s="29">
        <v>0.96652000000000005</v>
      </c>
      <c r="C36" s="29">
        <v>-29.181699999999999</v>
      </c>
      <c r="D36" s="29">
        <f ca="1">(-29.799*G16)+4.884*G21+13.54*G17+(-3.114*G22)+(-13.578*G18)+3.149*G23+2.019*G19+1.957*G20+7.574*J12+(-1.665*G26)+0.661*J11</f>
        <v>-31.65156286168369</v>
      </c>
      <c r="E36" s="29">
        <f ca="1">1-(B36^(EXP(D36-C36)))</f>
        <v>2.8766420594484865E-3</v>
      </c>
      <c r="F36" s="28">
        <f ca="1">IF( D$3="F", "1","0")*IF( $D$5="wh", "1","0")</f>
        <v>0</v>
      </c>
      <c r="G36" s="40">
        <f ca="1">G35*100</f>
        <v>0.29119432069469875</v>
      </c>
      <c r="H36" s="40"/>
    </row>
    <row r="37" spans="1:9">
      <c r="A37" s="38" t="s">
        <v>2384</v>
      </c>
      <c r="B37" s="29">
        <v>0.89536000000000004</v>
      </c>
      <c r="C37" s="29">
        <v>19.5425</v>
      </c>
      <c r="D37" s="29">
        <f ca="1">2.469*G16+0.302*G17+(-0.307*G18)+1.916*G19+1.809*G20+0.549*J12+0.645*J11</f>
        <v>17.63134341085858</v>
      </c>
      <c r="E37" s="29">
        <f ca="1">1-(B37^(EXP(D37-C37)))</f>
        <v>1.6215409594945718E-2</v>
      </c>
      <c r="F37" s="28">
        <f ca="1">IF( D$3="M", "1","0")*IF( $D$5="AA", "1","0")</f>
        <v>0</v>
      </c>
      <c r="G37" s="29"/>
      <c r="H37" s="29"/>
    </row>
    <row r="38" spans="1:9">
      <c r="A38" s="38" t="s">
        <v>2385</v>
      </c>
      <c r="B38" s="29">
        <v>0.91435999999999995</v>
      </c>
      <c r="C38" s="29">
        <v>61.181600000000003</v>
      </c>
      <c r="D38" s="29">
        <f ca="1">12.344*G16+11.853*G17+(-2.664*G22)+(-7.99*G18)+1.769*G23+1.797*G19+1.764*G20+7.837*J12+(-1.795*G26)+0.658*J11</f>
        <v>57.757294417260631</v>
      </c>
      <c r="E38" s="29">
        <f ca="1">1-(B38^(EXP(D38-C38)))</f>
        <v>2.9119432069469875E-3</v>
      </c>
      <c r="F38" s="28">
        <f ca="1">IF( D$3="M", "1","0")*IF( $D$5="wh", "1","0")</f>
        <v>1</v>
      </c>
      <c r="G38" s="29"/>
      <c r="H38" s="29"/>
    </row>
  </sheetData>
  <sheetProtection selectLockedCells="1" selectUnlockedCells="1"/>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40"/>
  <sheetViews>
    <sheetView topLeftCell="A6" zoomScale="140" zoomScaleNormal="140" workbookViewId="0">
      <selection activeCell="E22" sqref="E22"/>
    </sheetView>
  </sheetViews>
  <sheetFormatPr defaultRowHeight="12.75"/>
  <cols>
    <col min="1" max="1" width="17.5703125" style="28" customWidth="1"/>
    <col min="2" max="2" width="15.42578125" style="28" customWidth="1"/>
    <col min="3" max="3" width="15.5703125" style="28" customWidth="1"/>
    <col min="4" max="4" width="13.85546875" style="28" customWidth="1"/>
    <col min="5" max="5" width="31.28515625" style="28" customWidth="1"/>
    <col min="6" max="6" width="27.5703125" style="28" customWidth="1"/>
    <col min="7" max="7" width="21.28515625" style="28" customWidth="1"/>
    <col min="8" max="8" width="9.140625" style="28"/>
    <col min="9" max="9" width="13.5703125" style="28" customWidth="1"/>
    <col min="10" max="10" width="12.140625" style="28" customWidth="1"/>
    <col min="11" max="11" width="11.5703125" style="28" customWidth="1"/>
    <col min="12" max="16384" width="9.140625" style="28"/>
  </cols>
  <sheetData>
    <row r="1" spans="1:8" ht="24" customHeight="1" thickBot="1">
      <c r="A1" s="27" t="s">
        <v>2343</v>
      </c>
      <c r="B1" s="26" t="s">
        <v>2406</v>
      </c>
      <c r="C1" s="37"/>
      <c r="D1" s="37"/>
      <c r="E1" s="37"/>
      <c r="F1" s="37"/>
    </row>
    <row r="2" spans="1:8" ht="13.5" thickBot="1">
      <c r="A2" s="30" t="s">
        <v>2345</v>
      </c>
      <c r="B2" s="30" t="s">
        <v>2348</v>
      </c>
      <c r="C2" s="30" t="s">
        <v>2347</v>
      </c>
      <c r="D2" s="31" t="str">
        <f t="shared" ref="D2:D9" ca="1" si="0">INDIRECT("'"&amp;B2&amp;"'!"&amp;C2)</f>
        <v>M</v>
      </c>
      <c r="E2" s="32">
        <f ca="1">IF(OR(D2="f", D2="m"),  0, "Enter M or F for Gender")</f>
        <v>0</v>
      </c>
      <c r="F2" s="32" t="str">
        <f ca="1">IF(E2&lt;&gt;0, E2, " " )</f>
        <v xml:space="preserve"> </v>
      </c>
    </row>
    <row r="3" spans="1:8" ht="18" customHeight="1" thickBot="1">
      <c r="A3" s="30" t="s">
        <v>2137</v>
      </c>
      <c r="B3" s="30" t="s">
        <v>2348</v>
      </c>
      <c r="C3" s="30" t="s">
        <v>2349</v>
      </c>
      <c r="D3" s="31">
        <f t="shared" ca="1" si="0"/>
        <v>35</v>
      </c>
      <c r="E3" s="32">
        <f ca="1">IF(AND(D3&gt;=20,D3&lt;=59),0,"This calculator only provides lifetime risk estimates for individuals 20 to 59 years of age")</f>
        <v>0</v>
      </c>
      <c r="F3" s="32" t="str">
        <f ca="1">IF(E3&lt;&gt;0, E3, " " )</f>
        <v xml:space="preserve"> </v>
      </c>
    </row>
    <row r="4" spans="1:8" ht="12.75" customHeight="1" thickBot="1">
      <c r="A4" s="30" t="s">
        <v>1841</v>
      </c>
      <c r="B4" s="30" t="s">
        <v>2348</v>
      </c>
      <c r="C4" s="30" t="s">
        <v>2351</v>
      </c>
      <c r="D4" s="31">
        <f t="shared" ca="1" si="0"/>
        <v>0</v>
      </c>
      <c r="E4" s="32" t="str">
        <f ca="1">IF(AND(D4&gt;=130, D4&lt;=320),0,"Enter 130-320 for TC value")</f>
        <v>Enter 130-320 for TC value</v>
      </c>
      <c r="F4" s="32" t="str">
        <f ca="1">IF(E4&lt;&gt;0, E4, " " )</f>
        <v>Enter 130-320 for TC value</v>
      </c>
    </row>
    <row r="5" spans="1:8" ht="15.75" customHeight="1" thickBot="1">
      <c r="A5" s="30" t="s">
        <v>2352</v>
      </c>
      <c r="B5" s="30" t="s">
        <v>2348</v>
      </c>
      <c r="C5" s="30" t="s">
        <v>2353</v>
      </c>
      <c r="D5" s="31">
        <f t="shared" ca="1" si="0"/>
        <v>0</v>
      </c>
      <c r="E5" s="32"/>
      <c r="F5" s="32"/>
    </row>
    <row r="6" spans="1:8" ht="17.25" customHeight="1" thickBot="1">
      <c r="A6" s="30" t="s">
        <v>1868</v>
      </c>
      <c r="B6" s="30" t="s">
        <v>2348</v>
      </c>
      <c r="C6" s="30" t="s">
        <v>2354</v>
      </c>
      <c r="D6" s="31">
        <f t="shared" ca="1" si="0"/>
        <v>85</v>
      </c>
      <c r="E6" s="32" t="str">
        <f ca="1">IF(AND(D6&gt;=90, D6&lt;=200),0,"Enter 90-200 for SBP value")</f>
        <v>Enter 90-200 for SBP value</v>
      </c>
      <c r="F6" s="32" t="str">
        <f ca="1">IF(E6&lt;&gt;0, E6, " " )</f>
        <v>Enter 90-200 for SBP value</v>
      </c>
      <c r="G6" s="32" t="str">
        <f ca="1">IF(F6&lt;&gt;0, F6, " " )</f>
        <v>Enter 90-200 for SBP value</v>
      </c>
    </row>
    <row r="7" spans="1:8" ht="16.5" customHeight="1" thickBot="1">
      <c r="A7" s="30" t="s">
        <v>2405</v>
      </c>
      <c r="B7" s="30" t="s">
        <v>2348</v>
      </c>
      <c r="C7" s="30" t="s">
        <v>2356</v>
      </c>
      <c r="D7" s="31" t="str">
        <f t="shared" ca="1" si="0"/>
        <v>N</v>
      </c>
      <c r="E7" s="32">
        <f ca="1">IF(OR(D7="y", D7="n"),0, "Enter Y or N for treatment for Hypertension")</f>
        <v>0</v>
      </c>
      <c r="F7" s="32" t="str">
        <f ca="1">IF(E7&lt;&gt;0, E7, " " )</f>
        <v xml:space="preserve"> </v>
      </c>
    </row>
    <row r="8" spans="1:8" ht="13.5" thickBot="1">
      <c r="A8" s="30" t="s">
        <v>2404</v>
      </c>
      <c r="B8" s="30" t="s">
        <v>2348</v>
      </c>
      <c r="C8" s="30" t="s">
        <v>2358</v>
      </c>
      <c r="D8" s="31" t="str">
        <f t="shared" ca="1" si="0"/>
        <v>N</v>
      </c>
      <c r="E8" s="32">
        <f ca="1">IF(OR(D8="y", D8="n"),0, "Enter Y or N for Diabetes")</f>
        <v>0</v>
      </c>
      <c r="F8" s="32" t="str">
        <f ca="1">IF(E8&lt;&gt;0, E8, " " )</f>
        <v xml:space="preserve"> </v>
      </c>
    </row>
    <row r="9" spans="1:8" ht="13.5" thickBot="1">
      <c r="A9" s="30" t="s">
        <v>2359</v>
      </c>
      <c r="B9" s="30" t="s">
        <v>2348</v>
      </c>
      <c r="C9" s="30" t="s">
        <v>2360</v>
      </c>
      <c r="D9" s="31" t="str">
        <f t="shared" ca="1" si="0"/>
        <v>N</v>
      </c>
      <c r="E9" s="32">
        <f ca="1">IF(OR(D9="y", D9="n"),0, "Enter Y or N for Smoker")</f>
        <v>0</v>
      </c>
      <c r="F9" s="32" t="str">
        <f ca="1">IF(E9&lt;&gt;0, E9, " " )</f>
        <v xml:space="preserve"> </v>
      </c>
    </row>
    <row r="10" spans="1:8">
      <c r="A10" s="51"/>
      <c r="B10" s="51"/>
      <c r="C10" s="51"/>
      <c r="D10" s="50"/>
      <c r="E10" s="32"/>
      <c r="F10" s="32" t="str">
        <f ca="1">F3&amp;" "&amp;F2&amp;" "&amp;F4&amp;" "&amp;F5&amp;" "&amp;F6&amp;" "&amp;F7&amp;" "&amp;F8&amp;" "&amp;F9</f>
        <v xml:space="preserve">    Enter 130-320 for TC value  Enter 90-200 for SBP value      </v>
      </c>
      <c r="G10" s="32"/>
    </row>
    <row r="11" spans="1:8">
      <c r="B11" s="28" t="s">
        <v>2403</v>
      </c>
      <c r="C11" s="28" t="s">
        <v>2402</v>
      </c>
      <c r="D11" s="28" t="s">
        <v>2401</v>
      </c>
      <c r="E11" s="28" t="s">
        <v>2400</v>
      </c>
      <c r="F11" s="32" t="str">
        <f ca="1">TRIM(F10)</f>
        <v>Enter 130-320 for TC value Enter 90-200 for SBP value</v>
      </c>
    </row>
    <row r="12" spans="1:8">
      <c r="A12" s="28" t="s">
        <v>116</v>
      </c>
      <c r="B12" s="29" t="str">
        <f ca="1">IF($D$4&lt;180,"1", "0")</f>
        <v>1</v>
      </c>
      <c r="C12" s="29">
        <f ca="1">IF($D$4&gt;=180,"1", "0")*IF($D$4&lt;200,"1", "0")</f>
        <v>0</v>
      </c>
      <c r="D12" s="29">
        <f ca="1">IF($D$4&gt;=200,"1", "0")*IF($D$4&lt;240,"1", "0")</f>
        <v>0</v>
      </c>
      <c r="E12" s="29" t="str">
        <f ca="1">IF($D$4&gt;=240,"1", "0")</f>
        <v>0</v>
      </c>
      <c r="F12" s="37" t="s">
        <v>2432</v>
      </c>
      <c r="G12" s="47"/>
      <c r="H12" s="42"/>
    </row>
    <row r="13" spans="1:8">
      <c r="A13" s="28" t="s">
        <v>1847</v>
      </c>
      <c r="B13" s="29"/>
      <c r="C13" s="29"/>
      <c r="D13" s="29"/>
      <c r="E13" s="29" t="str">
        <f ca="1">IF($D$6&gt;=160,"1", "0")</f>
        <v>0</v>
      </c>
      <c r="G13" s="49"/>
      <c r="H13" s="44"/>
    </row>
    <row r="14" spans="1:8">
      <c r="B14" s="29"/>
      <c r="C14" s="29"/>
      <c r="D14" s="29" t="s">
        <v>2399</v>
      </c>
      <c r="E14" s="29" t="str">
        <f ca="1">IF($D$7="Y","1", "0")</f>
        <v>0</v>
      </c>
      <c r="G14" s="48"/>
      <c r="H14" s="44"/>
    </row>
    <row r="15" spans="1:8">
      <c r="A15" s="28" t="s">
        <v>1847</v>
      </c>
      <c r="B15" s="40">
        <f ca="1">IF($D$6&lt;120,"1", "0")*IF($D$7="N","1","0")</f>
        <v>1</v>
      </c>
      <c r="C15" s="40">
        <f ca="1">IF($D$6&gt;=120,"1", "0")*IF($D$6&lt;140,"1", "0")*IF($D$7="N","1","0")</f>
        <v>0</v>
      </c>
      <c r="D15" s="40">
        <f ca="1">IF($D$6&gt;=140,"1", "0")*IF($D$6&lt;160,"1", "0")*IF($D$7="N","1","0")</f>
        <v>0</v>
      </c>
      <c r="E15" s="40">
        <f ca="1">E13+E14</f>
        <v>0</v>
      </c>
      <c r="G15" s="48"/>
      <c r="H15" s="44"/>
    </row>
    <row r="16" spans="1:8">
      <c r="A16" s="28" t="s">
        <v>2398</v>
      </c>
      <c r="B16" s="40">
        <f ca="1">B12+B15</f>
        <v>2</v>
      </c>
      <c r="C16" s="40">
        <f ca="1">C12+C15</f>
        <v>0</v>
      </c>
      <c r="D16" s="40">
        <f ca="1">D12+D15</f>
        <v>0</v>
      </c>
      <c r="E16" s="40"/>
      <c r="G16" s="48"/>
      <c r="H16" s="44"/>
    </row>
    <row r="17" spans="1:11">
      <c r="B17" s="40"/>
      <c r="C17" s="40"/>
      <c r="D17" s="28" t="s">
        <v>2397</v>
      </c>
      <c r="E17" s="29" t="str">
        <f ca="1">IF($D$9="Y","1", "0")</f>
        <v>0</v>
      </c>
      <c r="G17" s="48"/>
      <c r="H17" s="44"/>
    </row>
    <row r="18" spans="1:11">
      <c r="D18" s="28" t="s">
        <v>42</v>
      </c>
      <c r="E18" s="29" t="str">
        <f ca="1">IF($D$8="Y","1", "0")</f>
        <v>0</v>
      </c>
      <c r="G18" s="47"/>
      <c r="H18" s="42"/>
    </row>
    <row r="19" spans="1:11">
      <c r="C19" s="29"/>
      <c r="D19" s="40" t="s">
        <v>2396</v>
      </c>
      <c r="E19" s="28">
        <f ca="1">E12+E15+E17+E18</f>
        <v>0</v>
      </c>
      <c r="G19" s="42"/>
      <c r="H19" s="42"/>
    </row>
    <row r="21" spans="1:11">
      <c r="A21" s="46" t="s">
        <v>2395</v>
      </c>
      <c r="C21" s="28" t="s">
        <v>1945</v>
      </c>
      <c r="E21" s="46" t="s">
        <v>2394</v>
      </c>
      <c r="G21" s="28" t="s">
        <v>1945</v>
      </c>
    </row>
    <row r="22" spans="1:11">
      <c r="A22" s="45" t="s">
        <v>2393</v>
      </c>
      <c r="B22" s="43" t="str">
        <f ca="1">IF($E$19&gt;=2,"1","0")</f>
        <v>0</v>
      </c>
      <c r="C22" s="29">
        <v>50</v>
      </c>
      <c r="E22" s="45" t="s">
        <v>2393</v>
      </c>
      <c r="F22" s="43" t="str">
        <f ca="1">IF($E$19&gt;=2,"1","0")</f>
        <v>0</v>
      </c>
      <c r="G22" s="29">
        <v>69</v>
      </c>
    </row>
    <row r="23" spans="1:11">
      <c r="A23" s="27" t="s">
        <v>2392</v>
      </c>
      <c r="B23" s="43" t="str">
        <f ca="1">IF($E$19=1,"1","0")</f>
        <v>0</v>
      </c>
      <c r="C23" s="29">
        <v>39</v>
      </c>
      <c r="E23" s="27" t="s">
        <v>2392</v>
      </c>
      <c r="F23" s="43" t="str">
        <f ca="1">IF($E$19=1,"1","0")</f>
        <v>0</v>
      </c>
      <c r="G23" s="29">
        <v>50</v>
      </c>
    </row>
    <row r="24" spans="1:11">
      <c r="A24" s="27" t="s">
        <v>2391</v>
      </c>
      <c r="B24" s="43">
        <f ca="1">IF($D$16&gt;=1,"1", "0")*IF($E$19=0,"1","0")</f>
        <v>0</v>
      </c>
      <c r="C24" s="29">
        <v>39</v>
      </c>
      <c r="E24" s="27" t="s">
        <v>2391</v>
      </c>
      <c r="F24" s="43">
        <f ca="1">IF($D$16&gt;=1,"1", "0")*IF($E$19=0,"1","0")</f>
        <v>0</v>
      </c>
      <c r="G24" s="29">
        <v>46</v>
      </c>
    </row>
    <row r="25" spans="1:11">
      <c r="A25" s="27" t="s">
        <v>2390</v>
      </c>
      <c r="B25" s="43">
        <f ca="1">IF($C$16&gt;=1,"1","0")*IF($D$16=0,"1","0")*IF($E$19=0,"1","0")</f>
        <v>0</v>
      </c>
      <c r="C25" s="29">
        <v>27</v>
      </c>
      <c r="E25" s="27" t="s">
        <v>2390</v>
      </c>
      <c r="F25" s="43">
        <f ca="1">IF($C$16&gt;=1,"1","0")*IF($D$16=0,"1","0")*IF($E$19=0,"1","0")</f>
        <v>0</v>
      </c>
      <c r="G25" s="29">
        <v>36</v>
      </c>
    </row>
    <row r="26" spans="1:11">
      <c r="A26" s="27" t="s">
        <v>2389</v>
      </c>
      <c r="B26" s="43">
        <f ca="1">IF($B$16=2,"1","0")*IF($E$19=0,"1","0")</f>
        <v>1</v>
      </c>
      <c r="C26" s="29">
        <v>8</v>
      </c>
      <c r="E26" s="27" t="s">
        <v>2389</v>
      </c>
      <c r="F26" s="43">
        <f ca="1">IF($B$16=2,"1","0")*IF($E$19=0,"1","0")</f>
        <v>1</v>
      </c>
      <c r="G26" s="29">
        <v>5</v>
      </c>
    </row>
    <row r="27" spans="1:11">
      <c r="A27" s="27"/>
      <c r="B27" s="44"/>
      <c r="C27" s="43">
        <f ca="1">SUM(B22*C22+ B23*C23+B24*C24+B25*C25+B26*C26)</f>
        <v>8</v>
      </c>
      <c r="D27" s="29"/>
      <c r="E27" s="45"/>
      <c r="F27" s="44"/>
      <c r="G27" s="43">
        <f ca="1">SUM(F22*G22+ F23*G23+F24*G24+F25*G25+F26*G26)</f>
        <v>5</v>
      </c>
    </row>
    <row r="28" spans="1:11">
      <c r="A28" s="27"/>
      <c r="G28" s="27"/>
    </row>
    <row r="29" spans="1:11">
      <c r="C29" s="27" t="s">
        <v>2388</v>
      </c>
    </row>
    <row r="30" spans="1:11">
      <c r="H30" s="29"/>
    </row>
    <row r="31" spans="1:11">
      <c r="A31" s="29" t="s">
        <v>69</v>
      </c>
      <c r="B31" s="29" t="str">
        <f ca="1">IF($D$2="M", "1", "0")</f>
        <v>1</v>
      </c>
      <c r="C31" s="29">
        <f ca="1">B31*G27+C27*B32</f>
        <v>5</v>
      </c>
      <c r="D31" s="28" t="str">
        <f ca="1">IF($F$11&lt;&gt;"", F11, C31)</f>
        <v>Enter 130-320 for TC value Enter 90-200 for SBP value</v>
      </c>
      <c r="E31" s="37"/>
      <c r="F31" s="37"/>
      <c r="G31" s="37"/>
      <c r="H31" s="41"/>
      <c r="I31" s="37"/>
      <c r="J31" s="37"/>
      <c r="K31" s="37"/>
    </row>
    <row r="32" spans="1:11">
      <c r="A32" s="29" t="s">
        <v>2387</v>
      </c>
      <c r="B32" s="29" t="str">
        <f ca="1">IF($D$2="F", "1", "0")</f>
        <v>0</v>
      </c>
      <c r="H32" s="29"/>
    </row>
    <row r="33" spans="1:8">
      <c r="B33" s="29"/>
      <c r="H33" s="29"/>
    </row>
    <row r="39" spans="1:8">
      <c r="A39" s="27"/>
      <c r="B39" s="42"/>
    </row>
    <row r="40" spans="1:8">
      <c r="A40" s="27"/>
      <c r="B40" s="42"/>
    </row>
  </sheetData>
  <sheetProtection selectLockedCells="1" selectUnlockedCells="1"/>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29"/>
  <sheetViews>
    <sheetView zoomScale="80" zoomScaleNormal="80" workbookViewId="0">
      <selection activeCell="B13" sqref="B13"/>
    </sheetView>
  </sheetViews>
  <sheetFormatPr defaultRowHeight="12.75"/>
  <cols>
    <col min="1" max="1" width="46" style="54" bestFit="1" customWidth="1"/>
    <col min="2" max="2" width="51.140625" style="53" customWidth="1"/>
    <col min="3" max="3" width="20.28515625" style="29" customWidth="1"/>
    <col min="4" max="4" width="29.42578125" style="28" customWidth="1"/>
    <col min="5" max="5" width="24.28515625" style="52" customWidth="1"/>
    <col min="6" max="6" width="16.85546875" style="28" customWidth="1"/>
    <col min="7" max="7" width="9.140625" style="28" hidden="1" customWidth="1"/>
    <col min="8" max="16384" width="9.140625" style="28"/>
  </cols>
  <sheetData>
    <row r="1" spans="1:5" ht="26.25" thickBot="1">
      <c r="A1" s="86"/>
      <c r="B1" s="79"/>
      <c r="C1" s="83" t="s">
        <v>2431</v>
      </c>
      <c r="D1" s="85"/>
      <c r="E1" s="76"/>
    </row>
    <row r="2" spans="1:5" ht="18" customHeight="1" thickBot="1">
      <c r="A2" s="80" t="s">
        <v>2430</v>
      </c>
      <c r="B2" s="84" t="s">
        <v>79</v>
      </c>
      <c r="C2" s="83" t="s">
        <v>127</v>
      </c>
      <c r="D2" s="77" t="s">
        <v>2429</v>
      </c>
      <c r="E2" s="76" t="s">
        <v>2344</v>
      </c>
    </row>
    <row r="3" spans="1:5" ht="18" customHeight="1" thickBot="1">
      <c r="A3" s="80" t="s">
        <v>68</v>
      </c>
      <c r="B3" s="79" t="s">
        <v>2428</v>
      </c>
      <c r="C3" s="78" t="str">
        <f>IF(Sex="Male","M","F")</f>
        <v>M</v>
      </c>
      <c r="D3" s="77" t="s">
        <v>2427</v>
      </c>
      <c r="E3" s="76"/>
    </row>
    <row r="4" spans="1:5" ht="18" customHeight="1" thickBot="1">
      <c r="A4" s="80" t="s">
        <v>2137</v>
      </c>
      <c r="B4" s="79" t="s">
        <v>2426</v>
      </c>
      <c r="C4" s="78">
        <f>Age</f>
        <v>35</v>
      </c>
      <c r="D4" s="77" t="s">
        <v>2425</v>
      </c>
      <c r="E4" s="76"/>
    </row>
    <row r="5" spans="1:5" ht="18" customHeight="1" thickBot="1">
      <c r="A5" s="80" t="s">
        <v>2203</v>
      </c>
      <c r="B5" s="82" t="s">
        <v>2424</v>
      </c>
      <c r="C5" s="78" t="str">
        <f>IF('Vitals and Labs'!B4="African American","AA","WH")</f>
        <v>WH</v>
      </c>
      <c r="D5" s="77" t="s">
        <v>2423</v>
      </c>
      <c r="E5" s="76"/>
    </row>
    <row r="6" spans="1:5" ht="18" customHeight="1" thickBot="1">
      <c r="A6" s="80" t="s">
        <v>1841</v>
      </c>
      <c r="B6" s="79" t="s">
        <v>86</v>
      </c>
      <c r="C6" s="78">
        <f>'Vitals and Labs'!B39</f>
        <v>0</v>
      </c>
      <c r="D6" s="77" t="s">
        <v>2422</v>
      </c>
      <c r="E6" s="81">
        <v>170</v>
      </c>
    </row>
    <row r="7" spans="1:5" ht="18" customHeight="1" thickBot="1">
      <c r="A7" s="80" t="s">
        <v>2352</v>
      </c>
      <c r="B7" s="79" t="s">
        <v>2421</v>
      </c>
      <c r="C7" s="78">
        <f>'Vitals and Labs'!B40</f>
        <v>0</v>
      </c>
      <c r="D7" s="77" t="s">
        <v>2420</v>
      </c>
      <c r="E7" s="81">
        <v>50</v>
      </c>
    </row>
    <row r="8" spans="1:5" ht="18" customHeight="1" thickBot="1">
      <c r="A8" s="80" t="s">
        <v>1868</v>
      </c>
      <c r="B8" s="79" t="s">
        <v>2419</v>
      </c>
      <c r="C8" s="78">
        <f>SBP</f>
        <v>85</v>
      </c>
      <c r="D8" s="77" t="s">
        <v>2418</v>
      </c>
      <c r="E8" s="81">
        <v>110</v>
      </c>
    </row>
    <row r="9" spans="1:5" ht="18" customHeight="1" thickBot="1">
      <c r="A9" s="80" t="s">
        <v>2417</v>
      </c>
      <c r="B9" s="79" t="s">
        <v>2416</v>
      </c>
      <c r="C9" s="78" t="str">
        <f>IF('Vitals and Labs'!B132="Yes","Y","N")</f>
        <v>N</v>
      </c>
      <c r="D9" s="77" t="s">
        <v>2415</v>
      </c>
      <c r="E9" s="76" t="s">
        <v>2414</v>
      </c>
    </row>
    <row r="10" spans="1:5" ht="18" customHeight="1" thickBot="1">
      <c r="A10" s="80" t="s">
        <v>2404</v>
      </c>
      <c r="B10" s="79" t="s">
        <v>2416</v>
      </c>
      <c r="C10" s="78" t="str">
        <f>IF('Vitals and Labs'!B128="Yes","Y","N")</f>
        <v>N</v>
      </c>
      <c r="D10" s="77" t="s">
        <v>2415</v>
      </c>
      <c r="E10" s="76" t="s">
        <v>2414</v>
      </c>
    </row>
    <row r="11" spans="1:5" ht="18" customHeight="1" thickBot="1">
      <c r="A11" s="80" t="s">
        <v>2359</v>
      </c>
      <c r="B11" s="79" t="s">
        <v>2416</v>
      </c>
      <c r="C11" s="78" t="str">
        <f>IF('Vitals and Labs'!B131="Yes","Y","N")</f>
        <v>N</v>
      </c>
      <c r="D11" s="77" t="s">
        <v>2415</v>
      </c>
      <c r="E11" s="76" t="s">
        <v>2414</v>
      </c>
    </row>
    <row r="12" spans="1:5" ht="11.25" customHeight="1">
      <c r="A12" s="55"/>
      <c r="D12" s="29"/>
      <c r="E12" s="75"/>
    </row>
    <row r="13" spans="1:5" s="61" customFormat="1" ht="111" customHeight="1">
      <c r="A13" s="65" t="s">
        <v>2413</v>
      </c>
      <c r="B13" s="64" t="str">
        <f ca="1">'10-Year ASCVD'!H29</f>
        <v>This calculator only provides 10-year risk estimates for individuals 40 to 79 years of age Enter 130-320 for TC value Enter 20-100 for HDL value Enter 90-200 for SBP value</v>
      </c>
      <c r="C13" s="73"/>
      <c r="D13" s="74"/>
      <c r="E13" s="71"/>
    </row>
    <row r="14" spans="1:5" s="61" customFormat="1" ht="56.25" customHeight="1">
      <c r="A14" s="60" t="s">
        <v>2412</v>
      </c>
      <c r="B14" s="59" t="str">
        <f ca="1">'10-Year ASCVD'!H35</f>
        <v>This calculator only provides 10-year risk estimates for individuals 40 to 79 years of age</v>
      </c>
      <c r="C14" s="73"/>
      <c r="D14" s="72"/>
      <c r="E14" s="71"/>
    </row>
    <row r="15" spans="1:5" s="66" customFormat="1">
      <c r="A15" s="70"/>
      <c r="B15" s="69"/>
      <c r="C15" s="68"/>
      <c r="D15" s="67"/>
      <c r="E15" s="62"/>
    </row>
    <row r="16" spans="1:5" s="61" customFormat="1" ht="102.75" customHeight="1">
      <c r="A16" s="65" t="s">
        <v>2411</v>
      </c>
      <c r="B16" s="64" t="str">
        <f ca="1">'Lifetime Risk Data'!D31</f>
        <v>Enter 130-320 for TC value Enter 90-200 for SBP value</v>
      </c>
      <c r="C16" s="63"/>
      <c r="E16" s="62"/>
    </row>
    <row r="17" spans="1:4" ht="38.25">
      <c r="A17" s="60" t="s">
        <v>2410</v>
      </c>
      <c r="B17" s="59">
        <f>IF(C3="M",5, IF(C3="F",8, "Enter M or F for gender"))</f>
        <v>5</v>
      </c>
    </row>
    <row r="18" spans="1:4">
      <c r="A18" s="55"/>
    </row>
    <row r="19" spans="1:4" ht="409.5" customHeight="1">
      <c r="A19" s="58" t="s">
        <v>2409</v>
      </c>
      <c r="B19" s="58" t="s">
        <v>2408</v>
      </c>
    </row>
    <row r="20" spans="1:4" ht="15">
      <c r="A20" s="57"/>
    </row>
    <row r="21" spans="1:4" ht="80.25" customHeight="1">
      <c r="A21" s="56" t="s">
        <v>2407</v>
      </c>
    </row>
    <row r="23" spans="1:4">
      <c r="D23" s="29"/>
    </row>
    <row r="24" spans="1:4">
      <c r="D24" s="29"/>
    </row>
    <row r="25" spans="1:4">
      <c r="A25" s="55"/>
      <c r="D25" s="29"/>
    </row>
    <row r="28" spans="1:4">
      <c r="A28" s="55"/>
    </row>
    <row r="29" spans="1:4">
      <c r="A29" s="55"/>
      <c r="D29" s="29"/>
    </row>
  </sheetData>
  <sheetProtection selectLockedCells="1"/>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43"/>
  <sheetViews>
    <sheetView zoomScaleNormal="100" workbookViewId="0">
      <selection activeCell="F26" sqref="F26"/>
    </sheetView>
  </sheetViews>
  <sheetFormatPr defaultRowHeight="15" outlineLevelRow="1"/>
  <cols>
    <col min="1" max="1" width="34.28515625" customWidth="1"/>
    <col min="2" max="2" width="17.42578125" customWidth="1"/>
    <col min="3" max="4" width="20.28515625" customWidth="1"/>
    <col min="6" max="6" width="18.42578125" bestFit="1" customWidth="1"/>
    <col min="7" max="7" width="25.85546875" customWidth="1"/>
    <col min="8" max="8" width="16.85546875" customWidth="1"/>
    <col min="9" max="9" width="18.28515625" bestFit="1" customWidth="1"/>
    <col min="10" max="10" width="0" hidden="1" customWidth="1"/>
  </cols>
  <sheetData>
    <row r="1" spans="1:9">
      <c r="A1" s="1" t="s">
        <v>2107</v>
      </c>
      <c r="B1" t="s">
        <v>2650</v>
      </c>
      <c r="C1" t="s">
        <v>70</v>
      </c>
      <c r="D1" t="s">
        <v>71</v>
      </c>
      <c r="E1" t="s">
        <v>79</v>
      </c>
      <c r="F1" t="s">
        <v>183</v>
      </c>
      <c r="G1" t="s">
        <v>183</v>
      </c>
      <c r="H1" t="s">
        <v>2130</v>
      </c>
    </row>
    <row r="2" spans="1:9" outlineLevel="1">
      <c r="A2" s="2" t="s">
        <v>68</v>
      </c>
      <c r="B2" t="s">
        <v>69</v>
      </c>
      <c r="C2" t="s">
        <v>69</v>
      </c>
      <c r="D2" t="s">
        <v>72</v>
      </c>
    </row>
    <row r="3" spans="1:9" outlineLevel="1">
      <c r="A3" t="s">
        <v>2161</v>
      </c>
      <c r="B3" t="s">
        <v>361</v>
      </c>
      <c r="C3" t="s">
        <v>2134</v>
      </c>
      <c r="D3" t="s">
        <v>361</v>
      </c>
      <c r="F3" s="4"/>
    </row>
    <row r="4" spans="1:9" outlineLevel="1">
      <c r="A4" t="s">
        <v>2203</v>
      </c>
      <c r="F4" s="4"/>
    </row>
    <row r="5" spans="1:9" outlineLevel="1">
      <c r="A5" s="1" t="s">
        <v>78</v>
      </c>
      <c r="C5" t="s">
        <v>129</v>
      </c>
      <c r="F5" s="4"/>
    </row>
    <row r="6" spans="1:9" outlineLevel="1">
      <c r="A6" t="s">
        <v>2139</v>
      </c>
      <c r="B6" s="5">
        <v>80</v>
      </c>
      <c r="C6" s="5">
        <f>B6/2.2</f>
        <v>36.36363636363636</v>
      </c>
      <c r="D6" t="s">
        <v>132</v>
      </c>
      <c r="E6" t="s">
        <v>130</v>
      </c>
      <c r="F6" s="20" t="str">
        <f>"BMI="&amp;TRUNC(BMI,1)</f>
        <v>BMI=10</v>
      </c>
      <c r="H6" t="str">
        <f>IF(BMI&gt;=25,"recommend loss of "&amp;0.1*'Vitals and Labs'!B6&amp;" pounds, about 1-2 per week for 6 months","")</f>
        <v/>
      </c>
    </row>
    <row r="7" spans="1:9" outlineLevel="1">
      <c r="A7" t="s">
        <v>2138</v>
      </c>
      <c r="B7" s="5">
        <v>75</v>
      </c>
      <c r="C7" s="5">
        <f>B7*0.0254</f>
        <v>1.905</v>
      </c>
      <c r="D7" t="s">
        <v>133</v>
      </c>
      <c r="E7" t="s">
        <v>131</v>
      </c>
      <c r="F7" s="4" t="s">
        <v>165</v>
      </c>
      <c r="G7" s="15"/>
      <c r="I7" t="s">
        <v>2576</v>
      </c>
    </row>
    <row r="8" spans="1:9" outlineLevel="1">
      <c r="A8" t="s">
        <v>2137</v>
      </c>
      <c r="B8">
        <v>35</v>
      </c>
      <c r="C8">
        <v>45</v>
      </c>
      <c r="D8">
        <v>65</v>
      </c>
      <c r="E8" t="s">
        <v>2136</v>
      </c>
      <c r="F8" s="4" t="str">
        <f>IF(Age&gt;85,"Very Old, Risk factor for almost all chronic diseases",IF(Age&gt;=65,"Geriatric, risk factor for most chronic diseases",IF(B8&gt;C8,"Middle-aged: Risk Factor for many disease states: HTN, DM, etc.",IF(B8&gt;18,"Adult","Child, use dose adjustment"))))</f>
        <v>Adult</v>
      </c>
      <c r="I8" s="89">
        <f ca="1">YEAR(TODAY())-Age</f>
        <v>1981</v>
      </c>
    </row>
    <row r="9" spans="1:9" hidden="1" outlineLevel="1">
      <c r="A9" t="s">
        <v>2154</v>
      </c>
      <c r="C9">
        <v>35</v>
      </c>
      <c r="D9">
        <v>40</v>
      </c>
      <c r="E9" t="s">
        <v>131</v>
      </c>
      <c r="F9" s="2" t="str">
        <f>IF(OR(AND(Sex="Male",'Vitals and Labs'!B9&gt;D9),AND(Sex="Female",'Vitals and Labs'!B9&gt;'Vitals and Labs'!C9)),VLOOKUP(BMI,Calculations!M1:P7,4),VLOOKUP(BMI,Calculations!M1:P7,3))&amp;" Risk of CVD, T2DM, HTN"</f>
        <v>Normal Risk of CVD, T2DM, HTN</v>
      </c>
    </row>
    <row r="10" spans="1:9" outlineLevel="1">
      <c r="A10" t="s">
        <v>2646</v>
      </c>
      <c r="C10">
        <v>0</v>
      </c>
      <c r="D10">
        <v>10</v>
      </c>
      <c r="F10" s="2"/>
    </row>
    <row r="11" spans="1:9">
      <c r="A11" s="1" t="s">
        <v>74</v>
      </c>
      <c r="G11" s="1" t="s">
        <v>2186</v>
      </c>
    </row>
    <row r="12" spans="1:9" outlineLevel="1">
      <c r="A12" t="s">
        <v>0</v>
      </c>
      <c r="B12">
        <v>85</v>
      </c>
      <c r="C12">
        <v>100</v>
      </c>
      <c r="D12">
        <v>139</v>
      </c>
      <c r="E12" t="s">
        <v>80</v>
      </c>
      <c r="F12" t="str">
        <f>IF(OR(B12&gt;=180,DBP&gt;=120),"Hypertensive Crisis, evaluate for target organ damage",IF(OR(SBP&gt;=160,DBP&gt;=100),"Stage II Hypertension",IF(OR(SBP&gt;=140,DBP&gt;=90),"Stage I Hypertension",IF(OR(B12&gt;120,DBP&gt;80),"Pre-Hypertension",IF(OR(Calculations!B10&lt;=70,SBP&lt;=90),"Hypotension and Severe hypovolemia","Normotension")))))</f>
        <v>Hypotension and Severe hypovolemia</v>
      </c>
      <c r="H12" t="e">
        <f>HTN_Therapy</f>
        <v>#N/A</v>
      </c>
    </row>
    <row r="13" spans="1:9" outlineLevel="1">
      <c r="A13" t="s">
        <v>1</v>
      </c>
      <c r="B13">
        <v>50</v>
      </c>
      <c r="C13">
        <v>60</v>
      </c>
      <c r="D13">
        <v>89</v>
      </c>
      <c r="E13" t="s">
        <v>80</v>
      </c>
      <c r="F13" t="str">
        <f>F12</f>
        <v>Hypotension and Severe hypovolemia</v>
      </c>
    </row>
    <row r="14" spans="1:9" outlineLevel="1">
      <c r="A14" t="s">
        <v>21</v>
      </c>
      <c r="B14">
        <v>110</v>
      </c>
      <c r="C14">
        <v>60</v>
      </c>
      <c r="D14">
        <v>100</v>
      </c>
      <c r="E14" t="s">
        <v>81</v>
      </c>
      <c r="F14" s="20" t="str">
        <f>IF(B14&lt;C14,"Bradycardia",IF(B14&lt;=D14,"Normal Rate","Tachycardia"))</f>
        <v>Tachycardia</v>
      </c>
      <c r="G14" s="20"/>
    </row>
    <row r="15" spans="1:9" outlineLevel="1">
      <c r="A15" t="s">
        <v>22</v>
      </c>
      <c r="B15">
        <v>25</v>
      </c>
      <c r="C15">
        <v>12</v>
      </c>
      <c r="D15">
        <v>20</v>
      </c>
      <c r="E15" t="s">
        <v>81</v>
      </c>
      <c r="F15" s="20" t="str">
        <f>IF(B15&lt;C15,"apnea",IF(B15&lt;=D15,"Normal respiratory rate","Tachypnea"))</f>
        <v>Tachypnea</v>
      </c>
      <c r="G15" s="20"/>
    </row>
    <row r="16" spans="1:9" ht="15.75" outlineLevel="1">
      <c r="A16" t="s">
        <v>23</v>
      </c>
      <c r="B16" s="104">
        <v>101.2</v>
      </c>
      <c r="C16">
        <v>36</v>
      </c>
      <c r="D16">
        <v>38</v>
      </c>
      <c r="E16" s="3" t="s">
        <v>82</v>
      </c>
      <c r="F16" s="20" t="str">
        <f>IF(B16&lt;C16,"Hypothermia",IF(B16&lt;=D16,"Normal Body Temperature",IF(B16&lt;38.3,"Fever","Probable SIRS")))</f>
        <v>Probable SIRS</v>
      </c>
      <c r="G16" s="20"/>
    </row>
    <row r="17" spans="1:10">
      <c r="A17" s="1" t="s">
        <v>2106</v>
      </c>
      <c r="F17" s="20"/>
      <c r="G17" s="20"/>
    </row>
    <row r="18" spans="1:10" hidden="1" outlineLevel="1">
      <c r="A18" s="2" t="s">
        <v>73</v>
      </c>
      <c r="C18">
        <v>7.35</v>
      </c>
      <c r="D18">
        <v>7.45</v>
      </c>
      <c r="F18" s="4" t="str">
        <f>IF(B18&lt;7.2,"Severe Acidosis",IF(B18&lt;7.29,"Moderate Acidosis",IF(B18&lt;7.35,"Mild Acidosis",IF(B18&gt;7.6,"Severe Alkalosis",IF(B18&gt;7.5,"Moderate Alkalosis",IF(B18&gt;7.45,"Mild Alkalosis","Normal"))))))</f>
        <v>Severe Acidosis</v>
      </c>
      <c r="G18" s="4" t="str">
        <f>IF(B18&gt;7.6,"Severe Alkalosis",IF(B18&gt;7.5,"Moderate Alkalosis",IF(B18&gt;7.45,"Mild Alkalosis","Normal")))</f>
        <v>Normal</v>
      </c>
    </row>
    <row r="19" spans="1:10" hidden="1" outlineLevel="1">
      <c r="A19" s="2" t="s">
        <v>75</v>
      </c>
      <c r="C19">
        <v>40</v>
      </c>
      <c r="D19">
        <v>40</v>
      </c>
      <c r="E19" t="s">
        <v>80</v>
      </c>
      <c r="F19" s="4" t="s">
        <v>167</v>
      </c>
      <c r="G19" s="4" t="s">
        <v>168</v>
      </c>
    </row>
    <row r="20" spans="1:10" hidden="1" outlineLevel="1">
      <c r="A20" s="2" t="s">
        <v>76</v>
      </c>
      <c r="C20">
        <v>80</v>
      </c>
      <c r="D20">
        <v>100</v>
      </c>
      <c r="E20" t="s">
        <v>80</v>
      </c>
      <c r="F20" s="4" t="s">
        <v>169</v>
      </c>
      <c r="G20" s="4" t="s">
        <v>166</v>
      </c>
    </row>
    <row r="21" spans="1:10" hidden="1" outlineLevel="1">
      <c r="A21" s="2" t="s">
        <v>77</v>
      </c>
      <c r="C21">
        <v>22</v>
      </c>
      <c r="D21">
        <v>26</v>
      </c>
      <c r="E21" t="s">
        <v>85</v>
      </c>
      <c r="F21" s="4" t="s">
        <v>165</v>
      </c>
      <c r="G21" s="4" t="s">
        <v>166</v>
      </c>
    </row>
    <row r="22" spans="1:10" hidden="1" outlineLevel="1">
      <c r="A22" t="s">
        <v>24</v>
      </c>
      <c r="C22">
        <v>96</v>
      </c>
      <c r="D22">
        <v>100</v>
      </c>
      <c r="E22" t="s">
        <v>83</v>
      </c>
      <c r="F22" s="4" t="s">
        <v>169</v>
      </c>
      <c r="G22" s="4" t="s">
        <v>166</v>
      </c>
    </row>
    <row r="23" spans="1:10" hidden="1" outlineLevel="1">
      <c r="A23" t="s">
        <v>1811</v>
      </c>
      <c r="C23">
        <v>0.21</v>
      </c>
      <c r="D23">
        <v>1</v>
      </c>
      <c r="F23" s="4"/>
      <c r="G23" s="4"/>
    </row>
    <row r="24" spans="1:10" collapsed="1">
      <c r="A24" s="1" t="s">
        <v>2104</v>
      </c>
      <c r="F24" s="4" t="s">
        <v>165</v>
      </c>
      <c r="G24" s="24" t="s">
        <v>2251</v>
      </c>
      <c r="J24" t="s">
        <v>2252</v>
      </c>
    </row>
    <row r="25" spans="1:10" outlineLevel="1">
      <c r="A25" t="s">
        <v>6</v>
      </c>
      <c r="B25">
        <v>140</v>
      </c>
      <c r="C25">
        <v>135</v>
      </c>
      <c r="D25">
        <v>145</v>
      </c>
      <c r="E25" t="s">
        <v>85</v>
      </c>
      <c r="F25" s="20" t="str">
        <f>IF(B25&lt;115,"Severe Hyponatremia",IF(B25&lt;125,"Moderate Hyponatremia",IF(B25&lt;135,"Mild Hyponatremia",IF(B25&gt;165,"Severe Hypernatremia",IF(B25&gt;155,"Moderate Hypernatremia",IF(B25&gt;145,"Mild Hypernatremia","Normonatremia"))))))</f>
        <v>Normonatremia</v>
      </c>
      <c r="G25" s="20" t="s">
        <v>2252</v>
      </c>
      <c r="H25" t="str">
        <f>IF(AND(F25="Severe Hyponatremia",G25=J30),"Consider Hypertonic saline: 3% NaCl with or without Furosemide",IF(F25="Moderate Hyponatremia","Consider Furosemide",""))</f>
        <v/>
      </c>
      <c r="I25" t="str">
        <f>IF(OR(G25="Mild Hypervolemia",G25="Moderate Hypervolemia"),"Initiate Once Daily PO Loop Diuretic, ",IF(G25="Severe Hypervolemia","Initiate Once Daily IV Loop Diuretic, ",""))&amp;IF(OR(G25="Mild Hypervolemia",G25="Moderate Hypervolemia",G25="Severe Hypervolemia"),"titrate to ceiling dose. If not resolved, increase to twice daily dosing. If still not resolved, add Daily PO Thiazide Diuretic","")</f>
        <v/>
      </c>
      <c r="J25" t="s">
        <v>2253</v>
      </c>
    </row>
    <row r="26" spans="1:10" outlineLevel="1">
      <c r="A26" t="s">
        <v>7</v>
      </c>
      <c r="B26">
        <v>6.5</v>
      </c>
      <c r="C26">
        <v>3.5</v>
      </c>
      <c r="D26">
        <v>5</v>
      </c>
      <c r="E26" t="s">
        <v>85</v>
      </c>
      <c r="F26" s="20" t="str">
        <f>IF(K&gt;6.5,"Severe Hyperkalemia",IF(K&gt;6,"Moderate Hyperkalemia",IF(K&gt;5,"Mild Hyperkalemia",IF(K&gt;=C26,"Normokalemia",IF(K&gt;3,"Mild Hypokalemia",IF(K&gt;2.5,"Moderate hypokalemia","Severe Hypokalemia"))))))</f>
        <v>Moderate Hyperkalemia</v>
      </c>
      <c r="G26" s="4" t="str">
        <f>IF(B26&gt;6,"check for arrthymias, hyperkalemia","Hyperkalemia")</f>
        <v>check for arrthymias, hyperkalemia</v>
      </c>
      <c r="J26" t="s">
        <v>2254</v>
      </c>
    </row>
    <row r="27" spans="1:10" outlineLevel="1">
      <c r="A27" t="s">
        <v>8</v>
      </c>
      <c r="B27">
        <v>110</v>
      </c>
      <c r="C27">
        <v>95</v>
      </c>
      <c r="D27">
        <v>105</v>
      </c>
      <c r="E27" t="s">
        <v>85</v>
      </c>
      <c r="F27" s="4" t="s">
        <v>170</v>
      </c>
      <c r="G27" s="4" t="s">
        <v>171</v>
      </c>
      <c r="J27" t="s">
        <v>2255</v>
      </c>
    </row>
    <row r="28" spans="1:10" outlineLevel="1">
      <c r="A28" t="s">
        <v>9</v>
      </c>
      <c r="B28">
        <v>26</v>
      </c>
      <c r="C28">
        <v>22</v>
      </c>
      <c r="D28">
        <v>26</v>
      </c>
      <c r="E28" t="s">
        <v>85</v>
      </c>
      <c r="F28" s="4" t="s">
        <v>165</v>
      </c>
      <c r="G28" s="4" t="s">
        <v>166</v>
      </c>
      <c r="J28" t="s">
        <v>2256</v>
      </c>
    </row>
    <row r="29" spans="1:10" outlineLevel="1">
      <c r="A29" t="s">
        <v>10</v>
      </c>
      <c r="B29">
        <v>50</v>
      </c>
      <c r="C29">
        <v>5</v>
      </c>
      <c r="D29">
        <v>15</v>
      </c>
      <c r="E29" t="s">
        <v>86</v>
      </c>
      <c r="F29" s="4" t="s">
        <v>165</v>
      </c>
      <c r="G29" s="4" t="s">
        <v>166</v>
      </c>
      <c r="J29" t="s">
        <v>2257</v>
      </c>
    </row>
    <row r="30" spans="1:10" outlineLevel="1">
      <c r="A30" t="s">
        <v>11</v>
      </c>
      <c r="B30">
        <v>2</v>
      </c>
      <c r="C30">
        <v>0.8</v>
      </c>
      <c r="D30">
        <v>1.2</v>
      </c>
      <c r="E30" t="s">
        <v>86</v>
      </c>
      <c r="F30" s="4" t="s">
        <v>165</v>
      </c>
      <c r="G30" s="4" t="s">
        <v>172</v>
      </c>
      <c r="J30" t="s">
        <v>2258</v>
      </c>
    </row>
    <row r="31" spans="1:10" outlineLevel="1">
      <c r="A31" t="s">
        <v>12</v>
      </c>
      <c r="B31">
        <v>80</v>
      </c>
      <c r="C31">
        <v>70</v>
      </c>
      <c r="D31">
        <v>100</v>
      </c>
      <c r="E31" t="s">
        <v>86</v>
      </c>
      <c r="F31" s="4" t="s">
        <v>174</v>
      </c>
      <c r="G31" s="4" t="s">
        <v>173</v>
      </c>
    </row>
    <row r="32" spans="1:10">
      <c r="A32" s="1" t="s">
        <v>2105</v>
      </c>
      <c r="F32" s="4"/>
      <c r="G32" s="4"/>
    </row>
    <row r="33" spans="1:7" hidden="1" outlineLevel="1">
      <c r="A33" t="s">
        <v>13</v>
      </c>
      <c r="C33">
        <v>8.5</v>
      </c>
      <c r="D33">
        <v>10.5</v>
      </c>
      <c r="E33" t="s">
        <v>86</v>
      </c>
      <c r="F33" s="4" t="s">
        <v>175</v>
      </c>
      <c r="G33" s="4" t="s">
        <v>176</v>
      </c>
    </row>
    <row r="34" spans="1:7" hidden="1" outlineLevel="1">
      <c r="A34" t="s">
        <v>14</v>
      </c>
      <c r="C34">
        <v>1.8</v>
      </c>
      <c r="D34">
        <v>3</v>
      </c>
      <c r="E34" t="s">
        <v>86</v>
      </c>
      <c r="F34" s="20" t="str">
        <f>IF(B34&lt;1.2,"Severe Hypomagnesemia",IF(B34&lt;1.8,"Mild to moderate hypomagnesemia",IF(B34&lt;D34,"Normomagnesemia","Hypermagnesemia")))</f>
        <v>Severe Hypomagnesemia</v>
      </c>
      <c r="G34" s="4" t="s">
        <v>177</v>
      </c>
    </row>
    <row r="35" spans="1:7" hidden="1" outlineLevel="1">
      <c r="A35" t="s">
        <v>16</v>
      </c>
      <c r="C35">
        <f>IF(CrCl&gt;15,2.7,3.5)</f>
        <v>2.7</v>
      </c>
      <c r="D35">
        <f>IF(CrCl&gt;15,4.6,5.5)</f>
        <v>4.5999999999999996</v>
      </c>
      <c r="E35" t="s">
        <v>86</v>
      </c>
      <c r="F35" s="20" t="str">
        <f>IF(B35&gt;D35,"Hyperphosphatemia",IF(B35&lt;C35,"Hypophosphatemia","Normophosphatemia"))</f>
        <v>Hypophosphatemia</v>
      </c>
      <c r="G35" s="20" t="b">
        <f>IF(F35="Hyperphosphatemia","Recommend dietary phosphate restriction of 800-1000 mg/day and "&amp;IF(AND(Calculations!B8&lt;55,Calculations!B7&lt;10.2),"Use Calcium-Containing Phosphate Binder","Use Non-Calcium-containing Phosphate Binder")&amp;IF('Vitals and Labs'!B35&gt;7,", Severe: May use Aluminum-containing phosphate binder for up to 4 weeks",""))</f>
        <v>0</v>
      </c>
    </row>
    <row r="36" spans="1:7" hidden="1" outlineLevel="1">
      <c r="A36" t="s">
        <v>15</v>
      </c>
      <c r="C36">
        <v>10</v>
      </c>
      <c r="D36">
        <v>50</v>
      </c>
      <c r="E36" t="s">
        <v>115</v>
      </c>
      <c r="F36" s="4" t="s">
        <v>165</v>
      </c>
      <c r="G36" s="4" t="s">
        <v>178</v>
      </c>
    </row>
    <row r="37" spans="1:7" hidden="1" outlineLevel="1">
      <c r="A37" t="s">
        <v>2</v>
      </c>
      <c r="C37">
        <v>3.5</v>
      </c>
      <c r="D37">
        <v>5</v>
      </c>
      <c r="E37" t="s">
        <v>87</v>
      </c>
      <c r="F37" s="4" t="s">
        <v>179</v>
      </c>
      <c r="G37" s="4" t="s">
        <v>166</v>
      </c>
    </row>
    <row r="38" spans="1:7" collapsed="1">
      <c r="A38" s="1" t="s">
        <v>116</v>
      </c>
      <c r="F38" s="4"/>
      <c r="G38" s="4"/>
    </row>
    <row r="39" spans="1:7" hidden="1" outlineLevel="1">
      <c r="A39" s="2" t="s">
        <v>1841</v>
      </c>
      <c r="C39">
        <v>200</v>
      </c>
      <c r="D39">
        <v>239</v>
      </c>
      <c r="E39" t="s">
        <v>86</v>
      </c>
      <c r="F39" s="20" t="str">
        <f>IF(B39&gt;D39,"High",IF(B39&gt;C39,"Borderline High","Optimal"))</f>
        <v>Optimal</v>
      </c>
      <c r="G39" s="4" t="str">
        <f>IF(B39&gt;D39,"High",IF(B39&gt;C39,"Borderline High","Optimal"))</f>
        <v>Optimal</v>
      </c>
    </row>
    <row r="40" spans="1:7" hidden="1" outlineLevel="1">
      <c r="A40" t="s">
        <v>117</v>
      </c>
      <c r="C40">
        <v>40</v>
      </c>
      <c r="D40">
        <v>60</v>
      </c>
      <c r="E40" t="s">
        <v>86</v>
      </c>
      <c r="F40" s="20" t="str">
        <f>IF(OR(AND(Sex=C2,B40&lt;C40),AND(Sex=D2,B40&lt;50)),"dyslipidemia",IF(B40&gt;D40,"High HDL, negative CV risk factor - subtract 1 from CV risk factor analysis","Normal"))</f>
        <v>dyslipidemia</v>
      </c>
      <c r="G40" s="4"/>
    </row>
    <row r="41" spans="1:7" hidden="1" outlineLevel="1">
      <c r="A41" t="s">
        <v>118</v>
      </c>
      <c r="C41">
        <v>150</v>
      </c>
      <c r="D41">
        <v>199</v>
      </c>
      <c r="E41" t="s">
        <v>86</v>
      </c>
      <c r="F41" s="20" t="str">
        <f>IF(B41&gt;500,"Very High",IF(B41&gt;D41,"High",IF(B41&gt;C41,"Borderline High","Normal")))</f>
        <v>Normal</v>
      </c>
      <c r="G41" s="4" t="str">
        <f>IF(B41&gt;500,"Very High",IF(B41&gt;D41,"High","Borderline High"))</f>
        <v>Borderline High</v>
      </c>
    </row>
    <row r="42" spans="1:7" collapsed="1">
      <c r="A42" s="1" t="s">
        <v>2103</v>
      </c>
      <c r="F42" s="4" t="s">
        <v>165</v>
      </c>
      <c r="G42" s="4" t="s">
        <v>166</v>
      </c>
    </row>
    <row r="43" spans="1:7" outlineLevel="1">
      <c r="A43" t="s">
        <v>3</v>
      </c>
      <c r="B43">
        <v>15500</v>
      </c>
      <c r="C43">
        <v>4000</v>
      </c>
      <c r="D43">
        <v>10000</v>
      </c>
      <c r="E43" t="s">
        <v>88</v>
      </c>
      <c r="F43" s="20" t="str">
        <f>IF(B43&lt;C43,"Leukopenia",IF(B43&gt;D43,"Leukocytosis, check for SIRS, Sepsis, etc.","normal"))</f>
        <v>Leukocytosis, check for SIRS, Sepsis, etc.</v>
      </c>
      <c r="G43" s="4" t="s">
        <v>219</v>
      </c>
    </row>
    <row r="44" spans="1:7" outlineLevel="1">
      <c r="A44" t="s">
        <v>4</v>
      </c>
      <c r="B44">
        <v>95</v>
      </c>
      <c r="E44" t="s">
        <v>83</v>
      </c>
      <c r="F44" s="4" t="s">
        <v>165</v>
      </c>
      <c r="G44" s="4" t="s">
        <v>166</v>
      </c>
    </row>
    <row r="45" spans="1:7" outlineLevel="1">
      <c r="A45" t="s">
        <v>25</v>
      </c>
      <c r="B45">
        <v>15</v>
      </c>
      <c r="C45">
        <f>IF(B2=C2,13,12)</f>
        <v>13</v>
      </c>
      <c r="D45">
        <f>IF(B2=C2,18,16)</f>
        <v>18</v>
      </c>
      <c r="E45" t="s">
        <v>87</v>
      </c>
      <c r="F45" s="20" t="str">
        <f>IF(B45&lt;8,"severe anemia", IF(B45&lt;10,"moderate anemia",IF(B45&lt;13,"mild anemia",IF(B45&gt;18,"Polycythemia","Normal"))))&amp;IF(Hgb&lt;C45,"; "&amp;F65&amp;" "&amp;F66&amp;" "&amp;F71,"")</f>
        <v>Normal</v>
      </c>
      <c r="G45" s="4"/>
    </row>
    <row r="46" spans="1:7" outlineLevel="1">
      <c r="A46" t="s">
        <v>5</v>
      </c>
      <c r="B46">
        <v>45.1</v>
      </c>
      <c r="C46">
        <f>IF(B2=C2,39,36)</f>
        <v>39</v>
      </c>
      <c r="D46">
        <f>IF(B2=C2,49,46)</f>
        <v>49</v>
      </c>
      <c r="E46" t="s">
        <v>83</v>
      </c>
      <c r="F46" s="4" t="s">
        <v>181</v>
      </c>
      <c r="G46" s="4" t="s">
        <v>180</v>
      </c>
    </row>
    <row r="47" spans="1:7" outlineLevel="1">
      <c r="A47" t="s">
        <v>26</v>
      </c>
      <c r="B47">
        <v>250000</v>
      </c>
      <c r="C47">
        <v>150000</v>
      </c>
      <c r="D47">
        <v>350000</v>
      </c>
      <c r="E47" t="s">
        <v>88</v>
      </c>
      <c r="F47" s="4" t="str">
        <f>IF(B47&lt;100000,"Thrombocytopenia", "low")</f>
        <v>low</v>
      </c>
      <c r="G47" s="4" t="s">
        <v>182</v>
      </c>
    </row>
    <row r="48" spans="1:7">
      <c r="A48" s="1" t="s">
        <v>17</v>
      </c>
    </row>
    <row r="49" spans="1:7" hidden="1" outlineLevel="1">
      <c r="A49" t="s">
        <v>18</v>
      </c>
    </row>
    <row r="50" spans="1:7" hidden="1" outlineLevel="1">
      <c r="A50" t="s">
        <v>19</v>
      </c>
    </row>
    <row r="51" spans="1:7" hidden="1" outlineLevel="1">
      <c r="A51" t="s">
        <v>20</v>
      </c>
    </row>
    <row r="52" spans="1:7" hidden="1" outlineLevel="1">
      <c r="A52" t="s">
        <v>91</v>
      </c>
      <c r="C52">
        <v>30</v>
      </c>
      <c r="D52">
        <v>120</v>
      </c>
      <c r="E52" t="s">
        <v>92</v>
      </c>
      <c r="F52" s="4" t="s">
        <v>189</v>
      </c>
      <c r="G52" s="4" t="s">
        <v>182</v>
      </c>
    </row>
    <row r="53" spans="1:7" hidden="1" outlineLevel="1">
      <c r="A53" t="s">
        <v>27</v>
      </c>
      <c r="C53">
        <v>0.3</v>
      </c>
      <c r="D53">
        <v>1</v>
      </c>
      <c r="E53" t="s">
        <v>86</v>
      </c>
      <c r="F53" s="4" t="s">
        <v>189</v>
      </c>
      <c r="G53" s="4" t="s">
        <v>182</v>
      </c>
    </row>
    <row r="54" spans="1:7" hidden="1" outlineLevel="1">
      <c r="A54" t="s">
        <v>93</v>
      </c>
      <c r="C54">
        <v>0.2</v>
      </c>
      <c r="D54">
        <v>0.7</v>
      </c>
      <c r="E54" t="s">
        <v>86</v>
      </c>
      <c r="F54" s="4" t="s">
        <v>189</v>
      </c>
      <c r="G54" s="4" t="s">
        <v>182</v>
      </c>
    </row>
    <row r="55" spans="1:7" hidden="1" outlineLevel="1">
      <c r="A55" t="s">
        <v>94</v>
      </c>
      <c r="C55">
        <v>0.1</v>
      </c>
      <c r="D55">
        <v>0.3</v>
      </c>
      <c r="E55" t="s">
        <v>86</v>
      </c>
      <c r="F55" s="4" t="s">
        <v>189</v>
      </c>
      <c r="G55" s="4" t="s">
        <v>182</v>
      </c>
    </row>
    <row r="56" spans="1:7" hidden="1" outlineLevel="1">
      <c r="A56" t="s">
        <v>28</v>
      </c>
      <c r="C56">
        <v>0</v>
      </c>
      <c r="D56">
        <v>35</v>
      </c>
      <c r="E56" t="s">
        <v>92</v>
      </c>
      <c r="F56" s="4" t="s">
        <v>189</v>
      </c>
      <c r="G56" s="4" t="s">
        <v>182</v>
      </c>
    </row>
    <row r="57" spans="1:7" hidden="1" outlineLevel="1">
      <c r="A57" t="s">
        <v>29</v>
      </c>
      <c r="C57">
        <v>0</v>
      </c>
      <c r="D57">
        <v>35</v>
      </c>
      <c r="E57" t="s">
        <v>92</v>
      </c>
      <c r="F57" s="4" t="s">
        <v>189</v>
      </c>
      <c r="G57" s="4" t="s">
        <v>182</v>
      </c>
    </row>
    <row r="58" spans="1:7" hidden="1" outlineLevel="1">
      <c r="A58" t="s">
        <v>30</v>
      </c>
      <c r="C58">
        <v>1</v>
      </c>
      <c r="D58">
        <v>1.5</v>
      </c>
      <c r="E58" t="s">
        <v>96</v>
      </c>
      <c r="F58" s="4" t="s">
        <v>189</v>
      </c>
      <c r="G58" s="4" t="s">
        <v>182</v>
      </c>
    </row>
    <row r="59" spans="1:7" hidden="1" outlineLevel="1">
      <c r="A59" t="s">
        <v>90</v>
      </c>
      <c r="C59">
        <v>12</v>
      </c>
      <c r="D59">
        <v>12</v>
      </c>
      <c r="E59" t="s">
        <v>95</v>
      </c>
      <c r="F59" s="4" t="s">
        <v>189</v>
      </c>
      <c r="G59" s="4" t="s">
        <v>182</v>
      </c>
    </row>
    <row r="60" spans="1:7" hidden="1" outlineLevel="1">
      <c r="A60" t="s">
        <v>101</v>
      </c>
      <c r="C60">
        <v>0</v>
      </c>
      <c r="D60">
        <v>70</v>
      </c>
      <c r="E60" t="s">
        <v>92</v>
      </c>
      <c r="F60" s="4" t="s">
        <v>189</v>
      </c>
      <c r="G60" s="4" t="s">
        <v>182</v>
      </c>
    </row>
    <row r="61" spans="1:7" hidden="1" outlineLevel="1">
      <c r="A61" t="s">
        <v>2221</v>
      </c>
      <c r="C61">
        <v>100</v>
      </c>
      <c r="D61">
        <v>250</v>
      </c>
      <c r="E61" t="s">
        <v>92</v>
      </c>
      <c r="F61" s="4"/>
      <c r="G61" s="4"/>
    </row>
    <row r="62" spans="1:7" hidden="1" outlineLevel="1">
      <c r="A62" t="s">
        <v>150</v>
      </c>
      <c r="C62">
        <v>0</v>
      </c>
      <c r="D62">
        <v>4</v>
      </c>
      <c r="F62" s="4" t="s">
        <v>190</v>
      </c>
      <c r="G62" s="4" t="s">
        <v>191</v>
      </c>
    </row>
    <row r="63" spans="1:7" hidden="1" outlineLevel="1">
      <c r="A63" t="s">
        <v>162</v>
      </c>
      <c r="C63">
        <v>0</v>
      </c>
      <c r="D63" t="s">
        <v>362</v>
      </c>
    </row>
    <row r="64" spans="1:7" collapsed="1">
      <c r="A64" s="1" t="s">
        <v>31</v>
      </c>
    </row>
    <row r="65" spans="1:8" outlineLevel="1">
      <c r="A65" t="s">
        <v>32</v>
      </c>
      <c r="B65">
        <v>70</v>
      </c>
      <c r="C65">
        <v>80</v>
      </c>
      <c r="D65">
        <v>100</v>
      </c>
      <c r="E65" t="s">
        <v>89</v>
      </c>
      <c r="F65" s="20" t="str">
        <f>IF(MCV&lt;C65,"Microcytic",IF(MCV&gt;D65,"Macrocytic","Normocytic"))</f>
        <v>Microcytic</v>
      </c>
      <c r="G65" s="4" t="s">
        <v>192</v>
      </c>
      <c r="H65" s="4"/>
    </row>
    <row r="66" spans="1:8" outlineLevel="1">
      <c r="A66" t="s">
        <v>33</v>
      </c>
      <c r="C66">
        <v>11.5</v>
      </c>
      <c r="D66">
        <v>14.5</v>
      </c>
      <c r="E66" t="s">
        <v>83</v>
      </c>
      <c r="F66" s="20" t="str">
        <f>IF(RDW&gt;D66,"Mixed","Single")</f>
        <v>Single</v>
      </c>
      <c r="G66" s="4"/>
      <c r="H66" s="4"/>
    </row>
    <row r="67" spans="1:8" outlineLevel="1">
      <c r="A67" t="s">
        <v>34</v>
      </c>
      <c r="C67">
        <v>0.5</v>
      </c>
      <c r="D67">
        <v>1.5</v>
      </c>
      <c r="E67" t="s">
        <v>83</v>
      </c>
      <c r="F67" s="4" t="s">
        <v>193</v>
      </c>
      <c r="G67" s="4" t="s">
        <v>194</v>
      </c>
      <c r="H67" s="4"/>
    </row>
    <row r="68" spans="1:8" outlineLevel="1">
      <c r="A68" t="s">
        <v>35</v>
      </c>
      <c r="C68">
        <v>3</v>
      </c>
      <c r="D68">
        <v>16</v>
      </c>
      <c r="E68" t="s">
        <v>84</v>
      </c>
      <c r="F68" s="20" t="str">
        <f>IF(B68&lt;C68,"Folate deficiency","Normal Folate")</f>
        <v>Folate deficiency</v>
      </c>
      <c r="G68" s="20"/>
      <c r="H68" s="4"/>
    </row>
    <row r="69" spans="1:8" outlineLevel="1">
      <c r="A69" t="s">
        <v>36</v>
      </c>
      <c r="C69">
        <v>150</v>
      </c>
      <c r="D69">
        <v>900</v>
      </c>
      <c r="E69" t="s">
        <v>105</v>
      </c>
      <c r="F69" s="20" t="str">
        <f>IF(B69&lt;C69,"B12 deficiency",IF(B69&lt;300,"Possible B12 deficiency, check MMA and Homocysteine","Normal B12"))</f>
        <v>B12 deficiency</v>
      </c>
      <c r="G69" s="20"/>
      <c r="H69" s="4"/>
    </row>
    <row r="70" spans="1:8" outlineLevel="1">
      <c r="A70" t="s">
        <v>37</v>
      </c>
      <c r="C70">
        <v>40</v>
      </c>
      <c r="D70">
        <v>160</v>
      </c>
      <c r="E70" t="s">
        <v>115</v>
      </c>
      <c r="F70" s="20" t="s">
        <v>198</v>
      </c>
      <c r="G70" s="20" t="s">
        <v>195</v>
      </c>
      <c r="H70" s="4"/>
    </row>
    <row r="71" spans="1:8" outlineLevel="1">
      <c r="A71" t="s">
        <v>38</v>
      </c>
      <c r="C71">
        <v>20</v>
      </c>
      <c r="D71">
        <v>200</v>
      </c>
      <c r="E71" t="s">
        <v>84</v>
      </c>
      <c r="F71" s="20" t="str">
        <f>IF(OR(B71&lt;C71,AND(B71&lt;100,TSAT&lt;20)),"Iron Deficiency Anemia",IF(B71&gt;100,"IDA not likely",""))</f>
        <v>Iron Deficiency Anemia</v>
      </c>
      <c r="G71" s="20"/>
      <c r="H71" s="4"/>
    </row>
    <row r="72" spans="1:8" outlineLevel="1">
      <c r="A72" t="s">
        <v>39</v>
      </c>
      <c r="C72">
        <v>250</v>
      </c>
      <c r="D72">
        <v>400</v>
      </c>
      <c r="E72" t="s">
        <v>115</v>
      </c>
      <c r="F72" s="20" t="s">
        <v>196</v>
      </c>
      <c r="G72" s="20" t="s">
        <v>197</v>
      </c>
      <c r="H72" s="4"/>
    </row>
    <row r="73" spans="1:8" ht="15.75" outlineLevel="1">
      <c r="A73" t="s">
        <v>40</v>
      </c>
      <c r="C73">
        <v>0</v>
      </c>
      <c r="D73">
        <v>0.56000000000000005</v>
      </c>
      <c r="E73" s="3" t="s">
        <v>121</v>
      </c>
      <c r="F73" s="20" t="s">
        <v>199</v>
      </c>
      <c r="G73" s="20" t="s">
        <v>200</v>
      </c>
      <c r="H73" s="4"/>
    </row>
    <row r="74" spans="1:8" outlineLevel="1">
      <c r="A74" t="s">
        <v>41</v>
      </c>
      <c r="C74">
        <v>0</v>
      </c>
      <c r="D74">
        <v>15</v>
      </c>
      <c r="E74" t="s">
        <v>122</v>
      </c>
      <c r="F74" s="20" t="s">
        <v>201</v>
      </c>
      <c r="G74" s="20" t="s">
        <v>202</v>
      </c>
      <c r="H74" s="4"/>
    </row>
    <row r="75" spans="1:8" outlineLevel="1">
      <c r="A75" t="s">
        <v>61</v>
      </c>
      <c r="C75">
        <f>IF(Hct&lt;20,2.5,IF(Hct&lt;30,2,IF(Hct&lt;40,1.5,1)))</f>
        <v>1</v>
      </c>
      <c r="D75">
        <v>2.5</v>
      </c>
      <c r="F75" s="20"/>
      <c r="G75" s="20"/>
      <c r="H75" s="4"/>
    </row>
    <row r="76" spans="1:8" outlineLevel="1">
      <c r="A76" t="s">
        <v>2215</v>
      </c>
      <c r="C76">
        <v>31</v>
      </c>
      <c r="D76">
        <v>37</v>
      </c>
      <c r="E76" t="s">
        <v>2216</v>
      </c>
      <c r="F76" s="20"/>
      <c r="G76" s="20"/>
      <c r="H76" s="4"/>
    </row>
    <row r="77" spans="1:8" outlineLevel="1">
      <c r="A77" t="s">
        <v>2217</v>
      </c>
      <c r="C77">
        <v>16</v>
      </c>
      <c r="D77">
        <v>199</v>
      </c>
      <c r="E77" t="s">
        <v>86</v>
      </c>
      <c r="F77" s="20"/>
      <c r="G77" s="20"/>
      <c r="H77" s="4"/>
    </row>
    <row r="78" spans="1:8">
      <c r="A78" s="1" t="s">
        <v>42</v>
      </c>
      <c r="F78" s="4"/>
      <c r="G78" s="4"/>
      <c r="H78" s="4"/>
    </row>
    <row r="79" spans="1:8" hidden="1" outlineLevel="1">
      <c r="A79" s="2" t="s">
        <v>43</v>
      </c>
      <c r="C79">
        <v>0</v>
      </c>
      <c r="D79">
        <v>5.7</v>
      </c>
      <c r="E79" t="s">
        <v>83</v>
      </c>
      <c r="F79" s="20" t="str">
        <f>IF(AND(A1C&gt;=6.5,NOT(OR(SCr&gt;1.5,AND(Sex="Female",SCr&gt;1.4),CrCl&lt;30,B121&gt;100))),"Diabetes: Metformin Indicated","Metformin not indicated or Contraindicated based on A1c, CrCl and SCr")</f>
        <v>Metformin not indicated or Contraindicated based on A1c, CrCl and SCr</v>
      </c>
      <c r="G79" s="4"/>
      <c r="H79" s="4"/>
    </row>
    <row r="80" spans="1:8" hidden="1" outlineLevel="1">
      <c r="A80" s="2" t="s">
        <v>44</v>
      </c>
      <c r="C80">
        <v>80</v>
      </c>
      <c r="D80">
        <v>100</v>
      </c>
      <c r="E80" t="s">
        <v>86</v>
      </c>
      <c r="F80" s="4" t="s">
        <v>203</v>
      </c>
      <c r="G80" s="4" t="s">
        <v>205</v>
      </c>
      <c r="H80" s="4" t="s">
        <v>204</v>
      </c>
    </row>
    <row r="81" spans="1:8" hidden="1" outlineLevel="1">
      <c r="A81" s="2" t="s">
        <v>45</v>
      </c>
      <c r="C81">
        <v>80</v>
      </c>
      <c r="D81">
        <v>200</v>
      </c>
      <c r="E81" t="s">
        <v>86</v>
      </c>
      <c r="F81" s="4" t="s">
        <v>203</v>
      </c>
      <c r="G81" s="4" t="s">
        <v>205</v>
      </c>
      <c r="H81" s="4" t="s">
        <v>204</v>
      </c>
    </row>
    <row r="82" spans="1:8" hidden="1" outlineLevel="1">
      <c r="A82" s="2" t="s">
        <v>46</v>
      </c>
      <c r="C82">
        <v>80</v>
      </c>
      <c r="D82">
        <v>180</v>
      </c>
      <c r="E82" t="s">
        <v>86</v>
      </c>
      <c r="F82" s="4" t="s">
        <v>203</v>
      </c>
      <c r="G82" s="4" t="s">
        <v>205</v>
      </c>
      <c r="H82" s="4" t="s">
        <v>204</v>
      </c>
    </row>
    <row r="83" spans="1:8" hidden="1" outlineLevel="1">
      <c r="A83" s="2" t="s">
        <v>97</v>
      </c>
      <c r="C83">
        <f>B12</f>
        <v>85</v>
      </c>
      <c r="D83">
        <f>B12</f>
        <v>85</v>
      </c>
      <c r="E83" t="s">
        <v>80</v>
      </c>
      <c r="F83" t="s">
        <v>206</v>
      </c>
      <c r="G83" t="s">
        <v>207</v>
      </c>
    </row>
    <row r="84" spans="1:8" hidden="1" outlineLevel="1">
      <c r="A84" s="2" t="s">
        <v>2220</v>
      </c>
      <c r="C84">
        <v>0.5</v>
      </c>
      <c r="D84">
        <v>2</v>
      </c>
      <c r="E84" t="s">
        <v>84</v>
      </c>
    </row>
    <row r="85" spans="1:8" collapsed="1">
      <c r="A85" s="1" t="s">
        <v>47</v>
      </c>
      <c r="G85" s="1" t="s">
        <v>2610</v>
      </c>
    </row>
    <row r="86" spans="1:8" outlineLevel="1">
      <c r="A86" s="2" t="s">
        <v>48</v>
      </c>
      <c r="C86">
        <v>4.2</v>
      </c>
      <c r="D86">
        <v>595</v>
      </c>
      <c r="E86" t="s">
        <v>92</v>
      </c>
      <c r="G86" t="s">
        <v>2586</v>
      </c>
      <c r="H86" s="101">
        <f>MATCH(G86,'Adolescent Female Peak Flow'!A20:A24,)</f>
        <v>5</v>
      </c>
    </row>
    <row r="87" spans="1:8" outlineLevel="1">
      <c r="A87" s="2" t="s">
        <v>49</v>
      </c>
      <c r="C87">
        <v>60</v>
      </c>
      <c r="D87">
        <v>80</v>
      </c>
      <c r="E87" t="s">
        <v>83</v>
      </c>
      <c r="F87" t="str">
        <f>IF(B87&gt;80,"Well Controlled",IF(B87&gt;=60,"Not Well Controlled","Very Poorly Controlled"))</f>
        <v>Very Poorly Controlled</v>
      </c>
      <c r="G87" t="s">
        <v>2592</v>
      </c>
      <c r="H87" s="101">
        <f>MATCH(G87,'Adolescent Female Peak Flow'!B20:B24,)</f>
        <v>5</v>
      </c>
    </row>
    <row r="88" spans="1:8" outlineLevel="1">
      <c r="A88" s="2" t="s">
        <v>50</v>
      </c>
      <c r="C88">
        <v>75</v>
      </c>
      <c r="D88">
        <v>85</v>
      </c>
      <c r="E88" t="s">
        <v>83</v>
      </c>
      <c r="F88" t="str">
        <f>IF(B88&gt;85,"Intermittent",IF(B88&gt;80,"Mild Persistent",IF(B88&gt;75,"Moderate Persistent","Severe Persistent")))</f>
        <v>Severe Persistent</v>
      </c>
      <c r="G88" t="s">
        <v>2594</v>
      </c>
      <c r="H88" s="101">
        <f>MATCH(G88,'Adolescent Female Peak Flow'!C20:C24,)</f>
        <v>2</v>
      </c>
    </row>
    <row r="89" spans="1:8" outlineLevel="1">
      <c r="A89" s="2" t="s">
        <v>51</v>
      </c>
      <c r="G89" t="s">
        <v>2592</v>
      </c>
      <c r="H89" s="101">
        <f>MATCH(G89,'Adolescent Female Peak Flow'!D20:D24,)</f>
        <v>5</v>
      </c>
    </row>
    <row r="90" spans="1:8" outlineLevel="1">
      <c r="A90" s="2" t="s">
        <v>52</v>
      </c>
      <c r="E90" t="s">
        <v>83</v>
      </c>
      <c r="G90" t="s">
        <v>2605</v>
      </c>
      <c r="H90" s="101">
        <f>MATCH(G90,'Adolescent Female Peak Flow'!E20:E24,)</f>
        <v>5</v>
      </c>
    </row>
    <row r="91" spans="1:8" outlineLevel="1">
      <c r="A91" s="2" t="s">
        <v>53</v>
      </c>
      <c r="C91">
        <v>16</v>
      </c>
      <c r="D91">
        <v>20</v>
      </c>
      <c r="E91" t="s">
        <v>2460</v>
      </c>
      <c r="F91" t="str">
        <f>IF(B91&lt;16,"Very Poorly Controlled",IF(B91&lt;=19,"Not Well Controlled","Well Controlled"))</f>
        <v>Very Poorly Controlled</v>
      </c>
    </row>
    <row r="92" spans="1:8" outlineLevel="1">
      <c r="A92" s="2" t="s">
        <v>2577</v>
      </c>
      <c r="B92">
        <f>0.5*C92</f>
        <v>321.5</v>
      </c>
      <c r="C92">
        <f>IF(AND(Sex="Female",Age&lt;=20),VLOOKUP(Age,'Adolescent Female Peak Flow'!A1:J16,MATCH('Vitals and Labs'!B7,'Adolescent Female Peak Flow'!$B$1:$J$1,0)+1,FALSE),IF(Sex="Female",VLOOKUP('Vitals and Labs'!B7,'Adult Female Peak Flow'!A2:N14,MATCH(Age,'Adult Female Peak Flow'!$B$1:$N$1,1)+1,FALSE),IF(AND(Sex="Male",Age&lt;=25),VLOOKUP(Age,'Adolescent Male Peak Flow'!A2:J21,MATCH('Vitals and Labs'!B7,'Adolescent Male Peak Flow'!$B$1:$J$1,1)+1,FALSE),VLOOKUP(Age,'Adult Male Peak Flow'!A3:P14,MATCH('Vitals and Labs'!B7,'Adult Male Peak Flow'!$B$2:$P$2,0)+1,TRUE))))</f>
        <v>643</v>
      </c>
      <c r="D92" t="s">
        <v>2579</v>
      </c>
      <c r="E92" t="s">
        <v>2578</v>
      </c>
      <c r="F92" t="str">
        <f>IF(B92/C92&gt;0.8,"Well Controlled",IF(B92/C92&gt;=0.6,"Not Well Controlled","Very Poorly Controlled"))&amp;"; "&amp;TRUNC(B92/C92*100,1)&amp;"% predicted"&amp;"; Predicted peak flow in L/min: "&amp;C92</f>
        <v>Very Poorly Controlled; 50% predicted; Predicted peak flow in L/min: 643</v>
      </c>
    </row>
    <row r="93" spans="1:8">
      <c r="A93" s="1" t="s">
        <v>98</v>
      </c>
      <c r="C93">
        <v>480</v>
      </c>
      <c r="F93" t="str">
        <f>IF(B92/C93&gt;0.8,"Well Controlled",IF(B92/C93&gt;=0.6,"Not Well Controlled","Very Poorly Controlled"))&amp;"; "&amp;TRUNC(B92/C93*100,1)&amp;"% personal best"&amp;"; Personal best peak flow in L/min: "&amp;C93</f>
        <v>Not Well Controlled; 66.9% personal best; Personal best peak flow in L/min: 480</v>
      </c>
    </row>
    <row r="94" spans="1:8" outlineLevel="1">
      <c r="A94" s="2" t="s">
        <v>99</v>
      </c>
      <c r="C94">
        <v>0.5</v>
      </c>
      <c r="D94">
        <v>4.5</v>
      </c>
      <c r="E94" t="s">
        <v>2214</v>
      </c>
      <c r="F94" t="str">
        <f>IF(AND(B94&gt;D94,B96&lt;C96),"Overt Hypothyroidism: Start Levothyroxine "&amp;IF(AND(Age&lt;50,Diagnoses!C9&lt;&gt;"Yes",Diagnoses!C13&lt;&gt;"Yes"),TRUNC('Vitals and Labs'!C6*1.6,0),IF(AND(Diagnoses!C9&lt;&gt;"Yes",Diagnoses!C13&lt;&gt;"Yes"),50,"12.5-25"))&amp;" mcg PO Daily",IF(OR(B94&gt;10,AND(B94&gt;D94,OR(B100="Positive",Diagnoses!C9="Yes",Diagnoses!C13="Yes"))),"Subclinical Hypothyroidism, Start Levothyroxine 25-75 mcg PO Daily",IF(AND(B94&lt;C94,B96&gt;D96,B99="Positive"),"Graves Disease, Start RAI 131",IF(AND(B94&lt;C94,B96&gt;D96),"Overt Hyperthyroidism",IF(B94&lt;0.1,"Subclinical Hypothyroidism",IF(AND(B94&gt;C94,B94&lt;D94,B96&gt;C96,B96&lt;D96),"Normal Thyroid Function","Check Values"))))))</f>
        <v>Subclinical Hypothyroidism</v>
      </c>
    </row>
    <row r="95" spans="1:8" outlineLevel="1">
      <c r="A95" s="2" t="s">
        <v>2222</v>
      </c>
      <c r="C95">
        <v>4.5</v>
      </c>
      <c r="D95">
        <v>10.9</v>
      </c>
      <c r="E95" t="s">
        <v>115</v>
      </c>
    </row>
    <row r="96" spans="1:8" outlineLevel="1">
      <c r="A96" s="2" t="s">
        <v>2223</v>
      </c>
      <c r="C96">
        <v>0.8</v>
      </c>
      <c r="D96">
        <v>2.7</v>
      </c>
      <c r="E96" t="s">
        <v>2224</v>
      </c>
    </row>
    <row r="97" spans="1:7" outlineLevel="1">
      <c r="A97" s="2" t="s">
        <v>2642</v>
      </c>
      <c r="C97">
        <v>60</v>
      </c>
      <c r="D97">
        <v>181</v>
      </c>
      <c r="E97" t="s">
        <v>2224</v>
      </c>
    </row>
    <row r="98" spans="1:7" outlineLevel="1">
      <c r="A98" s="2" t="s">
        <v>2225</v>
      </c>
      <c r="C98" t="s">
        <v>2226</v>
      </c>
    </row>
    <row r="99" spans="1:7" outlineLevel="1">
      <c r="A99" s="2" t="s">
        <v>2643</v>
      </c>
      <c r="C99" t="s">
        <v>2226</v>
      </c>
    </row>
    <row r="100" spans="1:7" outlineLevel="1">
      <c r="A100" s="2" t="s">
        <v>2644</v>
      </c>
      <c r="C100" t="s">
        <v>2226</v>
      </c>
    </row>
    <row r="101" spans="1:7" outlineLevel="1">
      <c r="A101" s="2" t="s">
        <v>2645</v>
      </c>
      <c r="C101">
        <v>10</v>
      </c>
      <c r="D101">
        <v>30</v>
      </c>
      <c r="E101" t="s">
        <v>83</v>
      </c>
    </row>
    <row r="102" spans="1:7">
      <c r="A102" s="1" t="s">
        <v>2102</v>
      </c>
    </row>
    <row r="103" spans="1:7" hidden="1" outlineLevel="1">
      <c r="A103" s="2" t="s">
        <v>106</v>
      </c>
      <c r="C103">
        <v>0</v>
      </c>
      <c r="D103">
        <v>0.04</v>
      </c>
      <c r="E103" t="s">
        <v>84</v>
      </c>
      <c r="F103" s="4" t="str">
        <f>IF(B103&lt;D103,"Low",IF(B103&lt;0.09,"Intermediate",IF(B103&gt;=0.1,"High","High")))</f>
        <v>Low</v>
      </c>
    </row>
    <row r="104" spans="1:7" hidden="1" outlineLevel="1">
      <c r="A104" s="2" t="s">
        <v>1948</v>
      </c>
      <c r="C104">
        <f>IF(Sex="Male",60,40)</f>
        <v>60</v>
      </c>
      <c r="D104">
        <f>IF(Sex="Male",400,150)</f>
        <v>400</v>
      </c>
      <c r="E104" t="s">
        <v>103</v>
      </c>
      <c r="F104" s="20" t="str">
        <f>IF(B104&gt;10*D104,"Rhabdomyolysis",IF(B104&gt;3*D104,"Myositis","Possible Myalgia"))</f>
        <v>Possible Myalgia</v>
      </c>
    </row>
    <row r="105" spans="1:7" hidden="1" outlineLevel="1">
      <c r="A105" s="2" t="s">
        <v>119</v>
      </c>
      <c r="C105">
        <v>0</v>
      </c>
      <c r="D105">
        <v>4</v>
      </c>
      <c r="E105" t="s">
        <v>83</v>
      </c>
      <c r="F105" s="4" t="s">
        <v>210</v>
      </c>
    </row>
    <row r="106" spans="1:7" hidden="1" outlineLevel="1">
      <c r="A106" s="2" t="s">
        <v>120</v>
      </c>
      <c r="C106">
        <v>0</v>
      </c>
      <c r="D106">
        <v>121</v>
      </c>
      <c r="E106" t="s">
        <v>84</v>
      </c>
      <c r="F106" s="4" t="s">
        <v>208</v>
      </c>
    </row>
    <row r="107" spans="1:7" collapsed="1">
      <c r="A107" s="1" t="s">
        <v>107</v>
      </c>
    </row>
    <row r="108" spans="1:7" hidden="1" outlineLevel="1">
      <c r="A108" s="2" t="s">
        <v>108</v>
      </c>
    </row>
    <row r="109" spans="1:7" hidden="1" outlineLevel="1">
      <c r="A109" s="2" t="s">
        <v>109</v>
      </c>
    </row>
    <row r="110" spans="1:7" hidden="1" outlineLevel="1">
      <c r="A110" s="2" t="s">
        <v>110</v>
      </c>
    </row>
    <row r="111" spans="1:7" hidden="1" outlineLevel="1">
      <c r="A111" s="2" t="s">
        <v>111</v>
      </c>
      <c r="C111">
        <v>100</v>
      </c>
      <c r="D111">
        <v>100</v>
      </c>
      <c r="E111" t="s">
        <v>113</v>
      </c>
      <c r="F111" t="s">
        <v>213</v>
      </c>
      <c r="G111" t="s">
        <v>214</v>
      </c>
    </row>
    <row r="112" spans="1:7" hidden="1" outlineLevel="1">
      <c r="A112" s="2" t="s">
        <v>112</v>
      </c>
      <c r="C112">
        <v>10</v>
      </c>
      <c r="D112">
        <v>20</v>
      </c>
      <c r="E112" t="s">
        <v>85</v>
      </c>
      <c r="F112" t="s">
        <v>216</v>
      </c>
      <c r="G112" t="s">
        <v>215</v>
      </c>
    </row>
    <row r="113" spans="1:7" hidden="1" outlineLevel="1">
      <c r="A113" s="2" t="s">
        <v>114</v>
      </c>
      <c r="C113">
        <v>30</v>
      </c>
      <c r="D113" t="s">
        <v>2292</v>
      </c>
      <c r="E113" t="s">
        <v>84</v>
      </c>
      <c r="F113" t="str">
        <f>IF(B113&lt;5,"Severe Vitamin D deficiency",IF(B113&lt;=15,"Mild Vitamin D deficiency",IF(B113&lt;=30,"Vitamin D Insufficiency","Normal Vitamin D")))</f>
        <v>Severe Vitamin D deficiency</v>
      </c>
      <c r="G113" t="str">
        <f>IF(AND(B113&lt;30,Calculations!B7&lt;10.2),"Initiate Ergocalciferol 50,000 Units "&amp;IF(B113&lt;5,"PO weekly for 12 weeks, then 50,000 Units ",IF(B113&lt;=15,"PO weekly for 4 weeks, then 50,000 Units ",""))&amp;"PO Monthly","")</f>
        <v>Initiate Ergocalciferol 50,000 Units PO weekly for 12 weeks, then 50,000 Units PO Monthly</v>
      </c>
    </row>
    <row r="114" spans="1:7" hidden="1" outlineLevel="1">
      <c r="A114" s="2" t="s">
        <v>100</v>
      </c>
      <c r="C114">
        <f>IF(CrCl&gt;30,35,IF(CrCl&gt;15,70,150))</f>
        <v>35</v>
      </c>
      <c r="D114">
        <f>IF(Calculations!F3="Stage 4 CKD",110,IF(Calculations!F3="Stage 5 CKD",300,70))</f>
        <v>70</v>
      </c>
      <c r="E114" t="s">
        <v>105</v>
      </c>
      <c r="F114" t="str">
        <f>IF(B114&gt;D114,"Hyperparathyroidism",IF(B114&lt;C114,"Hypoparathyroidism","Normal Parathyroid"))</f>
        <v>Hypoparathyroidism</v>
      </c>
      <c r="G114" t="str">
        <f>IF(AND(OR(CrCl&lt;15,B113&gt;30),B35&lt;D35,B35&gt;C35,Calculations!B8&lt;55),IF(B114&lt;D114,"Monitor Ca, Phos, and PTH to maintain values at goal",IF('Vitals and Labs'!B33&gt;10.5,"Discontinue any Ca, Vitamin D products and consider therapy to Lower Ca",IF('Vitals and Labs'!B33&lt;9.5,"Use Calcitriol","Use Paricalcitol")&amp;"If PTH not to goal and cannot increase Active vitamin D dose, add Cinacalcet")),"Ensure Phosphate, Vitamin D and CaXP are controlled")</f>
        <v>Ensure Phosphate, Vitamin D and CaXP are controlled</v>
      </c>
    </row>
    <row r="115" spans="1:7" hidden="1" outlineLevel="1">
      <c r="A115" s="2" t="s">
        <v>2240</v>
      </c>
    </row>
    <row r="116" spans="1:7" ht="14.25" customHeight="1" collapsed="1">
      <c r="A116" s="1" t="s">
        <v>2108</v>
      </c>
    </row>
    <row r="117" spans="1:7" outlineLevel="1">
      <c r="A117" s="2" t="s">
        <v>102</v>
      </c>
      <c r="C117">
        <v>0</v>
      </c>
      <c r="D117">
        <v>20</v>
      </c>
      <c r="E117" t="s">
        <v>103</v>
      </c>
      <c r="F117" t="s">
        <v>188</v>
      </c>
    </row>
    <row r="118" spans="1:7" outlineLevel="1">
      <c r="A118" s="2" t="s">
        <v>2213</v>
      </c>
      <c r="C118">
        <v>2.5</v>
      </c>
      <c r="D118">
        <v>7</v>
      </c>
      <c r="E118" t="s">
        <v>86</v>
      </c>
    </row>
    <row r="119" spans="1:7" outlineLevel="1">
      <c r="A119" s="2" t="s">
        <v>2219</v>
      </c>
      <c r="C119">
        <v>0.2</v>
      </c>
      <c r="D119">
        <v>9.9</v>
      </c>
      <c r="E119" t="s">
        <v>2218</v>
      </c>
    </row>
    <row r="120" spans="1:7" outlineLevel="1">
      <c r="A120" s="2" t="s">
        <v>2640</v>
      </c>
      <c r="B120">
        <v>15</v>
      </c>
      <c r="C120">
        <v>0</v>
      </c>
      <c r="D120">
        <v>20</v>
      </c>
      <c r="E120" t="s">
        <v>2641</v>
      </c>
    </row>
    <row r="121" spans="1:7" outlineLevel="1">
      <c r="A121" s="2" t="s">
        <v>104</v>
      </c>
      <c r="C121">
        <v>0</v>
      </c>
      <c r="D121">
        <v>100</v>
      </c>
      <c r="E121" t="s">
        <v>105</v>
      </c>
      <c r="F121" t="s">
        <v>209</v>
      </c>
    </row>
    <row r="122" spans="1:7" outlineLevel="1">
      <c r="A122" s="2" t="s">
        <v>2614</v>
      </c>
      <c r="E122" t="s">
        <v>83</v>
      </c>
    </row>
    <row r="123" spans="1:7">
      <c r="A123" s="1" t="s">
        <v>229</v>
      </c>
    </row>
    <row r="124" spans="1:7" hidden="1" outlineLevel="1">
      <c r="A124" s="2" t="s">
        <v>2098</v>
      </c>
      <c r="C124">
        <v>0</v>
      </c>
      <c r="D124">
        <v>50</v>
      </c>
      <c r="E124" t="s">
        <v>2100</v>
      </c>
      <c r="F124" t="str">
        <f>IF(B124&gt;D124,"Not Maximally suppressed: "&amp;"Viral load in log 10 ="&amp;LOG(B124,10),IF(B124&gt;C124,"HIV infected, maximally suppressed",IF(B124&lt;=C124,"check HIV ELISA or WB")))</f>
        <v>check HIV ELISA or WB</v>
      </c>
    </row>
    <row r="125" spans="1:7" hidden="1" outlineLevel="1">
      <c r="A125" s="2" t="s">
        <v>2099</v>
      </c>
      <c r="C125">
        <v>500</v>
      </c>
      <c r="D125">
        <v>1500</v>
      </c>
      <c r="E125" t="s">
        <v>2101</v>
      </c>
      <c r="F125" t="str">
        <f>IF(B125&gt;(C125-1),"Normal",IF(B125&gt;200,"Risk of Thrush",IF(B125&gt;100,"AIDS, risk of PCP, esophageal thrush, and cryptococcosis",IF(B125&gt;50,"AIDS, risk for Toxoplasmosis and other AIDS defining illnesses",IF(B125&gt;0,"AIDS, Risk for CMV disease and disseminated M. avium complex, as well as all other AIDS related illnesses","AIDS, risk for all AIDS-defining illnesses")))))</f>
        <v>AIDS, risk for all AIDS-defining illnesses</v>
      </c>
    </row>
    <row r="126" spans="1:7" collapsed="1">
      <c r="A126" s="1" t="s">
        <v>1735</v>
      </c>
    </row>
    <row r="127" spans="1:7" outlineLevel="1">
      <c r="A127" s="2" t="s">
        <v>2228</v>
      </c>
      <c r="C127" t="s">
        <v>361</v>
      </c>
      <c r="D127" t="s">
        <v>2134</v>
      </c>
    </row>
    <row r="128" spans="1:7" outlineLevel="1">
      <c r="A128" s="2" t="s">
        <v>2229</v>
      </c>
      <c r="C128" t="s">
        <v>361</v>
      </c>
      <c r="D128" t="s">
        <v>2134</v>
      </c>
    </row>
    <row r="129" spans="1:7" outlineLevel="1">
      <c r="A129" s="2" t="s">
        <v>2230</v>
      </c>
      <c r="C129" t="s">
        <v>361</v>
      </c>
      <c r="D129" t="s">
        <v>2134</v>
      </c>
    </row>
    <row r="130" spans="1:7" outlineLevel="1">
      <c r="A130" s="2" t="s">
        <v>2231</v>
      </c>
      <c r="C130" t="s">
        <v>361</v>
      </c>
      <c r="D130" t="s">
        <v>2134</v>
      </c>
    </row>
    <row r="131" spans="1:7" outlineLevel="1">
      <c r="A131" s="2" t="s">
        <v>2434</v>
      </c>
      <c r="C131" t="s">
        <v>361</v>
      </c>
      <c r="D131" t="s">
        <v>2134</v>
      </c>
    </row>
    <row r="132" spans="1:7" outlineLevel="1">
      <c r="A132" s="2" t="s">
        <v>2435</v>
      </c>
      <c r="C132" t="s">
        <v>361</v>
      </c>
      <c r="D132" t="s">
        <v>2134</v>
      </c>
    </row>
    <row r="133" spans="1:7">
      <c r="A133" s="1" t="s">
        <v>2611</v>
      </c>
    </row>
    <row r="134" spans="1:7" hidden="1" outlineLevel="1">
      <c r="A134" s="2" t="s">
        <v>2612</v>
      </c>
      <c r="E134" t="s">
        <v>2612</v>
      </c>
      <c r="F134" t="str">
        <f>B134*20&amp;" cigarettes/day"</f>
        <v>0 cigarettes/day</v>
      </c>
    </row>
    <row r="135" spans="1:7" hidden="1" outlineLevel="1">
      <c r="A135" s="2" t="s">
        <v>2613</v>
      </c>
      <c r="E135" t="s">
        <v>2136</v>
      </c>
    </row>
    <row r="136" spans="1:7" hidden="1" outlineLevel="1">
      <c r="A136" s="1" t="s">
        <v>2627</v>
      </c>
      <c r="E136" t="e">
        <f>G137&amp;" points"</f>
        <v>#N/A</v>
      </c>
      <c r="F136" s="2" t="e">
        <f>VLOOKUP(G137,Calculations!T15:U18,2,TRUE)</f>
        <v>#N/A</v>
      </c>
    </row>
    <row r="137" spans="1:7" ht="25.5" hidden="1" outlineLevel="1">
      <c r="A137" s="105" t="s">
        <v>2633</v>
      </c>
      <c r="F137" t="e">
        <f>VLOOKUP('Vitals and Labs'!B137,Calculations!$N$15:$R$18,5,FALSE)</f>
        <v>#N/A</v>
      </c>
      <c r="G137" t="e">
        <f>SUM(F137:F142)</f>
        <v>#N/A</v>
      </c>
    </row>
    <row r="138" spans="1:7" ht="38.25" hidden="1" outlineLevel="1">
      <c r="A138" s="105" t="s">
        <v>2634</v>
      </c>
      <c r="F138" t="e">
        <f>VLOOKUP('Vitals and Labs'!B138,Calculations!$O$15:$R$18,4,FALSE)</f>
        <v>#N/A</v>
      </c>
    </row>
    <row r="139" spans="1:7" ht="18.75" hidden="1" customHeight="1" outlineLevel="1">
      <c r="A139" s="105" t="s">
        <v>2635</v>
      </c>
      <c r="F139" t="e">
        <f>VLOOKUP('Vitals and Labs'!B139,Calculations!$P$15:$R$18,3,FALSE)</f>
        <v>#N/A</v>
      </c>
    </row>
    <row r="140" spans="1:7" ht="15.75" hidden="1" customHeight="1" outlineLevel="1">
      <c r="A140" s="105" t="s">
        <v>2636</v>
      </c>
      <c r="F140" t="e">
        <f>VLOOKUP('Vitals and Labs'!B140,Calculations!$Q$15:$R$18,2,FALSE)</f>
        <v>#N/A</v>
      </c>
    </row>
    <row r="141" spans="1:7" ht="25.5" hidden="1" outlineLevel="1">
      <c r="A141" s="105" t="s">
        <v>2637</v>
      </c>
      <c r="F141" t="e">
        <f>VLOOKUP('Vitals and Labs'!B141,Calculations!$O$15:$R$18,4,FALSE)</f>
        <v>#N/A</v>
      </c>
    </row>
    <row r="142" spans="1:7" ht="25.5" hidden="1" outlineLevel="1">
      <c r="A142" s="105" t="s">
        <v>2638</v>
      </c>
      <c r="F142" t="e">
        <f>VLOOKUP('Vitals and Labs'!B142,Calculations!$O$15:$R$18,4,FALSE)</f>
        <v>#N/A</v>
      </c>
    </row>
    <row r="143" spans="1:7" collapsed="1"/>
  </sheetData>
  <conditionalFormatting sqref="F12:F13">
    <cfRule type="notContainsText" dxfId="44" priority="23" operator="notContains" text="Normotension">
      <formula>ISERROR(SEARCH("Normotension",F12))</formula>
    </cfRule>
  </conditionalFormatting>
  <conditionalFormatting sqref="F14:F16 F45:F64 F80:F90 F67 F70 F72:F78">
    <cfRule type="expression" dxfId="43" priority="22">
      <formula>$B14&lt;$C14</formula>
    </cfRule>
  </conditionalFormatting>
  <conditionalFormatting sqref="G45 G81:G84 H80:H81 G47:G65 G67 G69:G77">
    <cfRule type="expression" dxfId="42" priority="21">
      <formula>$B45&gt;$D45</formula>
    </cfRule>
  </conditionalFormatting>
  <conditionalFormatting sqref="F17:F25 F27:F33 F36:F44">
    <cfRule type="expression" dxfId="41" priority="20">
      <formula>$B17&lt;$C17</formula>
    </cfRule>
  </conditionalFormatting>
  <conditionalFormatting sqref="G17:G23 G26:G34 G36:G44">
    <cfRule type="expression" dxfId="40" priority="7">
      <formula>$B17&gt;$D17</formula>
    </cfRule>
  </conditionalFormatting>
  <conditionalFormatting sqref="G79">
    <cfRule type="expression" dxfId="39" priority="25">
      <formula>$B79&lt;$C79</formula>
    </cfRule>
  </conditionalFormatting>
  <conditionalFormatting sqref="G78">
    <cfRule type="expression" dxfId="38" priority="27">
      <formula>$B80&gt;$D80</formula>
    </cfRule>
  </conditionalFormatting>
  <conditionalFormatting sqref="H82">
    <cfRule type="expression" dxfId="37" priority="18">
      <formula>$B82&gt;$D82</formula>
    </cfRule>
  </conditionalFormatting>
  <conditionalFormatting sqref="G46">
    <cfRule type="expression" dxfId="36" priority="17">
      <formula>$B$46&gt;55</formula>
    </cfRule>
  </conditionalFormatting>
  <conditionalFormatting sqref="F103:F104">
    <cfRule type="expression" dxfId="35" priority="10">
      <formula>$B$103&gt;$D$103</formula>
    </cfRule>
  </conditionalFormatting>
  <conditionalFormatting sqref="F105">
    <cfRule type="expression" dxfId="34" priority="9">
      <formula>$B105&gt;$D105</formula>
    </cfRule>
  </conditionalFormatting>
  <conditionalFormatting sqref="F106">
    <cfRule type="expression" dxfId="33" priority="8">
      <formula>$B106&gt;$D106</formula>
    </cfRule>
  </conditionalFormatting>
  <conditionalFormatting sqref="G39 G41">
    <cfRule type="expression" dxfId="32" priority="19">
      <formula>$B39&gt;$C39</formula>
    </cfRule>
  </conditionalFormatting>
  <conditionalFormatting sqref="F8:F10 F3:F4">
    <cfRule type="expression" dxfId="31" priority="3">
      <formula>B3&gt;=65</formula>
    </cfRule>
    <cfRule type="expression" dxfId="30" priority="5">
      <formula>$B$8&lt;$D$8</formula>
    </cfRule>
  </conditionalFormatting>
  <conditionalFormatting sqref="F2:F5 F27:F33 F36:F64 F7:F25 F67 F70 F72:F78 F80:F92 F137:F1048576 F94:F135">
    <cfRule type="expression" dxfId="29" priority="2">
      <formula>ISBLANK($B2)</formula>
    </cfRule>
  </conditionalFormatting>
  <conditionalFormatting sqref="Z1:Z1048576">
    <cfRule type="expression" priority="44">
      <formula>OR($B$125&lt;200)</formula>
    </cfRule>
  </conditionalFormatting>
  <dataValidations xWindow="374" yWindow="449" count="12">
    <dataValidation type="decimal" allowBlank="1" showInputMessage="1" showErrorMessage="1" promptTitle="Weight" prompt="Please enter the weight in pounds." sqref="B6">
      <formula1>0</formula1>
      <formula2>1000</formula2>
    </dataValidation>
    <dataValidation allowBlank="1" showInputMessage="1" showErrorMessage="1" promptTitle="Height" prompt="Please enter the height in inches." sqref="B7"/>
    <dataValidation allowBlank="1" showInputMessage="1" showErrorMessage="1" promptTitle="Age" prompt="Please enter the age in years." sqref="B8"/>
    <dataValidation allowBlank="1" showInputMessage="1" showErrorMessage="1" promptTitle="Systolic Blood Pressure" prompt="Please enter the Systolic Blood Pressure." sqref="B12"/>
    <dataValidation allowBlank="1" showInputMessage="1" showErrorMessage="1" promptTitle="Diastolic Blood Pressure" prompt="Please enter the Diastolic Blood Pressure." sqref="B13"/>
    <dataValidation allowBlank="1" showInputMessage="1" showErrorMessage="1" promptTitle="Heart Rate" prompt="Please enter the Heart Rate." sqref="B14"/>
    <dataValidation allowBlank="1" showInputMessage="1" showErrorMessage="1" promptTitle="Waist Circumference" prompt="inches" sqref="B9:B10"/>
    <dataValidation type="list" allowBlank="1" showInputMessage="1" showErrorMessage="1" promptTitle="Sex" prompt="Choose Male or Female" sqref="B2">
      <formula1>$C$2:$D$2</formula1>
    </dataValidation>
    <dataValidation type="list" allowBlank="1" showInputMessage="1" showErrorMessage="1" promptTitle="Pregnant" prompt="Yes or No" sqref="B3">
      <formula1>$C$3:$D$3</formula1>
    </dataValidation>
    <dataValidation type="list" allowBlank="1" showInputMessage="1" showErrorMessage="1" promptTitle="Volume Status?" prompt="Please choose from the list" sqref="G25">
      <formula1>$J$24:$J$30</formula1>
    </dataValidation>
    <dataValidation type="list" allowBlank="1" showInputMessage="1" showErrorMessage="1" sqref="B127:B132">
      <formula1>$C$127:$D$127</formula1>
    </dataValidation>
    <dataValidation type="whole" allowBlank="1" showInputMessage="1" showErrorMessage="1" promptTitle="Personal Best Peak Flow?" prompt="Personal Best in L/min?" sqref="C93">
      <formula1>0</formula1>
      <formula2>2000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74" yWindow="449" count="13">
        <x14:dataValidation type="list" allowBlank="1" showInputMessage="1" showErrorMessage="1" promptTitle="Compelling Indication?" prompt="Choose from the list">
          <x14:formula1>
            <xm:f>Calculations!$S$2:$S$8</xm:f>
          </x14:formula1>
          <xm:sqref>G12</xm:sqref>
        </x14:dataValidation>
        <x14:dataValidation type="list" allowBlank="1" showInputMessage="1" showErrorMessage="1" promptTitle="Race" prompt="Choose from the list">
          <x14:formula1>
            <xm:f>Calculations!$X$2:$X$7</xm:f>
          </x14:formula1>
          <xm:sqref>B4</xm:sqref>
        </x14:dataValidation>
        <x14:dataValidation type="list" allowBlank="1" showInputMessage="1" showErrorMessage="1" promptTitle="ACT quesion 1" prompt="In the past 4 weeks, how much of the time did your asthma keep you from  getting as much done at work, school or at home?">
          <x14:formula1>
            <xm:f>'Adolescent Female Peak Flow'!$A$20:$A$24</xm:f>
          </x14:formula1>
          <xm:sqref>G86</xm:sqref>
        </x14:dataValidation>
        <x14:dataValidation type="list" allowBlank="1" showInputMessage="1" showErrorMessage="1" promptTitle="ACT question 2" prompt="During the past 4 weeks, how often have you had shortness of breath?">
          <x14:formula1>
            <xm:f>'Adolescent Female Peak Flow'!$B$20:$B$24</xm:f>
          </x14:formula1>
          <xm:sqref>G87</xm:sqref>
        </x14:dataValidation>
        <x14:dataValidation type="list" allowBlank="1" showInputMessage="1" showErrorMessage="1" promptTitle="ACT Question 3" prompt="During the past 4 weeks, how often did your asthma symptoms (wheezing, coughing, shortness of breath, chest tightness or pain) wake you up at night or earlier than usual in the morning?">
          <x14:formula1>
            <xm:f>'Adolescent Female Peak Flow'!$C$20:$C$24</xm:f>
          </x14:formula1>
          <xm:sqref>G88</xm:sqref>
        </x14:dataValidation>
        <x14:dataValidation type="list" allowBlank="1" showInputMessage="1" showErrorMessage="1" promptTitle="ACT Question 4" prompt="During the past 4 weeks, how often have you used your rescue inhaler or nebulizer medication (such as albuterol)?">
          <x14:formula1>
            <xm:f>'Adolescent Female Peak Flow'!$D$20:$D$24</xm:f>
          </x14:formula1>
          <xm:sqref>G89</xm:sqref>
        </x14:dataValidation>
        <x14:dataValidation type="list" allowBlank="1" showInputMessage="1" showErrorMessage="1" promptTitle="ACT Question 5" prompt="How would you rate your asthma control during the past 4 weeks?">
          <x14:formula1>
            <xm:f>'Adolescent Female Peak Flow'!$E$20:$E$24</xm:f>
          </x14:formula1>
          <xm:sqref>G90</xm:sqref>
        </x14:dataValidation>
        <x14:dataValidation type="list" allowBlank="1" showInputMessage="1" showErrorMessage="1" promptTitle="Fagerstrom Question 1" prompt="How soon after waking do you smoke your first cigarette?">
          <x14:formula1>
            <xm:f>Calculations!$N$15:$N$18</xm:f>
          </x14:formula1>
          <xm:sqref>B137</xm:sqref>
        </x14:dataValidation>
        <x14:dataValidation type="list" allowBlank="1" showInputMessage="1" showErrorMessage="1" promptTitle="Fagerstrom Question 2" prompt="Do you find it difficult to refrain from smoking in places where it is forbidden? (e.g. Church, Library, etc.)">
          <x14:formula1>
            <xm:f>Calculations!$O$15:$O$16</xm:f>
          </x14:formula1>
          <xm:sqref>B138</xm:sqref>
        </x14:dataValidation>
        <x14:dataValidation type="list" allowBlank="1" showInputMessage="1" showErrorMessage="1" promptTitle="Fagerstrom Question 3" prompt="Which cigarette would you hate to give up?">
          <x14:formula1>
            <xm:f>Calculations!$P$15:$P$16</xm:f>
          </x14:formula1>
          <xm:sqref>B139</xm:sqref>
        </x14:dataValidation>
        <x14:dataValidation type="list" allowBlank="1" showInputMessage="1" showErrorMessage="1" promptTitle="Fagerstrom Question 4" prompt="How many cigarettes a day do you smoke?">
          <x14:formula1>
            <xm:f>Calculations!$Q$15:$Q$18</xm:f>
          </x14:formula1>
          <xm:sqref>B140</xm:sqref>
        </x14:dataValidation>
        <x14:dataValidation type="list" allowBlank="1" showInputMessage="1" showErrorMessage="1" promptTitle="Fagerstrom Question 5" prompt="Do you smoke more frequently in the morning?">
          <x14:formula1>
            <xm:f>Calculations!$O$15:$O$16</xm:f>
          </x14:formula1>
          <xm:sqref>B141</xm:sqref>
        </x14:dataValidation>
        <x14:dataValidation type="list" allowBlank="1" showInputMessage="1" showErrorMessage="1" promptTitle="Fagerstrom Question 6" prompt="Do you smoke even if you are sick in bed most of the day?">
          <x14:formula1>
            <xm:f>Calculations!$O$15:$O$16</xm:f>
          </x14:formula1>
          <xm:sqref>B142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51"/>
  <sheetViews>
    <sheetView topLeftCell="D1" zoomScaleNormal="100" workbookViewId="0">
      <selection activeCell="G2" sqref="G2"/>
    </sheetView>
  </sheetViews>
  <sheetFormatPr defaultRowHeight="15" outlineLevelRow="1"/>
  <cols>
    <col min="1" max="1" width="26" customWidth="1"/>
    <col min="3" max="3" width="48.140625" customWidth="1"/>
    <col min="4" max="4" width="22.140625" customWidth="1"/>
    <col min="6" max="6" width="65.7109375" customWidth="1"/>
    <col min="7" max="11" width="9.140625" customWidth="1"/>
    <col min="12" max="12" width="32.7109375" customWidth="1"/>
    <col min="13" max="21" width="9.140625" customWidth="1"/>
    <col min="22" max="22" width="21.140625" customWidth="1"/>
    <col min="23" max="25" width="9.140625" customWidth="1"/>
    <col min="28" max="29" width="0" hidden="1" customWidth="1"/>
  </cols>
  <sheetData>
    <row r="1" spans="1:25">
      <c r="A1" s="1" t="s">
        <v>2109</v>
      </c>
      <c r="B1" t="s">
        <v>127</v>
      </c>
      <c r="C1" t="s">
        <v>125</v>
      </c>
      <c r="D1" t="s">
        <v>126</v>
      </c>
      <c r="E1" t="s">
        <v>79</v>
      </c>
      <c r="F1" t="s">
        <v>183</v>
      </c>
      <c r="G1" t="s">
        <v>2129</v>
      </c>
      <c r="M1" t="s">
        <v>56</v>
      </c>
      <c r="N1" t="s">
        <v>2147</v>
      </c>
      <c r="O1" t="s">
        <v>2156</v>
      </c>
      <c r="P1" t="s">
        <v>2157</v>
      </c>
      <c r="S1" t="s">
        <v>2187</v>
      </c>
      <c r="T1" t="s">
        <v>2191</v>
      </c>
      <c r="U1" t="s">
        <v>2192</v>
      </c>
      <c r="X1" t="s">
        <v>2203</v>
      </c>
      <c r="Y1" t="s">
        <v>2208</v>
      </c>
    </row>
    <row r="2" spans="1:25" outlineLevel="1">
      <c r="A2" t="s">
        <v>54</v>
      </c>
      <c r="B2" s="5">
        <f>IF('Vitals and Labs'!B2='Vitals and Labs'!C2,50+2.3*('Vitals and Labs'!B7-60),45.5+2.3*('Vitals and Labs'!B7-60))</f>
        <v>84.5</v>
      </c>
      <c r="C2" t="str">
        <f>IF('Vitals and Labs'!B2='Vitals and Labs'!C2,"=50 + 2.3*(height in inches-60)","=45.5+2.3*(Height in inches-60)")</f>
        <v>=50 + 2.3*(height in inches-60)</v>
      </c>
      <c r="D2" t="str">
        <f>IF('Vitals and Labs'!B2='Vitals and Labs'!C2,"=50+2.3*("&amp;TEXT('Vitals and Labs'!B7,"0")&amp;"-60)","=45.5+2.3*("&amp;TEXT('Vitals and Labs'!B7,"0")&amp;"-60)")</f>
        <v>=50+2.3*(75-60)</v>
      </c>
      <c r="E2" t="s">
        <v>132</v>
      </c>
      <c r="F2" t="str">
        <f>"Ideal Body Weight in lbs is: "&amp;B2*2.2&amp;" lbs"</f>
        <v>Ideal Body Weight in lbs is: 185.9 lbs</v>
      </c>
      <c r="G2" s="5" t="str">
        <f>A2&amp;" "&amp;C2&amp;" "&amp;D2&amp;" = "&amp;B2&amp;" "&amp;E2</f>
        <v>IBW =50 + 2.3*(height in inches-60) =50+2.3*(75-60) = 84.5 kg</v>
      </c>
      <c r="M2">
        <v>0</v>
      </c>
      <c r="N2" t="s">
        <v>2148</v>
      </c>
      <c r="O2" t="s">
        <v>2149</v>
      </c>
      <c r="P2" t="s">
        <v>2149</v>
      </c>
      <c r="S2" t="s">
        <v>2188</v>
      </c>
      <c r="T2" t="s">
        <v>2197</v>
      </c>
      <c r="X2" t="s">
        <v>2204</v>
      </c>
      <c r="Y2" t="s">
        <v>2209</v>
      </c>
    </row>
    <row r="3" spans="1:25" outlineLevel="1">
      <c r="A3" t="s">
        <v>55</v>
      </c>
      <c r="B3" s="5">
        <f>(140-Age)*IF(IBW&gt;Weight,Weight,IBW)/(72*IF(SCr="",1,SCr))*IF(Sex="Female",0.85,1)</f>
        <v>58.333333333333336</v>
      </c>
      <c r="C3" t="str">
        <f>IF('Vitals and Labs'!B2='Vitals and Labs'!C2,"=(140-Age)*(IBW)/(S.Cr)(72)","=(140-Age)*(IBW)/(S.Cr)(72)*0.85")</f>
        <v>=(140-Age)*(IBW)/(S.Cr)(72)</v>
      </c>
      <c r="D3" t="str">
        <f>"= "&amp;"(140-"&amp;Age&amp;")*"&amp;IF(IBW&gt;'Vitals and Labs'!C6,'Vitals and Labs'!C6,IBW)&amp;"/(72*"&amp;SCr&amp;")"&amp;IF(Sex="Female","*0.85","")</f>
        <v>= (140-35)*36.3636363636364/(72*2)</v>
      </c>
      <c r="E3" t="s">
        <v>134</v>
      </c>
      <c r="F3" s="4" t="str">
        <f>IF(B3&gt;=90,"Stage 1 CKD",IF(B3&gt;=60,"Stage 2 CKD",IF(B3&gt;=45,"Stage 3a CKD",IF(B3&gt;=30,"Stage 3b",IF(B3&gt;=15,"Stage 4 CKD","Stage 5 CKD")))))</f>
        <v>Stage 3a CKD</v>
      </c>
      <c r="G3" s="5" t="str">
        <f>A3&amp;" "&amp;C3&amp;" "&amp;D3&amp;" = "&amp;ROUND(B3,1)&amp;" "&amp;E3</f>
        <v>CrCl =(140-Age)*(IBW)/(S.Cr)(72) = (140-35)*36.3636363636364/(72*2) = 58.3 mL/min</v>
      </c>
      <c r="M3">
        <v>18.5</v>
      </c>
      <c r="N3" t="s">
        <v>2149</v>
      </c>
      <c r="O3" t="s">
        <v>2149</v>
      </c>
      <c r="P3" t="s">
        <v>2158</v>
      </c>
      <c r="S3" t="s">
        <v>2189</v>
      </c>
      <c r="T3" t="s">
        <v>2198</v>
      </c>
      <c r="U3" t="s">
        <v>2199</v>
      </c>
      <c r="X3" t="s">
        <v>2212</v>
      </c>
      <c r="Y3" t="s">
        <v>2210</v>
      </c>
    </row>
    <row r="4" spans="1:25" ht="17.25" outlineLevel="1">
      <c r="A4" t="s">
        <v>56</v>
      </c>
      <c r="B4" s="5">
        <f>'Vitals and Labs'!C6/('Vitals and Labs'!C7^2)</f>
        <v>10.020222060646141</v>
      </c>
      <c r="C4" s="8" t="s">
        <v>2649</v>
      </c>
      <c r="D4" s="5" t="str">
        <f>"="&amp;"("&amp;TEXT('Vitals and Labs'!C6,"0.00")&amp;")/("&amp;TEXT('Vitals and Labs'!C7,"0.00")&amp;")^2"</f>
        <v>=(36.36)/(1.91)^2</v>
      </c>
      <c r="E4" t="s">
        <v>2648</v>
      </c>
      <c r="F4" s="2" t="str">
        <f>VLOOKUP(BMI,M2:N7,2)</f>
        <v>Underweight</v>
      </c>
      <c r="G4" s="5" t="str">
        <f>A4&amp;" "&amp;C4&amp;" "&amp;D4&amp;" = "&amp;ROUND(B4,2)&amp;" "&amp;E4</f>
        <v>BMI =(weight in kg)/(height in m)^2 =(36.36)/(1.91)^2 = 10.02 kg/m^2</v>
      </c>
      <c r="M4">
        <v>25</v>
      </c>
      <c r="N4" t="s">
        <v>2150</v>
      </c>
      <c r="O4" t="s">
        <v>2158</v>
      </c>
      <c r="P4" t="s">
        <v>166</v>
      </c>
      <c r="S4" t="s">
        <v>2195</v>
      </c>
      <c r="T4" t="s">
        <v>2200</v>
      </c>
      <c r="U4" t="s">
        <v>2193</v>
      </c>
      <c r="X4" t="s">
        <v>2205</v>
      </c>
    </row>
    <row r="5" spans="1:25" outlineLevel="1">
      <c r="A5" t="s">
        <v>57</v>
      </c>
      <c r="B5" s="5">
        <f>2*'Vitals and Labs'!B25+'Vitals and Labs'!B29/2.8+'Vitals and Labs'!B31/18</f>
        <v>302.30158730158729</v>
      </c>
      <c r="C5" t="str">
        <f>"= 2[Na+] + BUN/2.8 + Glucose/18 "</f>
        <v xml:space="preserve">= 2[Na+] + BUN/2.8 + Glucose/18 </v>
      </c>
      <c r="D5" t="str">
        <f>"=2*"&amp;TEXT('Vitals and Labs'!B25,"0")&amp;"+"&amp;TEXT('Vitals and Labs'!B29,"0")&amp;"/2.8 +"&amp;TEXT('Vitals and Labs'!B31,"0")&amp;"/18"</f>
        <v>=2*140+50/2.8 +80/18</v>
      </c>
      <c r="E5" t="s">
        <v>113</v>
      </c>
      <c r="F5" t="str">
        <f>IF(B5&lt;280,"Hypo-osmolar",IF(B5&lt;300,"Iso-osmolar","Hyper-osmolar"))</f>
        <v>Hyper-osmolar</v>
      </c>
      <c r="G5" s="5" t="str">
        <f>A5&amp;" "&amp;C5&amp;" "&amp;D5&amp;" = "&amp;ROUND(B5,1)&amp;" "&amp;E5</f>
        <v>Serum Osmolality = 2[Na+] + BUN/2.8 + Glucose/18  =2*140+50/2.8 +80/18 = 302.3 mOsm/kg</v>
      </c>
      <c r="M5">
        <v>30</v>
      </c>
      <c r="N5" t="s">
        <v>2151</v>
      </c>
      <c r="O5" t="s">
        <v>166</v>
      </c>
      <c r="P5" t="s">
        <v>2159</v>
      </c>
      <c r="S5" t="s">
        <v>2202</v>
      </c>
      <c r="T5" t="s">
        <v>2194</v>
      </c>
      <c r="U5" t="str">
        <f>IF(CrCl&lt;30,"Thiazide Contraindicated b/c CrCl&lt;30 mL/min","Thiazide Diuretic")</f>
        <v>Thiazide Diuretic</v>
      </c>
      <c r="X5" t="s">
        <v>2206</v>
      </c>
    </row>
    <row r="6" spans="1:25" outlineLevel="1">
      <c r="A6" t="s">
        <v>58</v>
      </c>
      <c r="B6" s="5">
        <f>'Vitals and Labs'!B25-('Vitals and Labs'!B27+'Vitals and Labs'!B28)</f>
        <v>4</v>
      </c>
      <c r="C6" t="str">
        <f>"= [Na+] – [Cl- + CO2-]"</f>
        <v>= [Na+] – [Cl- + CO2-]</v>
      </c>
      <c r="D6" t="str">
        <f>"="&amp;TEXT('Vitals and Labs'!B25,"0")&amp;"-("&amp;TEXT('Vitals and Labs'!B27,"0")&amp;"+"&amp;TEXT('Vitals and Labs'!B28,"0")&amp;")"</f>
        <v>=140-(110+26)</v>
      </c>
      <c r="E6" t="s">
        <v>85</v>
      </c>
      <c r="F6" t="str">
        <f>IF(B6&gt;12,"Elevated","Normal")</f>
        <v>Normal</v>
      </c>
      <c r="G6" s="5" t="str">
        <f t="shared" ref="G6:G15" si="0">A6&amp;" "&amp;C6&amp;" "&amp;D6&amp;" = "&amp;B6&amp;" "&amp;E6</f>
        <v>Anion Gap = [Na+] – [Cl- + CO2-] =140-(110+26) = 4 mEq/L</v>
      </c>
      <c r="M6">
        <v>35</v>
      </c>
      <c r="N6" t="s">
        <v>2152</v>
      </c>
      <c r="O6" t="s">
        <v>2159</v>
      </c>
      <c r="P6" t="s">
        <v>2159</v>
      </c>
      <c r="S6" t="s">
        <v>2201</v>
      </c>
      <c r="T6" t="str">
        <f>IF(CrCl&lt;30,"Loop Diuretic b/c CrCl&lt;30","Thiazide Diuretic")</f>
        <v>Thiazide Diuretic</v>
      </c>
      <c r="X6" t="s">
        <v>2207</v>
      </c>
    </row>
    <row r="7" spans="1:25" ht="15.75" outlineLevel="1">
      <c r="A7" t="s">
        <v>59</v>
      </c>
      <c r="B7" s="5">
        <f>IF('Vitals and Labs'!B37&lt;4,'Vitals and Labs'!B33+0.8*(4-'Vitals and Labs'!B37),'Vitals and Labs'!B33)</f>
        <v>3.2</v>
      </c>
      <c r="C7" s="3" t="str">
        <f>"= measured [Ca2+] + (0.8)(4.0 – measured albumin)"</f>
        <v>= measured [Ca2+] + (0.8)(4.0 – measured albumin)</v>
      </c>
      <c r="D7" t="str">
        <f>"="&amp;TEXT('Vitals and Labs'!B33,"0.00")&amp;"+(0.8)*(4.0-"&amp;TEXT('Vitals and Labs'!B37,"0.00")&amp;")"</f>
        <v>=0.00+(0.8)*(4.0-0.00)</v>
      </c>
      <c r="E7" t="s">
        <v>86</v>
      </c>
      <c r="F7" t="str">
        <f>IF(CrCl&gt;15,IF(B7&lt;8.5,"hypocalcemia",IF(B7&gt;10.5,"hypercalcemia","normocalcemia")),IF(B7&lt;8.4,"Hypocalcemia",IF(B7&gt;9.5,"Hypercalcemia","Normocalcemia")))</f>
        <v>hypocalcemia</v>
      </c>
      <c r="G7" s="5" t="str">
        <f t="shared" si="0"/>
        <v>Corrected Calcium = measured [Ca2+] + (0.8)(4.0 – measured albumin) =0.00+(0.8)*(4.0-0.00) = 3.2 mg/dL</v>
      </c>
      <c r="M7">
        <v>40</v>
      </c>
      <c r="N7" t="s">
        <v>2153</v>
      </c>
      <c r="O7" t="s">
        <v>2160</v>
      </c>
      <c r="P7" t="s">
        <v>2160</v>
      </c>
      <c r="S7" t="s">
        <v>2190</v>
      </c>
      <c r="X7" t="s">
        <v>2211</v>
      </c>
    </row>
    <row r="8" spans="1:25" outlineLevel="1">
      <c r="A8" t="s">
        <v>63</v>
      </c>
      <c r="B8" s="5">
        <f>B7*'Vitals and Labs'!B35</f>
        <v>0</v>
      </c>
      <c r="C8" t="str">
        <f>"= [Corrected Ca2+] x [P]"</f>
        <v>= [Corrected Ca2+] x [P]</v>
      </c>
      <c r="D8" t="str">
        <f>"="&amp;TEXT(B7,"0.0")&amp;"*"&amp;TEXT('Vitals and Labs'!B35,"0.0")</f>
        <v>=3.2*0.0</v>
      </c>
      <c r="E8" t="s">
        <v>135</v>
      </c>
      <c r="F8" s="4" t="s">
        <v>184</v>
      </c>
      <c r="G8" s="5" t="str">
        <f t="shared" si="0"/>
        <v>Calcium-Phosphate Product = [Corrected Ca2+] x [P] =3.2*0.0 = 0 mg^2/dL^2</v>
      </c>
      <c r="S8" t="s">
        <v>42</v>
      </c>
      <c r="T8" t="s">
        <v>2194</v>
      </c>
      <c r="U8" t="s">
        <v>2196</v>
      </c>
    </row>
    <row r="9" spans="1:25" outlineLevel="1">
      <c r="A9" t="s">
        <v>64</v>
      </c>
      <c r="B9" s="5">
        <f>'Vitals and Labs'!B12-'Vitals and Labs'!B13</f>
        <v>35</v>
      </c>
      <c r="C9" t="str">
        <f>"=SBP-DBP"</f>
        <v>=SBP-DBP</v>
      </c>
      <c r="D9" t="str">
        <f>"="&amp;TEXT('Vitals and Labs'!B12,"0")&amp;"-"&amp;TEXT('Vitals and Labs'!B13,"0")</f>
        <v>=85-50</v>
      </c>
      <c r="E9" t="s">
        <v>80</v>
      </c>
      <c r="G9" s="5" t="str">
        <f t="shared" si="0"/>
        <v>Pulse Pressure =SBP-DBP =85-50 = 35 mmHg</v>
      </c>
    </row>
    <row r="10" spans="1:25" outlineLevel="1">
      <c r="A10" t="s">
        <v>128</v>
      </c>
      <c r="B10" s="5">
        <f>'Vitals and Labs'!B13+Calculations!B9/3</f>
        <v>61.666666666666664</v>
      </c>
      <c r="C10" t="str">
        <f>"=DBP+Pulse Pressure/3"</f>
        <v>=DBP+Pulse Pressure/3</v>
      </c>
      <c r="D10" t="str">
        <f>"="&amp;TEXT('Vitals and Labs'!B13,"0")&amp;"+"&amp;TEXT(B9,"0")&amp;"/3"</f>
        <v>=50+35/3</v>
      </c>
      <c r="E10" t="s">
        <v>80</v>
      </c>
      <c r="F10" t="str">
        <f>IF(B10&lt;60,"hypotension, possible SIRS/Sepsis","")</f>
        <v/>
      </c>
      <c r="G10" s="5" t="str">
        <f>A10&amp;" "&amp;C10&amp;" "&amp;D10&amp;" = "&amp;ROUND(B10,1)&amp;" "&amp;E10</f>
        <v>Mean Arterial Pressure =DBP+Pulse Pressure/3 =50+35/3 = 61.7 mmHg</v>
      </c>
    </row>
    <row r="11" spans="1:25" outlineLevel="1">
      <c r="A11" t="s">
        <v>65</v>
      </c>
      <c r="B11" s="5">
        <f>'Vitals and Labs'!B14*'Vitals and Labs'!B12</f>
        <v>9350</v>
      </c>
      <c r="C11" t="str">
        <f>"=(HR) x (SBP)"</f>
        <v>=(HR) x (SBP)</v>
      </c>
      <c r="D11" t="str">
        <f>"="&amp;TEXT('Vitals and Labs'!B14,"0")&amp;"*"&amp;TEXT('Vitals and Labs'!B12,"0")</f>
        <v>=110*85</v>
      </c>
      <c r="E11" t="s">
        <v>136</v>
      </c>
      <c r="G11" s="5" t="str">
        <f t="shared" si="0"/>
        <v>Double Product =(HR) x (SBP) =110*85 = 9350 mmHg*beats/min</v>
      </c>
    </row>
    <row r="12" spans="1:25" outlineLevel="1">
      <c r="A12" t="s">
        <v>66</v>
      </c>
      <c r="B12" s="5">
        <f>'Vitals and Labs'!B29/'Vitals and Labs'!B30</f>
        <v>25</v>
      </c>
      <c r="C12" t="str">
        <f>"=BUN / SCr"</f>
        <v>=BUN / SCr</v>
      </c>
      <c r="D12" t="str">
        <f>"="&amp;TEXT('Vitals and Labs'!B29,"0.00")&amp;"/"&amp;TEXT('Vitals and Labs'!B30,"0.00")</f>
        <v>=50.00/2.00</v>
      </c>
      <c r="E12" t="s">
        <v>96</v>
      </c>
      <c r="G12" s="5" t="str">
        <f t="shared" si="0"/>
        <v>BUN:SCr Ratio =BUN / SCr =50.00/2.00 = 25 N/A</v>
      </c>
    </row>
    <row r="13" spans="1:25" outlineLevel="1">
      <c r="A13" t="s">
        <v>137</v>
      </c>
      <c r="B13" s="5">
        <f>'Vitals and Labs'!B39-'Vitals and Labs'!B40-'Vitals and Labs'!B41/5</f>
        <v>0</v>
      </c>
      <c r="C13" t="str">
        <f>"=Total Cholesterol-HDL-TG/5"</f>
        <v>=Total Cholesterol-HDL-TG/5</v>
      </c>
      <c r="D13" t="str">
        <f>"="&amp;TEXT('Vitals and Labs'!B39,"0")&amp;"-"&amp;TEXT('Vitals and Labs'!B40,"0")&amp;"-"&amp;TEXT('Vitals and Labs'!B41,"0")&amp;"/5"</f>
        <v>=0-0-0/5</v>
      </c>
      <c r="E13" t="s">
        <v>86</v>
      </c>
      <c r="F13" t="str">
        <f>IF(B13&gt;189,"Very High",IF(B13&gt;159,"High",IF(B13&gt;129,"Borderline High",IF(B13&gt;100,"Near Optimal","Optimal"))))</f>
        <v>Optimal</v>
      </c>
      <c r="G13" s="5" t="str">
        <f t="shared" si="0"/>
        <v>LDL Cholesterol =Total Cholesterol-HDL-TG/5 =0-0-0/5 = 0 mg/dL</v>
      </c>
    </row>
    <row r="14" spans="1:25" outlineLevel="1">
      <c r="A14" t="s">
        <v>141</v>
      </c>
      <c r="B14" s="5">
        <f>'Vitals and Labs'!B43*'Vitals and Labs'!B44/100</f>
        <v>14725</v>
      </c>
      <c r="C14" t="str">
        <f>"=WBC * % neutrophils"</f>
        <v>=WBC * % neutrophils</v>
      </c>
      <c r="D14" t="str">
        <f>"="&amp;TEXT('Vitals and Labs'!B43,"0")&amp;"*"&amp;TEXT('Vitals and Labs'!B44,"0")&amp;"/100"</f>
        <v>=15500*95/100</v>
      </c>
      <c r="E14" t="s">
        <v>185</v>
      </c>
      <c r="G14" s="5" t="str">
        <f t="shared" si="0"/>
        <v>Serum Absolute Neutrophil Count =WBC * % neutrophils =15500*95/100 = 14725 Cells/mm^3</v>
      </c>
      <c r="M14" t="s">
        <v>2615</v>
      </c>
      <c r="N14" t="s">
        <v>2587</v>
      </c>
      <c r="O14" t="s">
        <v>2606</v>
      </c>
      <c r="P14" t="s">
        <v>2607</v>
      </c>
      <c r="Q14" t="s">
        <v>2608</v>
      </c>
      <c r="R14" t="s">
        <v>2460</v>
      </c>
      <c r="T14" t="s">
        <v>2260</v>
      </c>
      <c r="U14" t="s">
        <v>2628</v>
      </c>
    </row>
    <row r="15" spans="1:25" outlineLevel="1">
      <c r="A15" t="s">
        <v>142</v>
      </c>
      <c r="B15">
        <f>'Vitals and Labs'!B134*'Vitals and Labs'!B135</f>
        <v>0</v>
      </c>
      <c r="C15" t="str">
        <f>"=(Packs smoked per day )* (Years of smoking)"</f>
        <v>=(Packs smoked per day )* (Years of smoking)</v>
      </c>
      <c r="D15" t="str">
        <f>"="&amp;'Vitals and Labs'!B134&amp;"*"&amp;'Vitals and Labs'!B135</f>
        <v>=*</v>
      </c>
      <c r="E15" t="s">
        <v>186</v>
      </c>
      <c r="G15" s="5" t="str">
        <f t="shared" si="0"/>
        <v>Tobacco Pack Years =(Packs smoked per day )* (Years of smoking) =* = 0 Pack-Years</v>
      </c>
      <c r="N15" t="s">
        <v>2639</v>
      </c>
      <c r="O15" t="s">
        <v>2620</v>
      </c>
      <c r="P15" t="s">
        <v>2622</v>
      </c>
      <c r="Q15" t="s">
        <v>2623</v>
      </c>
      <c r="R15">
        <v>0</v>
      </c>
      <c r="T15">
        <v>0</v>
      </c>
      <c r="U15" t="s">
        <v>2629</v>
      </c>
    </row>
    <row r="16" spans="1:25">
      <c r="A16" s="1" t="s">
        <v>67</v>
      </c>
      <c r="N16" t="s">
        <v>2617</v>
      </c>
      <c r="O16" t="s">
        <v>2619</v>
      </c>
      <c r="P16" t="s">
        <v>2621</v>
      </c>
      <c r="Q16" t="s">
        <v>2624</v>
      </c>
      <c r="R16">
        <v>1</v>
      </c>
      <c r="T16">
        <v>3</v>
      </c>
      <c r="U16" t="s">
        <v>2630</v>
      </c>
    </row>
    <row r="17" spans="1:21" outlineLevel="1">
      <c r="A17" t="s">
        <v>60</v>
      </c>
      <c r="B17">
        <f>(('Vitals and Labs'!B46/45)*'Vitals and Labs'!B67)/'Vitals and Labs'!C75</f>
        <v>0</v>
      </c>
      <c r="C17" t="str">
        <f>"=[(Hct/45) * Retic] / maturation factor"</f>
        <v>=[(Hct/45) * Retic] / maturation factor</v>
      </c>
      <c r="D17" t="str">
        <f>"=[("&amp;TEXT('Vitals and Labs'!B46,"0")&amp;"/45)*"&amp;TEXT('Vitals and Labs'!B67,"0")&amp;"]/"&amp;TEXT('Vitals and Labs'!C75,"0")</f>
        <v>=[(45/45)*0]/1</v>
      </c>
      <c r="E17" t="s">
        <v>96</v>
      </c>
      <c r="F17" t="str">
        <f>IF(AND(OR(Hgb&lt;12,Hct&lt;36),RPI&lt;2.5),IF(AND(MCV&gt;80,MCV&lt;100),"Hypoproliferative","Ineffective erythropoiesis"),"Hyperproliferative")</f>
        <v>Hyperproliferative</v>
      </c>
      <c r="G17" s="5" t="str">
        <f>A17&amp;" "&amp;C17&amp;" "&amp;D17&amp;" = "&amp;B17</f>
        <v>RPI =[(Hct/45) * Retic] / maturation factor =[(45/45)*0]/1 = 0</v>
      </c>
      <c r="N17" t="s">
        <v>2618</v>
      </c>
      <c r="Q17" t="s">
        <v>2625</v>
      </c>
      <c r="R17">
        <v>2</v>
      </c>
      <c r="T17">
        <v>5</v>
      </c>
      <c r="U17" t="s">
        <v>2631</v>
      </c>
    </row>
    <row r="18" spans="1:21" outlineLevel="1">
      <c r="A18" t="s">
        <v>62</v>
      </c>
      <c r="B18" t="str">
        <f>IF(OR('Vitals and Labs'!B70&gt;0,'Vitals and Labs'!B72&gt;0),'Vitals and Labs'!B70/'Vitals and Labs'!B72*100,"")</f>
        <v/>
      </c>
      <c r="C18" t="str">
        <f>"= Serum Fe / TIBC x 100"</f>
        <v>= Serum Fe / TIBC x 100</v>
      </c>
      <c r="D18" t="str">
        <f>"="&amp;TEXT('Vitals and Labs'!B70,"0")&amp;"/"&amp;TEXT('Vitals and Labs'!B72,"0")&amp;"*100"</f>
        <v>=0/0*100</v>
      </c>
      <c r="E18" t="s">
        <v>83</v>
      </c>
      <c r="G18" s="5" t="str">
        <f>A18&amp;" "&amp;C18&amp;" "&amp;D18&amp;" = "&amp;B18&amp;" "&amp;E18</f>
        <v>TSAT = Serum Fe / TIBC x 100 =0/0*100 =  %</v>
      </c>
      <c r="N18" t="s">
        <v>2616</v>
      </c>
      <c r="Q18" t="s">
        <v>2626</v>
      </c>
      <c r="R18">
        <v>3</v>
      </c>
      <c r="T18">
        <v>8</v>
      </c>
      <c r="U18" t="s">
        <v>2632</v>
      </c>
    </row>
    <row r="19" spans="1:21">
      <c r="A19" s="1" t="s">
        <v>2110</v>
      </c>
    </row>
    <row r="20" spans="1:21" outlineLevel="1">
      <c r="A20" t="s">
        <v>123</v>
      </c>
      <c r="B20">
        <f>'Vitals and Labs'!B83/'Vitals and Labs'!B12</f>
        <v>0</v>
      </c>
      <c r="C20" t="str">
        <f>"=Ankle Systolic Pressure/ Brachial Systolic Pressure"</f>
        <v>=Ankle Systolic Pressure/ Brachial Systolic Pressure</v>
      </c>
      <c r="D20" t="str">
        <f>"="&amp;TEXT('Vitals and Labs'!B83,"0")&amp;"/"&amp;TEXT('Vitals and Labs'!B12,"0")</f>
        <v>=0/85</v>
      </c>
      <c r="E20" t="s">
        <v>96</v>
      </c>
      <c r="F20" t="str">
        <f>IF(B20&lt;0.9,"Consistent with PAD","")</f>
        <v>Consistent with PAD</v>
      </c>
      <c r="G20" s="5" t="str">
        <f>A20&amp;" "&amp;C20&amp;" "&amp;D20&amp;" = "&amp;ROUND(B20,2)</f>
        <v>ABI =Ankle Systolic Pressure/ Brachial Systolic Pressure =0/85 = 0</v>
      </c>
    </row>
    <row r="21" spans="1:21">
      <c r="A21" s="1" t="s">
        <v>138</v>
      </c>
    </row>
    <row r="22" spans="1:21" outlineLevel="1">
      <c r="A22" t="s">
        <v>139</v>
      </c>
      <c r="B22">
        <f>'Vitals and Labs'!B37-'Vitals and Labs'!B49</f>
        <v>0</v>
      </c>
      <c r="C22" t="str">
        <f>"=Serum Albumin - Peritoneal Albumin"</f>
        <v>=Serum Albumin - Peritoneal Albumin</v>
      </c>
      <c r="D22" t="str">
        <f>"="&amp;TEXT('Vitals and Labs'!B37,"0")&amp;"-"&amp;TEXT('Vitals and Labs'!B49,"0")</f>
        <v>=0-0</v>
      </c>
      <c r="E22" t="s">
        <v>87</v>
      </c>
      <c r="F22" t="str">
        <f>IF(B22&gt;1.1,"consistent with portal HTN","NOT portal HTN")</f>
        <v>NOT portal HTN</v>
      </c>
      <c r="G22" s="5" t="str">
        <f>A22&amp;" "&amp;C22&amp;" "&amp;D22&amp;" = "&amp;B22&amp;" "&amp;E22</f>
        <v>SAAG =Serum Albumin - Peritoneal Albumin =0-0 = 0 g/dL</v>
      </c>
    </row>
    <row r="23" spans="1:21" outlineLevel="1">
      <c r="A23" s="2" t="s">
        <v>140</v>
      </c>
      <c r="B23">
        <f>'Vitals and Labs'!B50*'Vitals and Labs'!B51/100</f>
        <v>0</v>
      </c>
      <c r="C23" t="str">
        <f>"=Peritoneal WBC * % neutrophils"</f>
        <v>=Peritoneal WBC * % neutrophils</v>
      </c>
      <c r="D23" t="str">
        <f>"="&amp;TEXT('Vitals and Labs'!B50,"0")&amp;"*"&amp;TEXT('Vitals and Labs'!B51,"0")&amp;"/100"</f>
        <v>=0*0/100</v>
      </c>
      <c r="E23" t="s">
        <v>185</v>
      </c>
      <c r="F23" t="str">
        <f>IF(B23&gt;249,"consistent with peritonitis","")</f>
        <v/>
      </c>
      <c r="G23" s="5" t="str">
        <f>A23&amp;" "&amp;C23&amp;" "&amp;D23&amp;" = "&amp;B23&amp;" "&amp;E23</f>
        <v>Peritoneal PMNs =Peritoneal WBC * % neutrophils =0*0/100 = 0 Cells/mm^3</v>
      </c>
    </row>
    <row r="24" spans="1:21" outlineLevel="1">
      <c r="A24" s="2" t="s">
        <v>147</v>
      </c>
      <c r="B24">
        <f>'Vitals and Labs'!B56/'Vitals and Labs'!D56</f>
        <v>0</v>
      </c>
      <c r="C24" t="str">
        <f>"=AST/ULN"</f>
        <v>=AST/ULN</v>
      </c>
      <c r="D24" t="str">
        <f>"="&amp;TEXT('Vitals and Labs'!B56,"0")&amp;"/"&amp;TEXT('Vitals and Labs'!D56,"0")</f>
        <v>=0/35</v>
      </c>
      <c r="E24" t="s">
        <v>96</v>
      </c>
      <c r="G24" s="5" t="str">
        <f>A24&amp;" "&amp;C24&amp;" "&amp;D24&amp;" = "&amp;B24</f>
        <v>AST/ULN =AST/ULN =0/35 = 0</v>
      </c>
    </row>
    <row r="25" spans="1:21" outlineLevel="1">
      <c r="A25" s="2" t="s">
        <v>148</v>
      </c>
      <c r="B25">
        <f>'Vitals and Labs'!B57/'Vitals and Labs'!D57</f>
        <v>0</v>
      </c>
      <c r="C25" t="str">
        <f>"=ALT/ULN"</f>
        <v>=ALT/ULN</v>
      </c>
      <c r="D25" t="str">
        <f>"="&amp;TEXT('Vitals and Labs'!B57,"0")&amp;"/"&amp;TEXT('Vitals and Labs'!D57,"0")</f>
        <v>=0/35</v>
      </c>
      <c r="E25" t="s">
        <v>96</v>
      </c>
      <c r="G25" t="s">
        <v>27</v>
      </c>
      <c r="H25" t="s">
        <v>159</v>
      </c>
      <c r="I25" t="s">
        <v>30</v>
      </c>
      <c r="J25" t="s">
        <v>160</v>
      </c>
      <c r="K25" t="s">
        <v>161</v>
      </c>
    </row>
    <row r="26" spans="1:21" outlineLevel="1">
      <c r="A26" s="2" t="s">
        <v>149</v>
      </c>
      <c r="B26">
        <f>SUM(G26:K26)</f>
        <v>5</v>
      </c>
      <c r="C26" t="str">
        <f>"=Tbili,albumin,INR,Ascites,Encephalopathy"</f>
        <v>=Tbili,albumin,INR,Ascites,Encephalopathy</v>
      </c>
      <c r="E26" t="s">
        <v>187</v>
      </c>
      <c r="G26">
        <f>IF('Vitals and Labs'!B53&lt;2,1,IF('Vitals and Labs'!B53&lt;3,2,3))</f>
        <v>1</v>
      </c>
      <c r="H26">
        <f>IF('Vitals and Labs'!B37&lt;2.8,1,IF('Vitals and Labs'!B37&lt;3.5,2,3))</f>
        <v>1</v>
      </c>
      <c r="I26">
        <f>IF('Vitals and Labs'!B58&lt;1.7,1,IF('Vitals and Labs'!B53&lt;2.3,2,3))</f>
        <v>1</v>
      </c>
      <c r="J26">
        <f>IF('Vitals and Labs'!B63&lt;1,1,IF('Vitals and Labs'!B63&lt;2,2,3))</f>
        <v>1</v>
      </c>
      <c r="K26">
        <f>IF('Vitals and Labs'!B62&lt;1,1,IF('Vitals and Labs'!B62&lt;3,2,3))</f>
        <v>1</v>
      </c>
    </row>
    <row r="27" spans="1:21" outlineLevel="1">
      <c r="A27" s="2" t="s">
        <v>163</v>
      </c>
      <c r="B27" t="str">
        <f>IF(B26&lt;7,"Grade A",IF(B26&lt;10,"Grade B","Grade C"))</f>
        <v>Grade A</v>
      </c>
    </row>
    <row r="28" spans="1:21">
      <c r="A28" s="1" t="s">
        <v>143</v>
      </c>
    </row>
    <row r="29" spans="1:21" outlineLevel="1">
      <c r="A29" s="2" t="s">
        <v>2236</v>
      </c>
      <c r="B29">
        <f>IF(OR(Age&lt;=18,AND(Sex='Vitals and Labs'!C2,Age&lt;70)),0.6,IF(OR(AND(Sex='Vitals and Labs'!C2,Age&gt;=70),AND(Sex='Vitals and Labs'!D2,Age&lt;70)),0.5,0.45))</f>
        <v>0.6</v>
      </c>
      <c r="E29" t="s">
        <v>2237</v>
      </c>
    </row>
    <row r="30" spans="1:21" outlineLevel="1">
      <c r="A30" s="2" t="s">
        <v>144</v>
      </c>
      <c r="B30">
        <f>B29*'Vitals and Labs'!C6*(Na/140-1)</f>
        <v>0</v>
      </c>
      <c r="C30" t="str">
        <f>"=(Weight)(%TBW)((serum Na/140)  -   1)"</f>
        <v>=(Weight)(%TBW)((serum Na/140)  -   1)</v>
      </c>
      <c r="D30" t="str">
        <f>"="&amp;B29&amp;"*"&amp;ROUND('Vitals and Labs'!C6,1)&amp;"*("&amp;Na&amp;"/140-1)"</f>
        <v>=0.6*36.4*(140/140-1)</v>
      </c>
      <c r="E30" t="s">
        <v>2235</v>
      </c>
      <c r="G30" s="5" t="str">
        <f>A30&amp;" "&amp;C30&amp;" "&amp;D30&amp;" = "&amp;B30&amp;" "&amp;E30</f>
        <v>Free H20 deficit =(Weight)(%TBW)((serum Na/140)  -   1) =0.6*36.4*(140/140-1) = 0 L</v>
      </c>
    </row>
    <row r="31" spans="1:21" outlineLevel="1">
      <c r="A31" s="2" t="s">
        <v>145</v>
      </c>
      <c r="B31" t="e">
        <f>('Vitals and Labs'!B110/'Vitals and Labs'!B25)/('Vitals and Labs'!B109/'Vitals and Labs'!B30)*100</f>
        <v>#DIV/0!</v>
      </c>
      <c r="C31" t="str">
        <f>"=(UNa/SNa)/(UCr/SCr)*100"</f>
        <v>=(UNa/SNa)/(UCr/SCr)*100</v>
      </c>
      <c r="D31" t="str">
        <f>"=("&amp;TEXT('Vitals and Labs'!B110,"0")&amp;"/"&amp;TEXT('Vitals and Labs'!B25,"0")&amp;")/("&amp;TEXT('Vitals and Labs'!B109,"0")&amp;"/"&amp;TEXT('Vitals and Labs'!B30,"0")&amp;")*100"</f>
        <v>=(0/140)/(0/2)*100</v>
      </c>
      <c r="E31" t="s">
        <v>96</v>
      </c>
      <c r="G31" s="5" t="e">
        <f>A31&amp;" "&amp;C31&amp;" "&amp;D31&amp;" = "&amp;B31&amp;" "&amp;E31</f>
        <v>#DIV/0!</v>
      </c>
    </row>
    <row r="32" spans="1:21" outlineLevel="1">
      <c r="A32" s="2" t="s">
        <v>146</v>
      </c>
      <c r="B32">
        <f>IF('Vitals and Labs'!B31&gt;100,'Vitals and Labs'!B25+1.6*('Vitals and Labs'!B31-100)/100,'Vitals and Labs'!B25)</f>
        <v>140</v>
      </c>
      <c r="C32" t="str">
        <f>"=[Measured Na+] + (1.6 mEq/L)(Measured BS – 100)/ (100 mg/dL)"</f>
        <v>=[Measured Na+] + (1.6 mEq/L)(Measured BS – 100)/ (100 mg/dL)</v>
      </c>
      <c r="D32" t="str">
        <f>"="&amp;TEXT('Vitals and Labs'!B25,"0")&amp;"+(1.6)*("&amp;TEXT('Vitals and Labs'!B31,"0")&amp;"-100)/(100)"</f>
        <v>=140+(1.6)*(80-100)/(100)</v>
      </c>
      <c r="E32" t="s">
        <v>85</v>
      </c>
      <c r="G32" s="5" t="str">
        <f>A32&amp;" "&amp;C32&amp;" "&amp;D32&amp;" = "&amp;B32&amp;" "&amp;E32</f>
        <v>Corrected Sodium =[Measured Na+] + (1.6 mEq/L)(Measured BS – 100)/ (100 mg/dL) =140+(1.6)*(80-100)/(100) = 140 mEq/L</v>
      </c>
    </row>
    <row r="33" spans="1:29" outlineLevel="1">
      <c r="A33" s="2" t="s">
        <v>2259</v>
      </c>
      <c r="B33">
        <f>B29*'Vitals and Labs'!C6*(140-Na)</f>
        <v>0</v>
      </c>
      <c r="C33" t="str">
        <f>"=%TBW*(weight in kg)*(Desired Sodium-Serum Sodium)"</f>
        <v>=%TBW*(weight in kg)*(Desired Sodium-Serum Sodium)</v>
      </c>
      <c r="D33" t="str">
        <f>"="&amp;B29&amp;"*"&amp;ROUND('Vitals and Labs'!C6,1)&amp;"*(140-"&amp;Na&amp;")"</f>
        <v>=0.6*36.4*(140-140)</v>
      </c>
      <c r="E33" t="s">
        <v>2238</v>
      </c>
      <c r="G33" s="5" t="str">
        <f>A33&amp;" "&amp;C33&amp;" "&amp;D33&amp;" = "&amp;ROUND(B33,1)&amp;" "&amp;E33</f>
        <v>Na Deficit (to 140 mEq/L) =%TBW*(weight in kg)*(Desired Sodium-Serum Sodium) =0.6*36.4*(140-140) = 0 mEq</v>
      </c>
    </row>
    <row r="34" spans="1:29" outlineLevel="1">
      <c r="A34" s="2" t="s">
        <v>2241</v>
      </c>
      <c r="B34" t="e">
        <f>('Vitals and Labs'!B115/K)/('Vitals and Labs'!B111/Serum_Osmolality)</f>
        <v>#DIV/0!</v>
      </c>
      <c r="C34" t="str">
        <f>"=(Urine K/Serum K)/(Urine Osmolality/Serum Osmolality)"</f>
        <v>=(Urine K/Serum K)/(Urine Osmolality/Serum Osmolality)</v>
      </c>
      <c r="D34" t="str">
        <f>"=("&amp;'Vitals and Labs'!B115&amp;"/"&amp;K&amp;")/("&amp;'Vitals and Labs'!B111&amp;"/"&amp;Serum_Osmolality&amp;")"</f>
        <v>=(/6.5)/(/302.301587301587)</v>
      </c>
      <c r="E34" t="s">
        <v>85</v>
      </c>
      <c r="F34" t="e">
        <f>IF(K&gt;5,IF(B34&lt;6,"Renal Etiology of Hyperkalemia",IF(B34&gt;8,"Extra-renal source of Hyperkalemia","normal TTKG")),IF(K&lt;3.5,IF(B34&gt;3,"Renal Source of hypokalemia","Extra-Renal source of Hypokalemia"),"Normokalemia"))&amp;IF(B34&gt;3,", Wasting K+",", Conserving K+")</f>
        <v>#DIV/0!</v>
      </c>
      <c r="G34" s="5" t="e">
        <f>A34&amp;" "&amp;C34&amp;" "&amp;D34&amp;" = "&amp;B34&amp;" "&amp;E34</f>
        <v>#DIV/0!</v>
      </c>
    </row>
    <row r="35" spans="1:29" outlineLevel="1">
      <c r="A35" s="2" t="s">
        <v>2247</v>
      </c>
      <c r="B35" s="23">
        <f>ROUND(1500+(20*('Vitals and Labs'!C6-20)),-1)</f>
        <v>1830</v>
      </c>
      <c r="C35" t="str">
        <f>"=1500+(20*(Weight in kilos-20))"</f>
        <v>=1500+(20*(Weight in kilos-20))</v>
      </c>
      <c r="D35" t="str">
        <f>"=1500+(20*("&amp;ROUND('Vitals and Labs'!C6,1)&amp;"-20))"</f>
        <v>=1500+(20*(36.4-20))</v>
      </c>
      <c r="E35" t="s">
        <v>2250</v>
      </c>
      <c r="F35" t="str">
        <f>IF(OR('Vitals and Labs'!G25='Vitals and Labs'!J24,'Vitals and Labs'!G25='Vitals and Labs'!J25,'Vitals and Labs'!G25='Vitals and Labs'!J26),IF(AND(SBP&gt;90,DBP&gt;60,HR&lt;=120),IF(Na&gt;145,"Use 1/2 NS, 1/4 NS or D5W",IF(Na&lt;135,"Use Normal Saline","Use Normal Saline or 1/2 Normal Saline ")),"Use Normal Saline"),"")&amp;IF('Vitals and Labs'!G25='Vitals and Labs'!J24," at 1-2x BFR: "&amp;B35&amp;" to "&amp;B35*2&amp;" "&amp;E35,IF('Vitals and Labs'!G25='Vitals and Labs'!J25," at 2-3x BFR: "&amp;B35*2&amp;" to "&amp;B35*3&amp;" "&amp;E35,IF('Vitals and Labs'!G25='Vitals and Labs'!J26," at 500 to 1000 mL/hour until patient is hemodynamically stable","")))&amp;IF(AND(Na&gt;145,'Vitals and Labs'!G25='Vitals and Labs'!J30),"Use D5W, 1/4 NS, or D5W w/ 1/4 NS acutely; if chronic consider Desmopressin, HCTZ or Amiloride","")</f>
        <v>Use Normal Saline at 1-2x BFR: 1830 to 3660 mL/day</v>
      </c>
      <c r="G35" s="5" t="str">
        <f>A35&amp;" "&amp;C35&amp;" "&amp;D35&amp;" = "&amp;B35&amp;" "&amp;E35</f>
        <v>24 hr Basal Fluid Requirement =1500+(20*(Weight in kilos-20)) =1500+(20*(36.4-20)) = 1830 mL/day</v>
      </c>
    </row>
    <row r="36" spans="1:29" outlineLevel="1">
      <c r="A36" s="2" t="s">
        <v>2248</v>
      </c>
      <c r="B36" s="23">
        <f>ROUND(B35/24,-1)</f>
        <v>80</v>
      </c>
      <c r="C36" t="str">
        <f>"=24 hour Basal Fluid Requirements/24"</f>
        <v>=24 hour Basal Fluid Requirements/24</v>
      </c>
      <c r="D36" t="str">
        <f>"="&amp;B35&amp;"/24"</f>
        <v>=1830/24</v>
      </c>
      <c r="E36" t="s">
        <v>2249</v>
      </c>
      <c r="F36" t="str">
        <f>IF(OR('Vitals and Labs'!G25='Vitals and Labs'!J24,'Vitals and Labs'!G25='Vitals and Labs'!J25,'Vitals and Labs'!G25='Vitals and Labs'!J26),IF(AND(SBP&gt;90,DBP&gt;60,HR&lt;=120),IF(Na&gt;145,"Use 1/2 NS, 1/4 NS or D5W",IF(Na&lt;135,"Use Normal Saline","Use Normal Saline or 1/2 Normal Saline ")),"Use Normal Saline"),"")&amp;IF('Vitals and Labs'!G25='Vitals and Labs'!J24," at 1-2x BFR: "&amp;B36&amp;" to "&amp;B36*2&amp;" "&amp;E36,IF('Vitals and Labs'!G25='Vitals and Labs'!J25," at 2-3x BFR: "&amp;B36*2&amp;" to "&amp;B36*3&amp;" "&amp;E36,IF('Vitals and Labs'!G25='Vitals and Labs'!J26," at 500 to 1000 mL/hour until patient is hemodynamically stable","")))</f>
        <v>Use Normal Saline at 1-2x BFR: 80 to 160 mL/hour</v>
      </c>
      <c r="G36" s="5" t="str">
        <f>A36&amp;" "&amp;C36&amp;" "&amp;D36&amp;" = "&amp;B36&amp;" "&amp;E36</f>
        <v>IV fluid rate =24 hour Basal Fluid Requirements/24 =1830/24 = 80 mL/hour</v>
      </c>
    </row>
    <row r="37" spans="1:29">
      <c r="A37" s="1" t="s">
        <v>2111</v>
      </c>
    </row>
    <row r="38" spans="1:29" outlineLevel="1">
      <c r="A38" s="2" t="s">
        <v>2263</v>
      </c>
      <c r="B38">
        <f>170*SCr^-0.999*BUN^-0.17*'Vitals and Labs'!B37^0.318*Age^-0.176*IF(Sex="Female",0.762,1)*IF('Vitals and Labs'!B4="African American",1.18,1)</f>
        <v>0</v>
      </c>
      <c r="C38" t="str">
        <f>"=170 x SCr^ -.999 x BUN ^-.170 x albumin ^.318 x age^ -.176 "&amp;IF(Sex="Female","x .762","")&amp;IF('Vitals and Labs'!B4="African American"," x 1.18","")</f>
        <v xml:space="preserve">=170 x SCr^ -.999 x BUN ^-.170 x albumin ^.318 x age^ -.176 </v>
      </c>
      <c r="D38" t="str">
        <f>"=170 x "&amp;SCr&amp;" ^-.999 x "&amp;BUN&amp;"^ -.170 x "&amp;'Vitals and Labs'!B37&amp;"^ .318 x "&amp;Age&amp;"^ -.176 "&amp;IF(Sex="Female","x .762","")&amp;IF('Vitals and Labs'!B4="African American"," x 1.18","")</f>
        <v xml:space="preserve">=170 x 2 ^-.999 x 50^ -.170 x ^ .318 x 35^ -.176 </v>
      </c>
      <c r="E38" t="s">
        <v>134</v>
      </c>
      <c r="F38" t="str">
        <f>IF(B38&gt;89,"Stage 1 CKD",IF(B38&gt;59,"Stage 2 CKD",IF(B38&gt;44,"Stage 3a CKD",IF(B38&gt;29,"Stage 3b",IF(B38&gt;14,"Stage 4 CKD","Stage 5 CKD")))))</f>
        <v>Stage 5 CKD</v>
      </c>
      <c r="G38" s="5" t="str">
        <f>A38&amp;" "&amp;C38&amp;" "&amp;D38&amp;" = "&amp;ROUND(B38,1)&amp;" "&amp;E38</f>
        <v>eGFR (MDRD equation) =170 x SCr^ -.999 x BUN ^-.170 x albumin ^.318 x age^ -.176  =170 x 2 ^-.999 x 50^ -.170 x ^ .318 x 35^ -.176  = 0 mL/min</v>
      </c>
    </row>
    <row r="39" spans="1:29" outlineLevel="1">
      <c r="A39" s="2" t="s">
        <v>211</v>
      </c>
      <c r="B39" t="e">
        <f>'Vitals and Labs'!B108/'Vitals and Labs'!B109</f>
        <v>#DIV/0!</v>
      </c>
      <c r="C39" t="str">
        <f>"=Urine Albumin/Urine Creatinine"</f>
        <v>=Urine Albumin/Urine Creatinine</v>
      </c>
      <c r="D39" t="str">
        <f>"="&amp;TEXT('Vitals and Labs'!B108,"0")&amp;"/"&amp;TEXT('Vitals and Labs'!B109,"0")</f>
        <v>=0/0</v>
      </c>
      <c r="E39" t="s">
        <v>212</v>
      </c>
      <c r="F39" t="e">
        <f>IF(B39&gt;3000,"Nephrotic Syndrome",IF(B39&gt;300,"A3 Proteinuria: Overt proteinuria",IF(B39&gt;30,"A2 Proteinuria: Microalbuminuria","A1 Proteinuria: normal")))</f>
        <v>#DIV/0!</v>
      </c>
      <c r="G39" s="5" t="e">
        <f>A39&amp;" "&amp;C39&amp;" "&amp;D39&amp;" = "&amp;B39&amp;" "&amp;E39</f>
        <v>#DIV/0!</v>
      </c>
    </row>
    <row r="40" spans="1:29" outlineLevel="1">
      <c r="A40" s="2" t="s">
        <v>217</v>
      </c>
      <c r="B40">
        <f>SQRT('Vitals and Labs'!B6*'Vitals and Labs'!B7/3131)</f>
        <v>1.3843123434848426</v>
      </c>
      <c r="C40" t="str">
        <f>"=sqrt((weight in lbs)*(height in in)/3131)"</f>
        <v>=sqrt((weight in lbs)*(height in in)/3131)</v>
      </c>
      <c r="D40" t="str">
        <f>"=sqrt(("&amp;TEXT('Vitals and Labs'!B6,"0")&amp;")*("&amp;TEXT('Vitals and Labs'!B7,"0")&amp;")/3131)"</f>
        <v>=sqrt((80)*(75)/3131)</v>
      </c>
      <c r="E40" t="s">
        <v>218</v>
      </c>
      <c r="G40" s="5" t="str">
        <f>A40&amp;" "&amp;C40&amp;" "&amp;D40&amp;" = "&amp;ROUND(B40,2)&amp;" "&amp;E40</f>
        <v>Body Surface Area =sqrt((weight in lbs)*(height in in)/3131) =sqrt((80)*(75)/3131) = 1.38 m^2</v>
      </c>
    </row>
    <row r="41" spans="1:29" outlineLevel="1">
      <c r="A41" s="2" t="s">
        <v>2227</v>
      </c>
      <c r="B41">
        <f>SUM(G42:W42)</f>
        <v>0</v>
      </c>
      <c r="F41" t="str">
        <f>IF(B41&gt;=2,"Anticoagulation recommended",IF(AND(B41=1,Sex="Male"),"Consider Anticoagulation","No anticoagulation recommended."))</f>
        <v>No anticoagulation recommended.</v>
      </c>
      <c r="G41" t="s">
        <v>2000</v>
      </c>
      <c r="H41" t="s">
        <v>227</v>
      </c>
      <c r="I41" t="s">
        <v>2137</v>
      </c>
      <c r="J41" t="s">
        <v>42</v>
      </c>
      <c r="K41" t="s">
        <v>2232</v>
      </c>
      <c r="L41" t="s">
        <v>2233</v>
      </c>
      <c r="W41" t="s">
        <v>2234</v>
      </c>
      <c r="AB41" t="s">
        <v>2260</v>
      </c>
      <c r="AC41" t="s">
        <v>2261</v>
      </c>
    </row>
    <row r="42" spans="1:29" outlineLevel="1">
      <c r="A42" s="2" t="s">
        <v>2262</v>
      </c>
      <c r="B42">
        <f>VLOOKUP(B41,AB42:AC51,2,FALSE)</f>
        <v>0</v>
      </c>
      <c r="G42">
        <f>IF('Vitals and Labs'!B127='Vitals and Labs'!D127,1,0)</f>
        <v>0</v>
      </c>
      <c r="H42">
        <f>IF(OR(SBP&gt;=140,DBP&gt;=90),1,0)</f>
        <v>0</v>
      </c>
      <c r="I42">
        <f>IF(Age&gt;=75,2,IF(Age&gt;=65,1,0))</f>
        <v>0</v>
      </c>
      <c r="J42">
        <f>IF(OR('Vitals and Labs'!B128='Vitals and Labs'!D128,Diagnoses!C2='Vitals and Labs'!D127,Glucose&gt;200,A1C&gt;6.5,FPG&gt;140,'Vitals and Labs'!B82&gt;'Vitals and Labs'!D82),1,0)</f>
        <v>0</v>
      </c>
      <c r="K42">
        <f>IF('Vitals and Labs'!B129='Vitals and Labs'!D129,2,0)</f>
        <v>0</v>
      </c>
      <c r="L42">
        <f>IF(OR('Vitals and Labs'!B130='Vitals and Labs'!D130,AND(ABI&lt;0.9,'Vitals and Labs'!B83&gt;0)),1,0)</f>
        <v>0</v>
      </c>
      <c r="W42">
        <f>IF(Sex='Vitals and Labs'!D2,1,0)</f>
        <v>0</v>
      </c>
      <c r="AB42">
        <v>0</v>
      </c>
      <c r="AC42">
        <v>0</v>
      </c>
    </row>
    <row r="43" spans="1:29" outlineLevel="1">
      <c r="A43" s="2" t="s">
        <v>2239</v>
      </c>
      <c r="B43">
        <f>'Vitals and Labs'!B20/IF('Vitals and Labs'!B23&lt;=0,0.21,'Vitals and Labs'!B23)</f>
        <v>0</v>
      </c>
      <c r="AB43">
        <v>1</v>
      </c>
      <c r="AC43">
        <v>1.3</v>
      </c>
    </row>
    <row r="44" spans="1:29">
      <c r="A44" s="2" t="s">
        <v>2290</v>
      </c>
      <c r="B44">
        <f>IF(CrCl&gt;=60,"No Protein restriction",IBW*IF(CrCl&lt;15,1.2,IF(CrCl&lt;30,0.6,0.8)))</f>
        <v>67.600000000000009</v>
      </c>
      <c r="E44" t="s">
        <v>2291</v>
      </c>
      <c r="AB44">
        <v>2</v>
      </c>
      <c r="AC44">
        <v>2.2000000000000002</v>
      </c>
    </row>
    <row r="45" spans="1:29">
      <c r="A45" s="2" t="s">
        <v>2433</v>
      </c>
      <c r="B45" t="e">
        <f ca="1">IF(Age&lt;30,1,TRUNC(Omnibus!B13,1))</f>
        <v>#VALUE!</v>
      </c>
      <c r="AB45">
        <v>3</v>
      </c>
      <c r="AC45">
        <v>3.2</v>
      </c>
    </row>
    <row r="46" spans="1:29">
      <c r="A46" s="2" t="s">
        <v>2436</v>
      </c>
      <c r="B46" t="str">
        <f ca="1">Omnibus!B14</f>
        <v>This calculator only provides 10-year risk estimates for individuals 40 to 79 years of age</v>
      </c>
      <c r="AB46">
        <v>4</v>
      </c>
      <c r="AC46">
        <v>4</v>
      </c>
    </row>
    <row r="47" spans="1:29">
      <c r="A47" s="2" t="s">
        <v>2437</v>
      </c>
      <c r="B47" t="str">
        <f ca="1">Omnibus!B16</f>
        <v>Enter 130-320 for TC value Enter 90-200 for SBP value</v>
      </c>
      <c r="AB47">
        <v>5</v>
      </c>
      <c r="AC47">
        <v>6.7</v>
      </c>
    </row>
    <row r="48" spans="1:29">
      <c r="A48" s="2" t="s">
        <v>2458</v>
      </c>
      <c r="B48">
        <f>(28.7*A1C)-46.7</f>
        <v>-46.7</v>
      </c>
      <c r="E48" t="s">
        <v>86</v>
      </c>
      <c r="AB48">
        <v>6</v>
      </c>
      <c r="AC48">
        <v>9.8000000000000007</v>
      </c>
    </row>
    <row r="49" spans="1:29">
      <c r="A49" s="2" t="s">
        <v>2476</v>
      </c>
      <c r="B49" t="str">
        <f>IF(Sex="Male",'Framingham Men'!E15,'Framingham Women'!E16)</f>
        <v>&lt;1</v>
      </c>
      <c r="AB49">
        <v>7</v>
      </c>
      <c r="AC49">
        <v>9.6</v>
      </c>
    </row>
    <row r="50" spans="1:29">
      <c r="AB50">
        <v>8</v>
      </c>
      <c r="AC50">
        <v>12.5</v>
      </c>
    </row>
    <row r="51" spans="1:29">
      <c r="AB51">
        <v>9</v>
      </c>
      <c r="AC51">
        <v>15.2</v>
      </c>
    </row>
  </sheetData>
  <conditionalFormatting sqref="F3">
    <cfRule type="expression" dxfId="28" priority="4">
      <formula>$B$3&lt;90</formula>
    </cfRule>
  </conditionalFormatting>
  <conditionalFormatting sqref="F4">
    <cfRule type="expression" dxfId="27" priority="3">
      <formula>$B$4&gt;24.99</formula>
    </cfRule>
  </conditionalFormatting>
  <conditionalFormatting sqref="F8">
    <cfRule type="expression" dxfId="26" priority="2">
      <formula>$B$8&gt;55</formula>
    </cfRule>
  </conditionalFormatting>
  <conditionalFormatting sqref="F6">
    <cfRule type="expression" dxfId="25" priority="1">
      <formula>$B$6&gt;12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7"/>
  <sheetViews>
    <sheetView tabSelected="1" workbookViewId="0">
      <selection activeCell="D10" sqref="D10"/>
    </sheetView>
  </sheetViews>
  <sheetFormatPr defaultRowHeight="15"/>
  <cols>
    <col min="1" max="1" width="13.140625" bestFit="1" customWidth="1"/>
    <col min="2" max="2" width="0" hidden="1" customWidth="1"/>
    <col min="3" max="3" width="22.42578125" bestFit="1" customWidth="1"/>
    <col min="4" max="4" width="63.5703125" customWidth="1"/>
    <col min="5" max="5" width="18.7109375" bestFit="1" customWidth="1"/>
    <col min="6" max="6" width="12.42578125" customWidth="1"/>
    <col min="7" max="7" width="15.140625" bestFit="1" customWidth="1"/>
    <col min="8" max="8" width="15.140625" customWidth="1"/>
    <col min="9" max="9" width="17.5703125" bestFit="1" customWidth="1"/>
    <col min="11" max="11" width="22.5703125" bestFit="1" customWidth="1"/>
  </cols>
  <sheetData>
    <row r="1" spans="1:15">
      <c r="A1" t="s">
        <v>2131</v>
      </c>
      <c r="B1" t="s">
        <v>2132</v>
      </c>
      <c r="C1" t="s">
        <v>2133</v>
      </c>
      <c r="D1" t="s">
        <v>2135</v>
      </c>
      <c r="E1" t="s">
        <v>2140</v>
      </c>
      <c r="F1" t="s">
        <v>2142</v>
      </c>
      <c r="G1" t="s">
        <v>2141</v>
      </c>
      <c r="H1" t="s">
        <v>2143</v>
      </c>
      <c r="I1" t="s">
        <v>2145</v>
      </c>
      <c r="J1" t="s">
        <v>2143</v>
      </c>
      <c r="K1" t="s">
        <v>2146</v>
      </c>
      <c r="L1" t="s">
        <v>2143</v>
      </c>
    </row>
    <row r="2" spans="1:15">
      <c r="A2" t="s">
        <v>2575</v>
      </c>
      <c r="B2" t="s">
        <v>2243</v>
      </c>
      <c r="D2" t="str">
        <f>'Vitals and Labs'!F79</f>
        <v>Metformin not indicated or Contraindicated based on A1c, CrCl and SCr</v>
      </c>
      <c r="E2" t="s">
        <v>1535</v>
      </c>
      <c r="F2" t="str">
        <f>IF(NOT(E2=""),VLOOKUP(Diagnoses!E2,'Drug List'!1:186,3,FALSE)&amp;" mg","")</f>
        <v xml:space="preserve"> mg</v>
      </c>
      <c r="G2" t="s">
        <v>1599</v>
      </c>
      <c r="H2" t="str">
        <f>IF(NOT(G2=""),VLOOKUP(Diagnoses!G2,'Drug List'!1:186,3,FALSE)&amp;" mg","")</f>
        <v>0.5-1 mg</v>
      </c>
      <c r="I2" t="s">
        <v>1605</v>
      </c>
      <c r="J2" t="str">
        <f>IF(NOT(I2=""),VLOOKUP(Diagnoses!I2,'Drug List'!1:186,3,FALSE)&amp;" mg","")</f>
        <v>5 mg</v>
      </c>
      <c r="K2" t="s">
        <v>1605</v>
      </c>
      <c r="L2" t="str">
        <f>IF(NOT(K2=""),VLOOKUP(Diagnoses!K2,'Drug List'!1:186,3,FALSE)&amp;" mg","")</f>
        <v>5 mg</v>
      </c>
      <c r="O2" s="4" t="s">
        <v>2134</v>
      </c>
    </row>
    <row r="3" spans="1:15">
      <c r="A3" t="s">
        <v>124</v>
      </c>
      <c r="B3" t="s">
        <v>2244</v>
      </c>
      <c r="D3" s="22" t="str">
        <f>IF(C3="Yes",IF(AND(SBP&lt;140,DBP&lt;90),"Controlled HTN","Uncontrolled Hypertension"),IF(OR(SBP&gt;139,DBP&gt;90),HTN_Therapy,""))</f>
        <v/>
      </c>
      <c r="E3" t="s">
        <v>402</v>
      </c>
      <c r="F3" t="str">
        <f>IF(NOT(E3=""),VLOOKUP(Diagnoses!E3,'Drug List'!2:187,3,FALSE)&amp;" mg","")</f>
        <v>50 mg</v>
      </c>
      <c r="G3" t="s">
        <v>528</v>
      </c>
      <c r="H3" t="str">
        <f>IF(NOT(G3=""),VLOOKUP(G3,'Drug List'!2:187,3,FALSE)&amp;" mg","")</f>
        <v>0.1 mg</v>
      </c>
      <c r="I3" t="s">
        <v>503</v>
      </c>
      <c r="J3" t="str">
        <f>IF(NOT(I3=""),VLOOKUP(I3,'Drug List'!2:187,3,FALSE)&amp;" mg","")</f>
        <v>2.5 mg</v>
      </c>
      <c r="K3" t="s">
        <v>503</v>
      </c>
      <c r="L3" t="str">
        <f>IF(NOT(K3=""),VLOOKUP(K3,'Drug List'!2:187,3,FALSE)&amp;" mg","")</f>
        <v>2.5 mg</v>
      </c>
      <c r="O3" s="4" t="s">
        <v>361</v>
      </c>
    </row>
    <row r="4" spans="1:15" ht="15" customHeight="1">
      <c r="A4" t="s">
        <v>1906</v>
      </c>
      <c r="D4" t="e">
        <f>IF(C3="Yes",IF(Calculations!B39&gt;=30,"HTN with "&amp;Calculations!F39&amp;": Initiate ACE-I (or ARB if ACE-I intolerant)","HTN w/o proteinuria: "&amp;IF(CrCl&lt;30,"Initiate Loop diuretic ","Initiate Thiazide Diuretic")&amp;", may add on ACE-I or ARB if BP not to goal, followed by NDHCCB "),IF(Calculations!B39&lt;30,"Screen Annually for proteinuria, DM and HTN.",IF(Calculations!B39&gt;=300,"A3 Proteinuria: Initiate ACE-I or ARB","A2 Proteinuria "&amp;IF(OR(Diagnoses!C2="Yes",A1C&gt;6.5),"with Diabetes: Initiate ACE-I or ARB (if ACE-I intolerant)","without Diabetes: Screen Annually for Proteinuria, DM and HTN"))))</f>
        <v>#DIV/0!</v>
      </c>
      <c r="F4" t="str">
        <f>IF(NOT(E4=""),VLOOKUP(Diagnoses!E4,'Drug List'!6:191,3,FALSE)&amp;" mg","")</f>
        <v/>
      </c>
      <c r="H4" t="str">
        <f>IF(NOT(G4=""),VLOOKUP(G4,'Drug List'!6:191,3,FALSE)&amp;" mg","")</f>
        <v/>
      </c>
    </row>
    <row r="5" spans="1:15">
      <c r="A5" t="s">
        <v>2572</v>
      </c>
      <c r="F5" t="str">
        <f>IF(NOT(E5=""),VLOOKUP(Diagnoses!E5,'Drug List'!8:193,3,FALSE)&amp;" mg","")</f>
        <v/>
      </c>
      <c r="H5" t="str">
        <f>IF(NOT(G5=""),VLOOKUP(G5,'Drug List'!8:193,3,FALSE)&amp;" mg","")</f>
        <v/>
      </c>
    </row>
    <row r="6" spans="1:15">
      <c r="A6" t="s">
        <v>1773</v>
      </c>
      <c r="F6" t="str">
        <f>IF(NOT(E6=""),VLOOKUP(Diagnoses!E6,'Drug List'!9:194,3,FALSE)&amp;" mg","")</f>
        <v/>
      </c>
      <c r="H6" t="str">
        <f>IF(NOT(G6=""),VLOOKUP(G6,'Drug List'!9:194,3,FALSE)&amp;" mg","")</f>
        <v/>
      </c>
    </row>
    <row r="7" spans="1:15">
      <c r="A7" t="s">
        <v>1989</v>
      </c>
      <c r="F7" t="str">
        <f>IF(NOT(E7=""),VLOOKUP(Diagnoses!E7,'Drug List'!10:195,3,FALSE)&amp;" mg","")</f>
        <v/>
      </c>
      <c r="H7" t="str">
        <f>IF(NOT(G7=""),VLOOKUP(G7,'Drug List'!10:195,3,FALSE)&amp;" mg","")</f>
        <v/>
      </c>
    </row>
    <row r="8" spans="1:15">
      <c r="A8" t="s">
        <v>1941</v>
      </c>
      <c r="F8" t="str">
        <f>IF(NOT(E8=""),VLOOKUP(Diagnoses!E8,'Drug List'!11:196,3,FALSE)&amp;" mg","")</f>
        <v/>
      </c>
      <c r="H8" t="str">
        <f>IF(NOT(G8=""),VLOOKUP(G8,'Drug List'!11:196,3,FALSE)&amp;" mg","")</f>
        <v/>
      </c>
    </row>
    <row r="9" spans="1:15">
      <c r="A9" t="s">
        <v>2189</v>
      </c>
      <c r="F9" t="str">
        <f>IF(NOT(E9=""),VLOOKUP(Diagnoses!E9,'Drug List'!12:197,3,FALSE)&amp;" mg","")</f>
        <v/>
      </c>
    </row>
    <row r="10" spans="1:15">
      <c r="A10" t="s">
        <v>229</v>
      </c>
      <c r="B10" s="8" t="s">
        <v>2245</v>
      </c>
      <c r="D10" t="str">
        <f>IF(C10="Yes",'Vitals and Labs'!F124,IF(HIV_RNA&gt;0,"Check ELISA or Western Blot",""))</f>
        <v/>
      </c>
      <c r="E10" t="s">
        <v>277</v>
      </c>
      <c r="F10" t="str">
        <f>IF(NOT(E10=""),VLOOKUP(Diagnoses!E10,'Drug List'!3:188,3,FALSE)&amp;" mg","")</f>
        <v>200 mg</v>
      </c>
      <c r="G10" t="s">
        <v>310</v>
      </c>
      <c r="H10" t="str">
        <f>IF(NOT(G10=""),VLOOKUP(G10,'Drug List'!3:188,3,FALSE)&amp;" mg","")</f>
        <v>300 mg</v>
      </c>
      <c r="I10" t="s">
        <v>289</v>
      </c>
      <c r="J10" t="str">
        <f>IF(NOT(I10=""),VLOOKUP(I10,'Drug List'!3:188,3,FALSE)&amp;" mg","")</f>
        <v>600 mg</v>
      </c>
      <c r="L10" t="str">
        <f>IF(NOT(K10=""),VLOOKUP(K10,'Drug List'!3:188,3,FALSE)&amp;" mg","")</f>
        <v/>
      </c>
    </row>
    <row r="11" spans="1:15" ht="59.25" customHeight="1">
      <c r="A11" t="s">
        <v>2155</v>
      </c>
      <c r="B11" t="s">
        <v>2242</v>
      </c>
      <c r="D11" s="22" t="str">
        <f>Calculations!F4&amp;" Weight with "&amp;IF(OR(AND(Sex="Male",'Vitals and Labs'!B9&gt;40),AND(Sex='Vitals and Labs'!D2,'Vitals and Labs'!B9&gt;'Vitals and Labs'!C9)),VLOOKUP(BMI,Calculations!M1:P7,4),VLOOKUP(BMI,Calculations!M1:P7,3))&amp;" Risk of CVD, T2DM, HTN"&amp;IF(BMI&gt;=25,"; Recommend Exercise ~150 minutes per week","")&amp;IF(AND(OR(BMI&gt;30,AND(BMI&gt;27,OR(C2="Yes",C3="Yes",C13="Yes"))),NOT('Vitals and Labs'!B3="Yes")),"; Eligible for Drug Therapy:"&amp;IF(AND(Sex='Vitals and Labs'!D2,Age&gt;13,Age&lt;55),"; Childbearing age Female: Counsel on pregnancy risks.","")&amp;IF(OR(SBP&gt;=140,DBP&gt;=90)," Consider Orlistat, Liraglutide or Lorcaserin"," Consider Lorcaserin, Naltrexone/Bupropion, Liraglutide, Orlistat or Phentermine/Topiramate"),"")&amp;IF(OR(BMI&gt;40,AND(BMI&gt;35,C2="Yes",C3="Yes")),"; Eligible for Surgery","")</f>
        <v>Underweight Weight with Normal Risk of CVD, T2DM, HTN</v>
      </c>
      <c r="E11" t="s">
        <v>2165</v>
      </c>
      <c r="F11" t="str">
        <f>IF(NOT(E11=""),VLOOKUP(E11,'Drug List'!177:190,3,FALSE)&amp;" mg","")</f>
        <v>8 mg/90 mg mg</v>
      </c>
      <c r="G11" t="s">
        <v>2164</v>
      </c>
      <c r="H11" t="str">
        <f>IF(NOT(G11=""),VLOOKUP(G11,'Drug List'!177:190,3,FALSE)&amp;" mg","")</f>
        <v>0.6 mg</v>
      </c>
      <c r="I11" t="s">
        <v>2165</v>
      </c>
      <c r="J11" t="str">
        <f>IF(NOT(I11=""),VLOOKUP(I11,'Drug List'!177:190,3,FALSE)&amp;" mg","")</f>
        <v>8 mg/90 mg mg</v>
      </c>
      <c r="K11" t="s">
        <v>2166</v>
      </c>
      <c r="L11" t="str">
        <f>IF(NOT(K11=""),VLOOKUP(K11,'Drug List'!177:190,3,FALSE)&amp;" mg","")</f>
        <v>20 mg</v>
      </c>
    </row>
    <row r="12" spans="1:15">
      <c r="A12" t="s">
        <v>1933</v>
      </c>
    </row>
    <row r="13" spans="1:15" ht="42" customHeight="1">
      <c r="A13" t="s">
        <v>2573</v>
      </c>
      <c r="B13" t="s">
        <v>2246</v>
      </c>
      <c r="D13" s="91" t="e">
        <f ca="1">IF(OR(Age&gt;75,C4="Yes",CrCl&lt;30,'Vitals and Labs'!B56&gt;70,'Vitals and Labs'!B57&gt;70),"Not a high-intensity candidate",IF(OR('Vitals and Labs'!G12="Atherosclerosis or MI",C13="Yes",'Vitals and Labs'!B130="Yes",'Vitals and Labs'!B129="Yes"),"Major Statin benefit group of Clinical ASCVD, high-intensity statin therapy indicated.",IF(LDL&gt;190,"ASCVD Risk Reduction: patient meets criteria for major benefit group due to LDL&gt;190 mg/dL, high-intensity statin therapy indicated",IF(AND(OR(C2="Yes",A1C&gt;=6.5,FPG&gt;130),Age&lt;=75,Age&gt;=40),"ASCVD Risk Reduction: patient meets criteria for major benefit group due to Diabetes, age 40-75 with an ASCVD risk score of "&amp;Calculations!B45&amp;"%; "&amp;IF(Calculations!B45&gt;7.5,"High-Intensity statin therapy indicated","Moderate-Intensity Statin Therapy indicated"),IF(Calculations!B45&gt;7.5,"ASCVD Risk Reduction: patient meets criteria for major benefit group due to ASCVD Risk of"&amp;Calculations!B45&amp;"%, high-intensity statin therapy indicated","ASCVD Risk Assessment: patient does not meet criteria for a major benefit group based on the 10-year ASCVD risk estimate of "&amp;Calculations!B45&amp;"%, moderate-intensity or no statin therapy indicated")))))</f>
        <v>#VALUE!</v>
      </c>
      <c r="E13" t="s">
        <v>1674</v>
      </c>
      <c r="F13" t="str">
        <f>IF(NOT(E13=""),VLOOKUP(Diagnoses!E13,'Drug List'!4:189,3,FALSE)&amp;" mg","")</f>
        <v>5 mg</v>
      </c>
      <c r="G13" t="s">
        <v>1676</v>
      </c>
      <c r="H13" t="str">
        <f>IF(NOT(G13=""),VLOOKUP(Diagnoses!G13,'Drug List'!4:189,3,FALSE)&amp;" mg","")</f>
        <v>200 mg weekly mg</v>
      </c>
      <c r="I13" t="s">
        <v>1674</v>
      </c>
      <c r="J13" t="str">
        <f>IF(NOT(I13=""),VLOOKUP(Diagnoses!I13,'Drug List'!4:189,3,FALSE)&amp;" mg","")</f>
        <v>5 mg</v>
      </c>
      <c r="K13" t="s">
        <v>1674</v>
      </c>
      <c r="L13" t="str">
        <f>IF(NOT(K13=""),VLOOKUP(Diagnoses!K13,'Drug List'!4:189,3,FALSE)&amp;" mg","")</f>
        <v>5 mg</v>
      </c>
    </row>
    <row r="14" spans="1:15" ht="43.5" customHeight="1">
      <c r="A14" t="s">
        <v>2574</v>
      </c>
      <c r="D14" s="91" t="e">
        <f ca="1">IF(AND(Age&gt;=50,Age&lt;=59,Calculations!B45&gt;10),"Per USPSTF, Aspirin 81 mg EC indicated who are not at increased risk for bleeding, have a life expectancy of at least 10 years, and are willing to take low-dose aspirin daily for at least 10 years. (Grade B)",IF(AND(Age&gt;=60,Age&lt;=69,Calculations!B45&gt;10),"The decision to use low-dose aspirin to prevent CVD and colorectal cancer should be an individual one based on risk of bleeding, life expectancy and willingness to take aspirin daily. (USPSTF Grade C)",IF(Age&lt;50,"Per USPSTF, The current evidence is insufficient. (Grade I)",IF(Age&gt;=70,"Per USPSTF, The current evidence is insufficient (Grade I)","Aspirin Not indicated"))&amp;" due to Age of "&amp;Age&amp;" and ASCVD risk of "&amp;Calculations!B45&amp;"%"))</f>
        <v>#VALUE!</v>
      </c>
    </row>
    <row r="15" spans="1:15" ht="42.75" customHeight="1">
      <c r="A15" t="s">
        <v>2282</v>
      </c>
      <c r="D15" s="91" t="str">
        <f>"Per CDC ACIP: "&amp;IF(Age&gt;=0.5,"Annual influenza vaccine indicated as age is &gt;6 months; "," ")&amp;IF(Age&gt;=60,"HZV indicated due to age &gt;60; "," ")&amp;IF(AND(Age&gt;=19,OR(Age&gt;=65,C4="Yes",C10="Yes")),"PCV13 indicated; "," ")&amp;IF(AND(OR(Age&gt;=65,C4="Yes",C10="Yes",C2="Yes",Smoker?="Yes",'Vitals and Labs'!B127="Yes"),Age&gt;=19),"PPSV23 Indicated; ","")&amp;IF(C2="Yes","Diabetic: Hepatitis B vaccine indicated; ","")&amp;"more detail on Vaccines tab"</f>
        <v>Per CDC ACIP: Annual influenza vaccine indicated as age is &gt;6 months;   more detail on Vaccines tab</v>
      </c>
      <c r="F15" t="str">
        <f>IF(NOT(E15=""),VLOOKUP(Diagnoses!E15,'Drug List'!13:198,3,FALSE)&amp;" mg","")</f>
        <v/>
      </c>
    </row>
    <row r="16" spans="1:15">
      <c r="A16" t="s">
        <v>47</v>
      </c>
      <c r="C16" t="s">
        <v>2134</v>
      </c>
    </row>
    <row r="17" spans="1:1">
      <c r="A17" t="s">
        <v>2647</v>
      </c>
    </row>
  </sheetData>
  <dataValidations xWindow="195" yWindow="278" count="5">
    <dataValidation type="list" allowBlank="1" showInputMessage="1" showErrorMessage="1" promptTitle="First Antidiabetic" prompt="Please choose an antidiabetic." sqref="G2 I2 K2">
      <formula1>$A$79:$A$117</formula1>
    </dataValidation>
    <dataValidation type="list" allowBlank="1" showInputMessage="1" showErrorMessage="1" promptTitle="Anti-retrovirals" prompt="Please choose a second anti-retroviral." sqref="K10 I10">
      <formula1>$A$136:$A$170</formula1>
    </dataValidation>
    <dataValidation type="list" allowBlank="1" showInputMessage="1" showErrorMessage="1" promptTitle="Lipid Lowering Drugs" prompt="Please choose a lipid-lowering drug from the drop-down list." sqref="K13">
      <formula1>$A$118:$A$135</formula1>
    </dataValidation>
    <dataValidation type="list" allowBlank="1" showInputMessage="1" showErrorMessage="1" promptTitle="Chronic Obesity Drugs" sqref="K11">
      <formula1>$A$171:$A$175</formula1>
    </dataValidation>
    <dataValidation type="list" allowBlank="1" showInputMessage="1" showErrorMessage="1" errorTitle="Past Medical History" error="You have entered an incorrect value. Please enter &quot;Yes&quot; or &quot;No&quot;" promptTitle="Past Medical History" prompt="Choose Yes or no." sqref="C2:C4 C10:C11 C13">
      <formula1>$O$2:$O$3</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95" yWindow="278" count="7">
        <x14:dataValidation type="list" allowBlank="1" showInputMessage="1" showErrorMessage="1" promptTitle="First Therapeutic" prompt="Please choose a first-line agent.">
          <x14:formula1>
            <xm:f>'Drug List'!$A$3:$A$69</xm:f>
          </x14:formula1>
          <xm:sqref>E3</xm:sqref>
        </x14:dataValidation>
        <x14:dataValidation type="list" allowBlank="1" showInputMessage="1" showErrorMessage="1" promptTitle="Second Therapeutic" prompt="Please choose a second-line agent.">
          <x14:formula1>
            <xm:f>'Drug List'!$A$3:$A$79</xm:f>
          </x14:formula1>
          <xm:sqref>G3 I3 K3</xm:sqref>
        </x14:dataValidation>
        <x14:dataValidation type="list" allowBlank="1" showInputMessage="1" showErrorMessage="1" promptTitle="First Antidiabetic" prompt="Please choose an antidiabetic.">
          <x14:formula1>
            <xm:f>'Drug List'!$A$80:$A$121</xm:f>
          </x14:formula1>
          <xm:sqref>E2</xm:sqref>
        </x14:dataValidation>
        <x14:dataValidation type="list" allowBlank="1" showInputMessage="1" showErrorMessage="1" promptTitle="Anti-Retrovirals" prompt="Please choose a first Anti-retroviral.">
          <x14:formula1>
            <xm:f>'Drug List'!$A$142:$A$176</xm:f>
          </x14:formula1>
          <xm:sqref>E10</xm:sqref>
        </x14:dataValidation>
        <x14:dataValidation type="list" allowBlank="1" showInputMessage="1" showErrorMessage="1" promptTitle="Anti-retrovirals" prompt="Please choose a second anti-retroviral.">
          <x14:formula1>
            <xm:f>'Drug List'!$A$142:$A$176</xm:f>
          </x14:formula1>
          <xm:sqref>G10</xm:sqref>
        </x14:dataValidation>
        <x14:dataValidation type="list" allowBlank="1" showInputMessage="1" showErrorMessage="1" promptTitle="Lipid Lowering Drugs" prompt="Please choose a lipid-lowering drug from the drop-down list.">
          <x14:formula1>
            <xm:f>'Drug List'!$A$122:$A$139</xm:f>
          </x14:formula1>
          <xm:sqref>E13 G13 I13</xm:sqref>
        </x14:dataValidation>
        <x14:dataValidation type="list" allowBlank="1" showInputMessage="1" showErrorMessage="1" promptTitle="Chronic Obesity Drugs">
          <x14:formula1>
            <xm:f>'Drug List'!$A$177:$A$181</xm:f>
          </x14:formula1>
          <xm:sqref>E11 G11 I11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
  <sheetViews>
    <sheetView workbookViewId="0">
      <selection activeCell="X3" sqref="X3"/>
    </sheetView>
  </sheetViews>
  <sheetFormatPr defaultRowHeight="15"/>
  <cols>
    <col min="2" max="19" width="9.140625" hidden="1" customWidth="1"/>
    <col min="20" max="20" width="9.140625" customWidth="1"/>
    <col min="25" max="25" width="31.28515625" customWidth="1"/>
  </cols>
  <sheetData>
    <row r="1" spans="1:34">
      <c r="A1" s="1" t="s">
        <v>2479</v>
      </c>
      <c r="B1" t="s">
        <v>2497</v>
      </c>
      <c r="C1" t="s">
        <v>2498</v>
      </c>
      <c r="D1" t="s">
        <v>2499</v>
      </c>
      <c r="E1" t="s">
        <v>2500</v>
      </c>
      <c r="F1" t="s">
        <v>2501</v>
      </c>
      <c r="G1" t="s">
        <v>2502</v>
      </c>
      <c r="H1" t="s">
        <v>2503</v>
      </c>
      <c r="I1" t="s">
        <v>2504</v>
      </c>
      <c r="J1" t="s">
        <v>2505</v>
      </c>
      <c r="K1" t="s">
        <v>2506</v>
      </c>
      <c r="L1" t="s">
        <v>2507</v>
      </c>
      <c r="M1" t="s">
        <v>2508</v>
      </c>
      <c r="N1" t="s">
        <v>2509</v>
      </c>
      <c r="O1" s="90" t="s">
        <v>2510</v>
      </c>
      <c r="P1" t="s">
        <v>2511</v>
      </c>
      <c r="Q1" t="s">
        <v>2512</v>
      </c>
      <c r="R1" t="s">
        <v>2513</v>
      </c>
      <c r="S1" t="s">
        <v>2514</v>
      </c>
      <c r="T1" t="s">
        <v>2515</v>
      </c>
      <c r="U1" t="s">
        <v>2516</v>
      </c>
      <c r="V1" t="s">
        <v>2517</v>
      </c>
      <c r="W1" t="s">
        <v>2518</v>
      </c>
      <c r="X1" t="s">
        <v>2161</v>
      </c>
      <c r="Y1" t="s">
        <v>2528</v>
      </c>
      <c r="Z1" t="s">
        <v>2529</v>
      </c>
      <c r="AA1" t="s">
        <v>2530</v>
      </c>
      <c r="AB1" t="s">
        <v>2531</v>
      </c>
      <c r="AC1" t="s">
        <v>2533</v>
      </c>
      <c r="AD1" t="s">
        <v>2532</v>
      </c>
      <c r="AE1" t="s">
        <v>2534</v>
      </c>
      <c r="AF1" t="s">
        <v>2535</v>
      </c>
      <c r="AG1" t="s">
        <v>42</v>
      </c>
      <c r="AH1" t="s">
        <v>2536</v>
      </c>
    </row>
    <row r="2" spans="1:34">
      <c r="A2" t="s">
        <v>2480</v>
      </c>
      <c r="B2" t="s">
        <v>2551</v>
      </c>
      <c r="C2" t="s">
        <v>2551</v>
      </c>
      <c r="D2" t="s">
        <v>2551</v>
      </c>
      <c r="E2" t="s">
        <v>2551</v>
      </c>
      <c r="F2" t="s">
        <v>2565</v>
      </c>
      <c r="G2" t="s">
        <v>2565</v>
      </c>
      <c r="H2" t="s">
        <v>2567</v>
      </c>
      <c r="I2" t="s">
        <v>2567</v>
      </c>
      <c r="J2" t="s">
        <v>2567</v>
      </c>
      <c r="K2" t="s">
        <v>2565</v>
      </c>
      <c r="L2" t="s">
        <v>2566</v>
      </c>
      <c r="M2" t="s">
        <v>2566</v>
      </c>
      <c r="N2" t="s">
        <v>2568</v>
      </c>
      <c r="O2" t="s">
        <v>2568</v>
      </c>
      <c r="P2" t="s">
        <v>2568</v>
      </c>
      <c r="Q2" t="s">
        <v>2568</v>
      </c>
      <c r="R2" t="s">
        <v>2519</v>
      </c>
      <c r="S2" t="s">
        <v>2519</v>
      </c>
      <c r="T2" t="s">
        <v>2519</v>
      </c>
      <c r="U2" t="s">
        <v>2519</v>
      </c>
      <c r="V2" t="s">
        <v>2519</v>
      </c>
      <c r="W2" t="s">
        <v>2519</v>
      </c>
      <c r="X2" t="s">
        <v>2537</v>
      </c>
      <c r="Y2" t="s">
        <v>2537</v>
      </c>
      <c r="Z2" t="s">
        <v>2537</v>
      </c>
      <c r="AA2" t="s">
        <v>2537</v>
      </c>
      <c r="AB2" t="s">
        <v>2548</v>
      </c>
      <c r="AC2" t="s">
        <v>2537</v>
      </c>
      <c r="AD2" t="s">
        <v>2537</v>
      </c>
      <c r="AE2" t="s">
        <v>2537</v>
      </c>
      <c r="AF2" t="s">
        <v>2537</v>
      </c>
      <c r="AG2" t="s">
        <v>2537</v>
      </c>
      <c r="AH2" t="s">
        <v>2548</v>
      </c>
    </row>
    <row r="3" spans="1:34">
      <c r="A3" t="s">
        <v>2481</v>
      </c>
      <c r="B3" t="s">
        <v>2551</v>
      </c>
      <c r="C3" t="s">
        <v>2551</v>
      </c>
      <c r="D3" t="s">
        <v>2551</v>
      </c>
      <c r="E3" t="s">
        <v>2551</v>
      </c>
      <c r="N3" t="s">
        <v>2562</v>
      </c>
      <c r="O3" t="s">
        <v>2561</v>
      </c>
      <c r="P3" s="107" t="s">
        <v>2562</v>
      </c>
      <c r="Q3" s="107"/>
      <c r="R3" t="s">
        <v>2520</v>
      </c>
      <c r="S3" t="s">
        <v>2520</v>
      </c>
      <c r="T3" t="s">
        <v>2520</v>
      </c>
      <c r="U3" t="s">
        <v>2520</v>
      </c>
      <c r="V3" t="s">
        <v>2520</v>
      </c>
      <c r="W3" t="s">
        <v>2520</v>
      </c>
      <c r="X3" t="s">
        <v>2538</v>
      </c>
      <c r="Y3" t="s">
        <v>2520</v>
      </c>
      <c r="Z3" t="s">
        <v>2520</v>
      </c>
      <c r="AA3" t="s">
        <v>2520</v>
      </c>
      <c r="AB3" t="s">
        <v>2520</v>
      </c>
      <c r="AC3" t="s">
        <v>2520</v>
      </c>
      <c r="AD3" t="s">
        <v>2520</v>
      </c>
      <c r="AE3" t="s">
        <v>2520</v>
      </c>
      <c r="AF3" t="s">
        <v>2520</v>
      </c>
      <c r="AG3" t="s">
        <v>2520</v>
      </c>
      <c r="AH3" t="s">
        <v>2520</v>
      </c>
    </row>
    <row r="4" spans="1:34">
      <c r="A4" t="s">
        <v>2482</v>
      </c>
      <c r="B4" t="s">
        <v>2551</v>
      </c>
      <c r="C4" t="s">
        <v>2551</v>
      </c>
      <c r="D4" t="s">
        <v>2551</v>
      </c>
      <c r="E4" t="s">
        <v>2551</v>
      </c>
      <c r="R4" t="s">
        <v>2521</v>
      </c>
      <c r="S4" t="s">
        <v>2521</v>
      </c>
      <c r="T4" t="s">
        <v>2521</v>
      </c>
      <c r="U4" t="s">
        <v>2521</v>
      </c>
      <c r="V4" t="s">
        <v>2521</v>
      </c>
      <c r="W4" t="s">
        <v>2521</v>
      </c>
      <c r="X4" t="s">
        <v>2539</v>
      </c>
      <c r="Y4" t="s">
        <v>2521</v>
      </c>
      <c r="Z4" t="s">
        <v>2521</v>
      </c>
      <c r="AA4" t="s">
        <v>2521</v>
      </c>
      <c r="AB4" t="s">
        <v>2521</v>
      </c>
      <c r="AC4" t="s">
        <v>2521</v>
      </c>
      <c r="AD4" t="s">
        <v>2521</v>
      </c>
      <c r="AE4" t="s">
        <v>2521</v>
      </c>
      <c r="AF4" t="s">
        <v>2521</v>
      </c>
      <c r="AG4" t="s">
        <v>2521</v>
      </c>
      <c r="AH4" t="s">
        <v>2521</v>
      </c>
    </row>
    <row r="5" spans="1:34">
      <c r="A5" t="s">
        <v>2483</v>
      </c>
      <c r="B5" t="s">
        <v>2551</v>
      </c>
      <c r="C5" t="s">
        <v>2551</v>
      </c>
      <c r="D5" t="s">
        <v>2551</v>
      </c>
      <c r="E5" t="s">
        <v>2551</v>
      </c>
      <c r="F5" s="107" t="s">
        <v>2543</v>
      </c>
      <c r="G5" s="107"/>
      <c r="H5" s="107" t="s">
        <v>2550</v>
      </c>
      <c r="I5" s="107"/>
      <c r="J5" s="107" t="s">
        <v>2562</v>
      </c>
      <c r="K5" s="107"/>
      <c r="L5" s="107"/>
      <c r="M5" t="s">
        <v>2552</v>
      </c>
      <c r="N5" s="107" t="s">
        <v>2562</v>
      </c>
      <c r="O5" s="107"/>
      <c r="P5" s="107"/>
      <c r="Q5" s="107"/>
      <c r="R5" t="s">
        <v>2522</v>
      </c>
      <c r="S5" t="s">
        <v>2522</v>
      </c>
      <c r="T5" t="s">
        <v>2522</v>
      </c>
      <c r="U5" t="s">
        <v>2522</v>
      </c>
      <c r="V5" t="s">
        <v>2522</v>
      </c>
      <c r="W5" t="s">
        <v>2522</v>
      </c>
      <c r="X5" t="s">
        <v>2540</v>
      </c>
      <c r="Y5" t="s">
        <v>2540</v>
      </c>
      <c r="Z5" t="s">
        <v>2540</v>
      </c>
    </row>
    <row r="6" spans="1:34">
      <c r="A6" t="s">
        <v>2485</v>
      </c>
      <c r="B6" t="s">
        <v>2551</v>
      </c>
      <c r="C6" t="s">
        <v>2551</v>
      </c>
      <c r="D6" t="s">
        <v>2551</v>
      </c>
      <c r="E6" t="s">
        <v>2551</v>
      </c>
      <c r="O6" t="s">
        <v>2570</v>
      </c>
      <c r="P6" s="107" t="s">
        <v>2562</v>
      </c>
      <c r="Q6" s="107"/>
      <c r="R6" t="s">
        <v>2523</v>
      </c>
      <c r="S6" t="s">
        <v>2523</v>
      </c>
      <c r="T6" t="s">
        <v>2546</v>
      </c>
      <c r="U6" t="s">
        <v>2546</v>
      </c>
      <c r="V6" t="s">
        <v>2546</v>
      </c>
      <c r="W6" t="s">
        <v>2546</v>
      </c>
      <c r="Y6" t="s">
        <v>2541</v>
      </c>
      <c r="Z6" t="s">
        <v>2541</v>
      </c>
      <c r="AA6" t="s">
        <v>2541</v>
      </c>
      <c r="AC6" t="s">
        <v>2541</v>
      </c>
      <c r="AD6" t="s">
        <v>2541</v>
      </c>
      <c r="AE6" t="s">
        <v>2541</v>
      </c>
      <c r="AF6" t="s">
        <v>2541</v>
      </c>
      <c r="AG6" t="s">
        <v>2541</v>
      </c>
      <c r="AH6" t="s">
        <v>2541</v>
      </c>
    </row>
    <row r="7" spans="1:34">
      <c r="A7" t="s">
        <v>2484</v>
      </c>
      <c r="B7" t="s">
        <v>2551</v>
      </c>
      <c r="C7" t="s">
        <v>2551</v>
      </c>
      <c r="D7" t="s">
        <v>2551</v>
      </c>
      <c r="E7" t="s">
        <v>2551</v>
      </c>
      <c r="O7" t="s">
        <v>2570</v>
      </c>
      <c r="P7" s="107" t="s">
        <v>2562</v>
      </c>
      <c r="Q7" s="107"/>
      <c r="R7" t="s">
        <v>2523</v>
      </c>
      <c r="S7" t="s">
        <v>2549</v>
      </c>
      <c r="T7" t="s">
        <v>2546</v>
      </c>
      <c r="U7" t="s">
        <v>2546</v>
      </c>
      <c r="V7" t="s">
        <v>2546</v>
      </c>
      <c r="W7" t="s">
        <v>2546</v>
      </c>
      <c r="Y7" t="s">
        <v>2541</v>
      </c>
      <c r="Z7" t="s">
        <v>2541</v>
      </c>
      <c r="AA7" t="s">
        <v>2541</v>
      </c>
      <c r="AB7" t="s">
        <v>2541</v>
      </c>
      <c r="AC7" t="s">
        <v>2542</v>
      </c>
      <c r="AD7" t="s">
        <v>2542</v>
      </c>
      <c r="AE7" t="s">
        <v>2542</v>
      </c>
      <c r="AF7" t="s">
        <v>2542</v>
      </c>
      <c r="AG7" t="s">
        <v>2542</v>
      </c>
      <c r="AH7" t="s">
        <v>2542</v>
      </c>
    </row>
    <row r="8" spans="1:34">
      <c r="A8" t="s">
        <v>2486</v>
      </c>
      <c r="B8" t="s">
        <v>2551</v>
      </c>
      <c r="C8" t="s">
        <v>2551</v>
      </c>
      <c r="D8" t="s">
        <v>2551</v>
      </c>
      <c r="E8" t="s">
        <v>2551</v>
      </c>
      <c r="R8" t="s">
        <v>2546</v>
      </c>
      <c r="S8" t="s">
        <v>2546</v>
      </c>
      <c r="T8" t="s">
        <v>2546</v>
      </c>
      <c r="U8" t="s">
        <v>2546</v>
      </c>
      <c r="V8" t="s">
        <v>2524</v>
      </c>
      <c r="W8" t="s">
        <v>2524</v>
      </c>
      <c r="X8" t="s">
        <v>2540</v>
      </c>
      <c r="Y8" t="s">
        <v>2540</v>
      </c>
      <c r="Z8" t="s">
        <v>2540</v>
      </c>
      <c r="AB8" t="s">
        <v>2524</v>
      </c>
      <c r="AC8" t="s">
        <v>2524</v>
      </c>
      <c r="AD8" t="s">
        <v>2524</v>
      </c>
      <c r="AE8" t="s">
        <v>2524</v>
      </c>
      <c r="AF8" t="s">
        <v>2524</v>
      </c>
      <c r="AG8" t="s">
        <v>2524</v>
      </c>
      <c r="AH8" t="s">
        <v>2524</v>
      </c>
    </row>
    <row r="9" spans="1:34">
      <c r="A9" t="s">
        <v>2487</v>
      </c>
      <c r="B9" t="s">
        <v>2551</v>
      </c>
      <c r="C9" t="s">
        <v>2551</v>
      </c>
      <c r="D9" t="s">
        <v>2551</v>
      </c>
      <c r="E9" t="s">
        <v>2551</v>
      </c>
      <c r="F9" t="s">
        <v>2543</v>
      </c>
      <c r="G9" t="s">
        <v>2543</v>
      </c>
      <c r="H9" s="107" t="s">
        <v>2550</v>
      </c>
      <c r="I9" s="107"/>
      <c r="J9" s="107" t="s">
        <v>2562</v>
      </c>
      <c r="K9" s="107"/>
      <c r="L9" s="107"/>
      <c r="M9" t="s">
        <v>2552</v>
      </c>
      <c r="N9" s="107" t="s">
        <v>2562</v>
      </c>
      <c r="O9" s="107"/>
      <c r="P9" s="107"/>
      <c r="Q9" s="107"/>
      <c r="R9" t="s">
        <v>2525</v>
      </c>
      <c r="S9" t="s">
        <v>2525</v>
      </c>
      <c r="T9" t="s">
        <v>2525</v>
      </c>
      <c r="U9" t="s">
        <v>2525</v>
      </c>
      <c r="V9" t="s">
        <v>2546</v>
      </c>
      <c r="W9" t="s">
        <v>2546</v>
      </c>
      <c r="X9" t="s">
        <v>2540</v>
      </c>
      <c r="Y9" t="s">
        <v>2540</v>
      </c>
      <c r="Z9" t="s">
        <v>2540</v>
      </c>
      <c r="AA9" t="s">
        <v>2525</v>
      </c>
      <c r="AB9" t="s">
        <v>2525</v>
      </c>
      <c r="AC9" t="s">
        <v>2525</v>
      </c>
      <c r="AD9" t="s">
        <v>2525</v>
      </c>
      <c r="AE9" t="s">
        <v>2525</v>
      </c>
      <c r="AF9" t="s">
        <v>2525</v>
      </c>
      <c r="AG9" t="s">
        <v>2525</v>
      </c>
      <c r="AH9" t="s">
        <v>2525</v>
      </c>
    </row>
    <row r="10" spans="1:34">
      <c r="A10" t="s">
        <v>2488</v>
      </c>
      <c r="B10" t="s">
        <v>2551</v>
      </c>
      <c r="C10" t="s">
        <v>2551</v>
      </c>
      <c r="D10" t="s">
        <v>2550</v>
      </c>
      <c r="E10" t="s">
        <v>2552</v>
      </c>
      <c r="F10" t="s">
        <v>2554</v>
      </c>
      <c r="G10" t="s">
        <v>2562</v>
      </c>
      <c r="H10" s="107" t="s">
        <v>2558</v>
      </c>
      <c r="I10" s="107"/>
      <c r="J10" s="107" t="s">
        <v>2562</v>
      </c>
      <c r="K10" s="107"/>
      <c r="L10" s="107"/>
      <c r="M10" s="107" t="s">
        <v>2544</v>
      </c>
      <c r="N10" s="107"/>
      <c r="O10" s="107"/>
      <c r="P10" s="107"/>
      <c r="Q10" s="107"/>
      <c r="R10" s="107"/>
      <c r="S10" s="107"/>
      <c r="T10" s="107"/>
      <c r="U10" s="107"/>
      <c r="V10" s="107"/>
      <c r="W10" t="s">
        <v>2526</v>
      </c>
      <c r="X10" t="s">
        <v>2546</v>
      </c>
      <c r="Y10" t="s">
        <v>2524</v>
      </c>
      <c r="Z10" t="s">
        <v>2524</v>
      </c>
      <c r="AA10" t="s">
        <v>2524</v>
      </c>
      <c r="AB10" t="s">
        <v>2543</v>
      </c>
      <c r="AF10" t="s">
        <v>2544</v>
      </c>
      <c r="AG10" t="s">
        <v>2544</v>
      </c>
      <c r="AH10" t="s">
        <v>2544</v>
      </c>
    </row>
    <row r="11" spans="1:34">
      <c r="A11" t="s">
        <v>2489</v>
      </c>
      <c r="B11" t="s">
        <v>2551</v>
      </c>
      <c r="C11" t="s">
        <v>2551</v>
      </c>
      <c r="D11" t="s">
        <v>2551</v>
      </c>
      <c r="E11" t="s">
        <v>2551</v>
      </c>
      <c r="F11" t="s">
        <v>2551</v>
      </c>
      <c r="G11" t="s">
        <v>2551</v>
      </c>
      <c r="H11" t="s">
        <v>2551</v>
      </c>
      <c r="I11" t="s">
        <v>2551</v>
      </c>
      <c r="J11" t="s">
        <v>2551</v>
      </c>
      <c r="K11" t="s">
        <v>2551</v>
      </c>
      <c r="L11" s="107" t="s">
        <v>2544</v>
      </c>
      <c r="M11" s="107"/>
      <c r="N11" s="107"/>
      <c r="O11" s="107"/>
      <c r="P11" s="107"/>
      <c r="Q11" s="107"/>
      <c r="R11" s="107"/>
      <c r="S11" s="107"/>
      <c r="T11" s="107"/>
      <c r="U11" s="107"/>
      <c r="V11" s="107"/>
      <c r="W11" t="s">
        <v>2527</v>
      </c>
      <c r="X11" t="s">
        <v>2543</v>
      </c>
      <c r="Y11" t="s">
        <v>2525</v>
      </c>
      <c r="Z11" t="s">
        <v>2525</v>
      </c>
      <c r="AA11" t="s">
        <v>2525</v>
      </c>
      <c r="AB11" t="s">
        <v>2543</v>
      </c>
      <c r="AC11" t="s">
        <v>2525</v>
      </c>
      <c r="AD11" t="s">
        <v>2525</v>
      </c>
      <c r="AE11" t="s">
        <v>2525</v>
      </c>
      <c r="AF11" t="s">
        <v>2525</v>
      </c>
      <c r="AG11" t="s">
        <v>2525</v>
      </c>
      <c r="AH11" t="s">
        <v>2544</v>
      </c>
    </row>
    <row r="12" spans="1:34">
      <c r="A12" t="s">
        <v>2490</v>
      </c>
      <c r="B12" t="s">
        <v>2551</v>
      </c>
      <c r="C12" t="s">
        <v>2551</v>
      </c>
      <c r="D12" s="107" t="s">
        <v>2544</v>
      </c>
      <c r="E12" s="107"/>
      <c r="F12" s="107"/>
      <c r="G12" s="107"/>
      <c r="H12" s="107"/>
      <c r="I12" s="107"/>
      <c r="J12" s="107"/>
      <c r="K12" s="107"/>
      <c r="L12" s="107"/>
      <c r="M12" s="107"/>
      <c r="N12" s="107"/>
      <c r="O12" t="s">
        <v>2550</v>
      </c>
      <c r="P12" t="s">
        <v>2562</v>
      </c>
      <c r="Q12" t="s">
        <v>2571</v>
      </c>
      <c r="R12" s="107" t="s">
        <v>2544</v>
      </c>
      <c r="S12" s="107"/>
      <c r="T12" s="107"/>
      <c r="U12" s="107"/>
      <c r="V12" s="107"/>
      <c r="W12" s="107"/>
      <c r="AF12" s="107" t="s">
        <v>2544</v>
      </c>
      <c r="AG12" s="107"/>
      <c r="AH12" s="107"/>
    </row>
    <row r="13" spans="1:34">
      <c r="A13" t="s">
        <v>2491</v>
      </c>
      <c r="B13" t="s">
        <v>2551</v>
      </c>
      <c r="C13" t="s">
        <v>2551</v>
      </c>
      <c r="D13" t="s">
        <v>2551</v>
      </c>
      <c r="E13" t="s">
        <v>2551</v>
      </c>
      <c r="F13" t="s">
        <v>2551</v>
      </c>
      <c r="G13" t="s">
        <v>2551</v>
      </c>
      <c r="H13" s="107" t="s">
        <v>2569</v>
      </c>
      <c r="I13" s="107"/>
      <c r="J13" s="107"/>
      <c r="K13" s="107" t="s">
        <v>2562</v>
      </c>
      <c r="L13" s="107"/>
      <c r="M13" s="107"/>
      <c r="N13" s="107"/>
      <c r="O13" s="107"/>
      <c r="P13" s="107"/>
      <c r="Q13" s="107"/>
      <c r="R13" s="107" t="s">
        <v>2544</v>
      </c>
      <c r="S13" s="107"/>
      <c r="T13" s="107"/>
      <c r="U13" s="107"/>
      <c r="V13" s="107"/>
      <c r="W13" s="107"/>
      <c r="X13" s="107"/>
      <c r="Y13" s="107"/>
      <c r="Z13" s="107"/>
      <c r="AA13" s="107"/>
      <c r="AB13" t="s">
        <v>2522</v>
      </c>
      <c r="AC13" s="107" t="s">
        <v>2544</v>
      </c>
      <c r="AD13" s="107"/>
      <c r="AE13" s="107"/>
      <c r="AF13" t="s">
        <v>2522</v>
      </c>
      <c r="AG13" t="s">
        <v>2544</v>
      </c>
      <c r="AH13" t="s">
        <v>2544</v>
      </c>
    </row>
    <row r="14" spans="1:34">
      <c r="A14" t="s">
        <v>2492</v>
      </c>
      <c r="B14" t="s">
        <v>2550</v>
      </c>
      <c r="C14" s="107" t="s">
        <v>2552</v>
      </c>
      <c r="D14" s="107"/>
      <c r="E14" t="s">
        <v>2553</v>
      </c>
      <c r="F14" s="107" t="s">
        <v>2554</v>
      </c>
      <c r="G14" s="107"/>
      <c r="H14" s="107"/>
      <c r="I14" s="107"/>
      <c r="J14" s="107"/>
      <c r="K14" s="107" t="s">
        <v>2555</v>
      </c>
      <c r="L14" s="107"/>
      <c r="M14" s="107"/>
      <c r="N14" s="107"/>
      <c r="O14" s="107"/>
      <c r="P14" s="107"/>
      <c r="Q14" s="107"/>
      <c r="R14" s="107" t="s">
        <v>2544</v>
      </c>
      <c r="S14" s="107"/>
      <c r="T14" s="107"/>
      <c r="U14" s="107"/>
      <c r="V14" s="107"/>
      <c r="W14" s="107"/>
      <c r="X14" s="107"/>
      <c r="Y14" s="107"/>
      <c r="Z14" s="107" t="s">
        <v>2523</v>
      </c>
      <c r="AA14" s="107"/>
      <c r="AB14" s="107"/>
      <c r="AC14" s="107"/>
      <c r="AD14" s="107" t="s">
        <v>2544</v>
      </c>
      <c r="AE14" s="107"/>
      <c r="AF14" t="s">
        <v>2523</v>
      </c>
      <c r="AG14" t="s">
        <v>2523</v>
      </c>
      <c r="AH14" t="s">
        <v>2523</v>
      </c>
    </row>
    <row r="15" spans="1:34">
      <c r="A15" t="s">
        <v>2493</v>
      </c>
      <c r="B15" t="s">
        <v>2551</v>
      </c>
      <c r="C15" t="s">
        <v>2551</v>
      </c>
      <c r="D15" t="s">
        <v>2550</v>
      </c>
      <c r="E15" t="s">
        <v>2552</v>
      </c>
      <c r="F15" t="s">
        <v>2563</v>
      </c>
      <c r="G15" t="s">
        <v>2562</v>
      </c>
      <c r="H15" t="s">
        <v>2564</v>
      </c>
      <c r="I15" t="s">
        <v>2564</v>
      </c>
      <c r="J15" s="107" t="s">
        <v>2562</v>
      </c>
      <c r="K15" s="107"/>
      <c r="L15" s="107"/>
      <c r="R15" s="107" t="s">
        <v>2544</v>
      </c>
      <c r="S15" s="107"/>
      <c r="T15" s="107"/>
      <c r="U15" s="107"/>
      <c r="V15" s="107"/>
      <c r="W15" s="107"/>
      <c r="X15" t="s">
        <v>2546</v>
      </c>
      <c r="Y15" t="s">
        <v>2547</v>
      </c>
      <c r="Z15" s="107" t="s">
        <v>2544</v>
      </c>
      <c r="AA15" s="107"/>
      <c r="AB15" s="107"/>
      <c r="AC15" s="107"/>
      <c r="AD15" s="107"/>
      <c r="AE15" t="s">
        <v>2545</v>
      </c>
      <c r="AF15" t="s">
        <v>2544</v>
      </c>
      <c r="AG15" t="s">
        <v>2544</v>
      </c>
      <c r="AH15" t="s">
        <v>2544</v>
      </c>
    </row>
    <row r="16" spans="1:34" hidden="1">
      <c r="A16" t="s">
        <v>2494</v>
      </c>
      <c r="B16" t="s">
        <v>2551</v>
      </c>
      <c r="C16" t="s">
        <v>2551</v>
      </c>
      <c r="D16" t="s">
        <v>2550</v>
      </c>
      <c r="E16" t="s">
        <v>2552</v>
      </c>
      <c r="F16" t="s">
        <v>2556</v>
      </c>
      <c r="H16" t="s">
        <v>2551</v>
      </c>
      <c r="I16" t="s">
        <v>2551</v>
      </c>
      <c r="J16" t="s">
        <v>2551</v>
      </c>
      <c r="K16" t="s">
        <v>2551</v>
      </c>
      <c r="L16" t="s">
        <v>2551</v>
      </c>
      <c r="M16" t="s">
        <v>2551</v>
      </c>
      <c r="N16" t="s">
        <v>2551</v>
      </c>
      <c r="O16" t="s">
        <v>2551</v>
      </c>
      <c r="P16" t="s">
        <v>2551</v>
      </c>
      <c r="Q16" t="s">
        <v>2551</v>
      </c>
      <c r="R16" t="s">
        <v>2551</v>
      </c>
      <c r="S16" t="s">
        <v>2551</v>
      </c>
      <c r="T16" t="s">
        <v>2551</v>
      </c>
      <c r="U16" t="s">
        <v>2551</v>
      </c>
      <c r="V16" t="s">
        <v>2551</v>
      </c>
      <c r="W16" t="s">
        <v>2551</v>
      </c>
      <c r="X16" t="s">
        <v>2551</v>
      </c>
      <c r="Y16" t="s">
        <v>2551</v>
      </c>
      <c r="Z16" t="s">
        <v>2551</v>
      </c>
      <c r="AA16" t="s">
        <v>2551</v>
      </c>
      <c r="AB16" t="s">
        <v>2551</v>
      </c>
      <c r="AC16" t="s">
        <v>2551</v>
      </c>
      <c r="AD16" t="s">
        <v>2551</v>
      </c>
      <c r="AE16" t="s">
        <v>2551</v>
      </c>
      <c r="AF16" t="s">
        <v>2551</v>
      </c>
      <c r="AG16" t="s">
        <v>2551</v>
      </c>
      <c r="AH16" t="s">
        <v>2551</v>
      </c>
    </row>
    <row r="17" spans="1:17" hidden="1">
      <c r="A17" t="s">
        <v>2495</v>
      </c>
      <c r="B17" t="s">
        <v>2551</v>
      </c>
      <c r="C17" t="s">
        <v>2551</v>
      </c>
      <c r="E17" t="s">
        <v>2550</v>
      </c>
      <c r="F17" t="s">
        <v>2552</v>
      </c>
      <c r="G17" t="s">
        <v>2554</v>
      </c>
      <c r="H17" s="107" t="s">
        <v>2557</v>
      </c>
      <c r="I17" s="107"/>
      <c r="J17" t="s">
        <v>2558</v>
      </c>
      <c r="K17" t="s">
        <v>2558</v>
      </c>
      <c r="L17" s="107" t="s">
        <v>2559</v>
      </c>
      <c r="M17" s="107"/>
      <c r="N17" t="s">
        <v>2560</v>
      </c>
    </row>
    <row r="18" spans="1:17" hidden="1">
      <c r="A18" t="s">
        <v>2496</v>
      </c>
      <c r="B18" t="s">
        <v>2551</v>
      </c>
      <c r="C18" t="s">
        <v>2551</v>
      </c>
      <c r="D18" t="s">
        <v>2550</v>
      </c>
      <c r="E18" t="s">
        <v>2552</v>
      </c>
      <c r="F18" s="107" t="s">
        <v>2554</v>
      </c>
      <c r="G18" s="107"/>
      <c r="H18" s="107"/>
      <c r="I18" s="107"/>
      <c r="J18" s="107"/>
      <c r="K18" s="107" t="s">
        <v>2562</v>
      </c>
      <c r="L18" s="107"/>
      <c r="M18" t="s">
        <v>2558</v>
      </c>
      <c r="N18" s="107" t="s">
        <v>2562</v>
      </c>
      <c r="O18" s="107"/>
      <c r="P18" s="107"/>
      <c r="Q18" s="107"/>
    </row>
  </sheetData>
  <mergeCells count="35">
    <mergeCell ref="L17:M17"/>
    <mergeCell ref="K18:L18"/>
    <mergeCell ref="N18:Q18"/>
    <mergeCell ref="H17:I17"/>
    <mergeCell ref="C14:D14"/>
    <mergeCell ref="F18:J18"/>
    <mergeCell ref="J15:L15"/>
    <mergeCell ref="AF12:AH12"/>
    <mergeCell ref="K14:Q14"/>
    <mergeCell ref="P6:Q6"/>
    <mergeCell ref="P7:Q7"/>
    <mergeCell ref="P3:Q3"/>
    <mergeCell ref="R13:AA13"/>
    <mergeCell ref="R14:Y14"/>
    <mergeCell ref="R15:W15"/>
    <mergeCell ref="Z15:AD15"/>
    <mergeCell ref="Z14:AC14"/>
    <mergeCell ref="AD14:AE14"/>
    <mergeCell ref="AC13:AE13"/>
    <mergeCell ref="F5:G5"/>
    <mergeCell ref="D12:N12"/>
    <mergeCell ref="M10:V10"/>
    <mergeCell ref="L11:V11"/>
    <mergeCell ref="R12:W12"/>
    <mergeCell ref="H9:I9"/>
    <mergeCell ref="H5:I5"/>
    <mergeCell ref="J9:L9"/>
    <mergeCell ref="N9:Q9"/>
    <mergeCell ref="N5:Q5"/>
    <mergeCell ref="J5:L5"/>
    <mergeCell ref="H13:J13"/>
    <mergeCell ref="K13:Q13"/>
    <mergeCell ref="F14:J14"/>
    <mergeCell ref="H10:I10"/>
    <mergeCell ref="J10:L10"/>
  </mergeCells>
  <conditionalFormatting sqref="A2:AH2 A8:AH8 A5:F5 J5 A16:AH16 A13:H13 A14:C14 K13:K14 A11:L11 A9:H10 M10 M9:N9 R9:AH9 M5:N5 H5 A12:D12 O12:Q12 W10:AH11 X12:AF12 AB13:AC13 Z14 A15:J15 X15:Z15 AE15:AH15 AD14 AF13:AH14 R5:AH7 A4:AH4 A3:P3 R3:AH3 M15:Q15 A18:F18 A17:H17 N17:AH17 M18:N18 R18:AH18 J17:L17 E14:F14 K18 J9:J10 A1:K1 B6:P7">
    <cfRule type="containsText" dxfId="24" priority="25" operator="containsText" text="contraindicated">
      <formula>NOT(ISERROR(SEARCH("contraindicated",A1)))</formula>
    </cfRule>
    <cfRule type="containsText" dxfId="23" priority="26" operator="containsText" text="catch">
      <formula>NOT(ISERROR(SEARCH("catch",A1)))</formula>
    </cfRule>
    <cfRule type="containsText" dxfId="22" priority="27" operator="containsText" text="dose">
      <formula>NOT(ISERROR(SEARCH("dose",A1)))</formula>
    </cfRule>
    <cfRule type="containsText" dxfId="21" priority="29" operator="containsText" text="No recommendation">
      <formula>NOT(ISERROR(SEARCH("No recommendation",A1)))</formula>
    </cfRule>
  </conditionalFormatting>
  <conditionalFormatting sqref="W2:W11 W16:W1048576">
    <cfRule type="expression" dxfId="20" priority="19">
      <formula>NOT(Age&gt;=65)</formula>
    </cfRule>
  </conditionalFormatting>
  <conditionalFormatting sqref="V2:V11 V16:V1048576">
    <cfRule type="expression" dxfId="19" priority="18">
      <formula>OR(Age&lt;60,Age&gt;=65)</formula>
    </cfRule>
  </conditionalFormatting>
  <conditionalFormatting sqref="U2:U11 U16:U1048576">
    <cfRule type="expression" dxfId="18" priority="17">
      <formula>OR(Age&lt;50,Age&gt;=60)</formula>
    </cfRule>
  </conditionalFormatting>
  <conditionalFormatting sqref="T2:T11 T16:T1048576">
    <cfRule type="expression" dxfId="17" priority="16">
      <formula>OR(Age&gt;=50,Age&lt;27)</formula>
    </cfRule>
  </conditionalFormatting>
  <conditionalFormatting sqref="S2:S11 S16:S1048576">
    <cfRule type="expression" dxfId="16" priority="15">
      <formula>OR(Age&gt;=27,Age&lt;22)</formula>
    </cfRule>
  </conditionalFormatting>
  <conditionalFormatting sqref="R2:R11 R16:R1048576">
    <cfRule type="expression" dxfId="15" priority="14">
      <formula>OR(Age&gt;21,Age&lt;19)</formula>
    </cfRule>
  </conditionalFormatting>
  <conditionalFormatting sqref="A2:AH5 A1:K1 A8:AH18 B6:AH7">
    <cfRule type="containsText" dxfId="14" priority="28" operator="containsText" text="See other">
      <formula>NOT(ISERROR(SEARCH("See other",A1)))</formula>
    </cfRule>
  </conditionalFormatting>
  <conditionalFormatting sqref="AC2:AC1048576">
    <cfRule type="expression" dxfId="13" priority="11">
      <formula>NOT(CrCl&lt;15)</formula>
    </cfRule>
  </conditionalFormatting>
  <conditionalFormatting sqref="L2:L1048576">
    <cfRule type="expression" dxfId="12" priority="9">
      <formula>NOT(OR(Age=2,Age=3))</formula>
    </cfRule>
  </conditionalFormatting>
  <conditionalFormatting sqref="M2:M1048576">
    <cfRule type="expression" dxfId="11" priority="8">
      <formula>NOT(OR(Age=4,Age=5,Age=6))</formula>
    </cfRule>
  </conditionalFormatting>
  <conditionalFormatting sqref="N2:N1048576">
    <cfRule type="expression" dxfId="10" priority="7">
      <formula>NOT(AND(Age&gt;=7,Age&lt;=10))</formula>
    </cfRule>
  </conditionalFormatting>
  <conditionalFormatting sqref="O2:O1048576">
    <cfRule type="expression" dxfId="9" priority="6">
      <formula>NOT(OR(Age=11,Age=12))</formula>
    </cfRule>
  </conditionalFormatting>
  <conditionalFormatting sqref="P2:P1048576">
    <cfRule type="expression" dxfId="8" priority="5">
      <formula>NOT(AND(Age&gt;=13,Age&lt;=15))</formula>
    </cfRule>
  </conditionalFormatting>
  <conditionalFormatting sqref="Q2:Q1048576">
    <cfRule type="expression" dxfId="7" priority="4">
      <formula>NOT(AND(Age&gt;=16,Age&lt;=18))</formula>
    </cfRule>
  </conditionalFormatting>
  <conditionalFormatting sqref="B6:XFD6">
    <cfRule type="expression" dxfId="6" priority="3">
      <formula>NOT(AND(Sex="Female",Age&lt;=26))</formula>
    </cfRule>
  </conditionalFormatting>
  <conditionalFormatting sqref="B7:XFD7">
    <cfRule type="expression" dxfId="5" priority="2">
      <formula>NOT(AND(Sex="Male",Age&lt;=26))</formula>
    </cfRule>
  </conditionalFormatting>
  <conditionalFormatting sqref="AC7:AH7">
    <cfRule type="expression" dxfId="4" priority="1">
      <formula>NOT(Age&lt;=21)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0" id="{9ECD22E7-FB3C-4F78-8626-40FD34B960C9}">
            <xm:f>NOT('Vitals and Labs'!$B$3="Yes")</xm:f>
            <x14:dxf>
              <font>
                <color theme="0"/>
              </font>
              <fill>
                <patternFill patternType="none">
                  <bgColor auto="1"/>
                </patternFill>
              </fill>
            </x14:dxf>
          </x14:cfRule>
          <xm:sqref>X2:X12 X15:X1048576</xm:sqref>
        </x14:conditionalFormatting>
        <x14:conditionalFormatting xmlns:xm="http://schemas.microsoft.com/office/excel/2006/main">
          <x14:cfRule type="expression" priority="13" id="{E3816E64-00EB-4FB3-86C6-350A2049E6D7}">
            <xm:f>NOT(AND('Vitals and Labs'!$B$125&lt;=200,'Vitals and Labs'!$B$124&gt;0))</xm:f>
            <x14:dxf>
              <font>
                <color theme="0"/>
              </font>
              <fill>
                <patternFill patternType="none">
                  <bgColor auto="1"/>
                </patternFill>
              </fill>
            </x14:dxf>
          </x14:cfRule>
          <xm:sqref>Z2:Z1048576</xm:sqref>
        </x14:conditionalFormatting>
        <x14:conditionalFormatting xmlns:xm="http://schemas.microsoft.com/office/excel/2006/main">
          <x14:cfRule type="expression" priority="12" id="{5B76CFB4-9702-4B1D-9103-8D7049F07A77}">
            <xm:f>OR(NOT('Vitals and Labs'!$B$125&gt;200),'Vitals and Labs'!$B$125="")</xm:f>
            <x14:dxf>
              <font>
                <color theme="0"/>
              </font>
              <fill>
                <patternFill patternType="none">
                  <bgColor auto="1"/>
                </patternFill>
              </fill>
            </x14:dxf>
          </x14:cfRule>
          <xm:sqref>AA2:AA1048576</xm:sqref>
        </x14:conditionalFormatting>
        <x14:conditionalFormatting xmlns:xm="http://schemas.microsoft.com/office/excel/2006/main">
          <x14:cfRule type="expression" priority="10" id="{EB590F6C-ECBB-4ACC-B7B1-25D1E0BBDC8A}">
            <xm:f>NOT(OR(A1C&gt;6.5,FPG&gt;130,'Vitals and Labs'!$B$128="Yes"))</xm:f>
            <x14:dxf>
              <font>
                <color theme="0"/>
              </font>
              <fill>
                <patternFill patternType="none">
                  <bgColor auto="1"/>
                </patternFill>
              </fill>
            </x14:dxf>
          </x14:cfRule>
          <xm:sqref>AG2:AG1048576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E2" sqref="E2"/>
    </sheetView>
  </sheetViews>
  <sheetFormatPr defaultRowHeight="15"/>
  <sheetData>
    <row r="1" spans="1:14">
      <c r="A1" t="s">
        <v>2394</v>
      </c>
    </row>
    <row r="2" spans="1:14">
      <c r="A2" t="s">
        <v>2137</v>
      </c>
      <c r="B2" t="s">
        <v>2460</v>
      </c>
      <c r="C2" t="s">
        <v>2461</v>
      </c>
      <c r="D2" t="s">
        <v>2462</v>
      </c>
      <c r="E2" t="s">
        <v>2463</v>
      </c>
      <c r="F2" t="s">
        <v>2464</v>
      </c>
      <c r="G2" t="s">
        <v>2465</v>
      </c>
      <c r="H2" t="s">
        <v>2466</v>
      </c>
      <c r="I2" t="s">
        <v>2475</v>
      </c>
      <c r="J2" t="s">
        <v>117</v>
      </c>
      <c r="K2" t="s">
        <v>187</v>
      </c>
      <c r="L2" t="s">
        <v>1847</v>
      </c>
      <c r="M2" t="s">
        <v>2467</v>
      </c>
      <c r="N2" t="s">
        <v>2468</v>
      </c>
    </row>
    <row r="3" spans="1:14">
      <c r="A3">
        <v>20</v>
      </c>
      <c r="B3">
        <v>-9</v>
      </c>
      <c r="C3">
        <v>0</v>
      </c>
      <c r="D3">
        <v>4</v>
      </c>
      <c r="E3">
        <v>7</v>
      </c>
      <c r="F3">
        <v>9</v>
      </c>
      <c r="G3">
        <v>11</v>
      </c>
      <c r="H3">
        <v>8</v>
      </c>
      <c r="I3">
        <f t="shared" ref="I3:I12" si="0">IF(TC&gt;=280,G3,IF(TC&gt;=240,F3,IF(TC&gt;=200,E3,IF(TC&gt;=160,D3,C3))))+B3+IF(Smoker?="Yes",H3,0)</f>
        <v>-9</v>
      </c>
      <c r="J3">
        <v>0</v>
      </c>
      <c r="K3">
        <v>2</v>
      </c>
      <c r="L3">
        <v>0</v>
      </c>
      <c r="M3">
        <v>0</v>
      </c>
      <c r="N3">
        <v>0</v>
      </c>
    </row>
    <row r="4" spans="1:14">
      <c r="A4">
        <v>35</v>
      </c>
      <c r="B4">
        <v>-4</v>
      </c>
      <c r="C4">
        <v>0</v>
      </c>
      <c r="D4">
        <v>4</v>
      </c>
      <c r="E4">
        <v>7</v>
      </c>
      <c r="F4">
        <v>9</v>
      </c>
      <c r="G4">
        <v>11</v>
      </c>
      <c r="H4">
        <v>8</v>
      </c>
      <c r="I4">
        <f t="shared" si="0"/>
        <v>-4</v>
      </c>
      <c r="J4">
        <v>40</v>
      </c>
      <c r="K4">
        <v>1</v>
      </c>
      <c r="L4">
        <v>120</v>
      </c>
      <c r="M4">
        <v>0</v>
      </c>
      <c r="N4">
        <v>1</v>
      </c>
    </row>
    <row r="5" spans="1:14">
      <c r="A5">
        <v>40</v>
      </c>
      <c r="B5">
        <v>0</v>
      </c>
      <c r="C5">
        <v>0</v>
      </c>
      <c r="D5">
        <v>3</v>
      </c>
      <c r="E5">
        <v>5</v>
      </c>
      <c r="F5">
        <v>6</v>
      </c>
      <c r="G5">
        <v>8</v>
      </c>
      <c r="H5">
        <v>5</v>
      </c>
      <c r="I5">
        <f t="shared" si="0"/>
        <v>0</v>
      </c>
      <c r="J5">
        <v>50</v>
      </c>
      <c r="K5">
        <v>0</v>
      </c>
      <c r="L5">
        <v>130</v>
      </c>
      <c r="M5">
        <v>1</v>
      </c>
      <c r="N5">
        <v>2</v>
      </c>
    </row>
    <row r="6" spans="1:14">
      <c r="A6">
        <v>45</v>
      </c>
      <c r="B6">
        <v>3</v>
      </c>
      <c r="C6">
        <v>0</v>
      </c>
      <c r="D6">
        <v>3</v>
      </c>
      <c r="E6">
        <v>5</v>
      </c>
      <c r="F6">
        <v>6</v>
      </c>
      <c r="G6">
        <v>8</v>
      </c>
      <c r="H6">
        <v>5</v>
      </c>
      <c r="I6">
        <f t="shared" si="0"/>
        <v>3</v>
      </c>
      <c r="J6">
        <v>60</v>
      </c>
      <c r="K6">
        <v>-1</v>
      </c>
      <c r="L6">
        <v>140</v>
      </c>
      <c r="M6">
        <v>1</v>
      </c>
      <c r="N6">
        <v>2</v>
      </c>
    </row>
    <row r="7" spans="1:14">
      <c r="A7">
        <v>50</v>
      </c>
      <c r="B7">
        <v>6</v>
      </c>
      <c r="C7">
        <v>0</v>
      </c>
      <c r="D7">
        <v>2</v>
      </c>
      <c r="E7">
        <v>3</v>
      </c>
      <c r="F7">
        <v>4</v>
      </c>
      <c r="G7">
        <v>5</v>
      </c>
      <c r="H7">
        <v>3</v>
      </c>
      <c r="I7">
        <f t="shared" si="0"/>
        <v>6</v>
      </c>
      <c r="L7">
        <v>160</v>
      </c>
      <c r="M7">
        <v>2</v>
      </c>
      <c r="N7">
        <v>3</v>
      </c>
    </row>
    <row r="8" spans="1:14">
      <c r="A8">
        <v>55</v>
      </c>
      <c r="B8">
        <v>8</v>
      </c>
      <c r="C8">
        <v>0</v>
      </c>
      <c r="D8">
        <v>2</v>
      </c>
      <c r="E8">
        <v>3</v>
      </c>
      <c r="F8">
        <v>4</v>
      </c>
      <c r="G8">
        <v>5</v>
      </c>
      <c r="H8">
        <v>3</v>
      </c>
      <c r="I8">
        <f t="shared" si="0"/>
        <v>8</v>
      </c>
    </row>
    <row r="9" spans="1:14">
      <c r="A9">
        <v>60</v>
      </c>
      <c r="B9">
        <v>10</v>
      </c>
      <c r="C9">
        <v>0</v>
      </c>
      <c r="D9">
        <v>1</v>
      </c>
      <c r="E9">
        <v>1</v>
      </c>
      <c r="F9">
        <v>2</v>
      </c>
      <c r="G9">
        <v>3</v>
      </c>
      <c r="H9">
        <v>1</v>
      </c>
      <c r="I9">
        <f t="shared" si="0"/>
        <v>10</v>
      </c>
    </row>
    <row r="10" spans="1:14">
      <c r="A10">
        <v>65</v>
      </c>
      <c r="B10">
        <v>11</v>
      </c>
      <c r="C10">
        <v>0</v>
      </c>
      <c r="D10">
        <v>1</v>
      </c>
      <c r="E10">
        <v>1</v>
      </c>
      <c r="F10">
        <v>2</v>
      </c>
      <c r="G10">
        <v>3</v>
      </c>
      <c r="H10">
        <v>1</v>
      </c>
      <c r="I10">
        <f t="shared" si="0"/>
        <v>11</v>
      </c>
    </row>
    <row r="11" spans="1:14">
      <c r="A11">
        <v>70</v>
      </c>
      <c r="B11">
        <v>12</v>
      </c>
      <c r="C11">
        <v>0</v>
      </c>
      <c r="D11">
        <v>0</v>
      </c>
      <c r="E11">
        <v>0</v>
      </c>
      <c r="F11">
        <v>1</v>
      </c>
      <c r="G11">
        <v>1</v>
      </c>
      <c r="H11">
        <v>1</v>
      </c>
      <c r="I11">
        <f t="shared" si="0"/>
        <v>12</v>
      </c>
    </row>
    <row r="12" spans="1:14">
      <c r="A12">
        <v>75</v>
      </c>
      <c r="B12">
        <v>13</v>
      </c>
      <c r="I12">
        <f t="shared" si="0"/>
        <v>13</v>
      </c>
    </row>
    <row r="14" spans="1:14">
      <c r="A14" t="s">
        <v>2460</v>
      </c>
      <c r="B14" t="s">
        <v>2469</v>
      </c>
      <c r="D14" t="s">
        <v>2475</v>
      </c>
      <c r="E14" t="s">
        <v>2261</v>
      </c>
    </row>
    <row r="15" spans="1:14">
      <c r="A15">
        <v>0</v>
      </c>
      <c r="B15" t="s">
        <v>2470</v>
      </c>
      <c r="D15">
        <f>VLOOKUP(Age,A3:I12,9,TRUE)+VLOOKUP(HDL,J3:K6,2,TRUE)+VLOOKUP(SBP,L3:N7,IF(HTN_treated?="Yes",3,2),TRUE)</f>
        <v>-2</v>
      </c>
      <c r="E15" t="str">
        <f>VLOOKUP(IF(D15&lt;0,0,D15),A15:B28,2,TRUE)</f>
        <v>&lt;1</v>
      </c>
    </row>
    <row r="16" spans="1:14">
      <c r="A16" s="88">
        <v>1</v>
      </c>
      <c r="B16">
        <v>1</v>
      </c>
    </row>
    <row r="17" spans="1:2">
      <c r="A17" s="88">
        <v>5</v>
      </c>
      <c r="B17">
        <v>2</v>
      </c>
    </row>
    <row r="18" spans="1:2">
      <c r="A18">
        <v>7</v>
      </c>
      <c r="B18">
        <v>3</v>
      </c>
    </row>
    <row r="19" spans="1:2">
      <c r="A19">
        <v>8</v>
      </c>
      <c r="B19">
        <v>4</v>
      </c>
    </row>
    <row r="20" spans="1:2">
      <c r="A20">
        <v>9</v>
      </c>
      <c r="B20">
        <v>5</v>
      </c>
    </row>
    <row r="21" spans="1:2">
      <c r="A21">
        <v>10</v>
      </c>
      <c r="B21">
        <v>6</v>
      </c>
    </row>
    <row r="22" spans="1:2">
      <c r="A22">
        <v>11</v>
      </c>
      <c r="B22">
        <v>8</v>
      </c>
    </row>
    <row r="23" spans="1:2">
      <c r="A23">
        <v>12</v>
      </c>
      <c r="B23">
        <v>10</v>
      </c>
    </row>
    <row r="24" spans="1:2">
      <c r="A24">
        <v>13</v>
      </c>
      <c r="B24">
        <v>12</v>
      </c>
    </row>
    <row r="25" spans="1:2">
      <c r="A25">
        <v>14</v>
      </c>
      <c r="B25">
        <v>16</v>
      </c>
    </row>
    <row r="26" spans="1:2">
      <c r="A26">
        <v>15</v>
      </c>
      <c r="B26">
        <v>20</v>
      </c>
    </row>
    <row r="27" spans="1:2">
      <c r="A27">
        <v>16</v>
      </c>
      <c r="B27">
        <v>25</v>
      </c>
    </row>
    <row r="28" spans="1:2">
      <c r="A28">
        <v>17</v>
      </c>
      <c r="B28" t="s">
        <v>2471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D16" sqref="D16"/>
    </sheetView>
  </sheetViews>
  <sheetFormatPr defaultRowHeight="15"/>
  <sheetData>
    <row r="1" spans="1:14">
      <c r="A1" t="s">
        <v>2395</v>
      </c>
    </row>
    <row r="2" spans="1:14">
      <c r="A2" t="s">
        <v>2137</v>
      </c>
      <c r="B2" t="s">
        <v>2460</v>
      </c>
      <c r="C2" t="s">
        <v>2461</v>
      </c>
      <c r="D2" t="s">
        <v>2462</v>
      </c>
      <c r="E2" t="s">
        <v>2463</v>
      </c>
      <c r="F2" t="s">
        <v>2464</v>
      </c>
      <c r="G2" t="s">
        <v>2465</v>
      </c>
      <c r="H2" t="s">
        <v>2466</v>
      </c>
      <c r="I2" t="s">
        <v>2475</v>
      </c>
      <c r="J2" t="s">
        <v>117</v>
      </c>
      <c r="K2" t="s">
        <v>187</v>
      </c>
      <c r="L2" t="s">
        <v>1847</v>
      </c>
      <c r="M2" t="s">
        <v>2467</v>
      </c>
      <c r="N2" t="s">
        <v>2468</v>
      </c>
    </row>
    <row r="3" spans="1:14">
      <c r="A3">
        <v>20</v>
      </c>
      <c r="B3">
        <v>-7</v>
      </c>
      <c r="C3">
        <v>0</v>
      </c>
      <c r="D3">
        <v>4</v>
      </c>
      <c r="E3">
        <v>8</v>
      </c>
      <c r="F3">
        <v>11</v>
      </c>
      <c r="G3">
        <v>13</v>
      </c>
      <c r="H3">
        <v>9</v>
      </c>
      <c r="I3">
        <f t="shared" ref="I3:I12" si="0">IF(TC&gt;=280,G3,IF(TC&gt;=240,F3,IF(TC&gt;=200,E3,IF(TC&gt;=160,D3,C3))))+B3+IF(Smoker?="Yes",H3,0)</f>
        <v>-7</v>
      </c>
      <c r="J3">
        <v>0</v>
      </c>
      <c r="K3">
        <v>2</v>
      </c>
      <c r="L3">
        <v>0</v>
      </c>
      <c r="M3">
        <v>0</v>
      </c>
      <c r="N3">
        <v>0</v>
      </c>
    </row>
    <row r="4" spans="1:14">
      <c r="A4">
        <v>35</v>
      </c>
      <c r="B4">
        <v>-3</v>
      </c>
      <c r="C4">
        <v>0</v>
      </c>
      <c r="D4">
        <v>4</v>
      </c>
      <c r="E4">
        <v>8</v>
      </c>
      <c r="F4">
        <v>11</v>
      </c>
      <c r="G4">
        <v>13</v>
      </c>
      <c r="H4">
        <v>9</v>
      </c>
      <c r="I4">
        <f t="shared" si="0"/>
        <v>-3</v>
      </c>
      <c r="J4">
        <v>40</v>
      </c>
      <c r="K4">
        <v>1</v>
      </c>
      <c r="L4">
        <v>120</v>
      </c>
      <c r="M4">
        <v>1</v>
      </c>
      <c r="N4">
        <v>3</v>
      </c>
    </row>
    <row r="5" spans="1:14">
      <c r="A5">
        <v>40</v>
      </c>
      <c r="B5">
        <v>0</v>
      </c>
      <c r="C5">
        <v>0</v>
      </c>
      <c r="D5">
        <v>3</v>
      </c>
      <c r="E5">
        <v>6</v>
      </c>
      <c r="F5">
        <v>8</v>
      </c>
      <c r="G5">
        <v>10</v>
      </c>
      <c r="H5">
        <v>7</v>
      </c>
      <c r="I5">
        <f t="shared" si="0"/>
        <v>0</v>
      </c>
      <c r="J5">
        <v>50</v>
      </c>
      <c r="K5">
        <v>0</v>
      </c>
      <c r="L5">
        <v>130</v>
      </c>
      <c r="M5">
        <v>2</v>
      </c>
      <c r="N5">
        <v>4</v>
      </c>
    </row>
    <row r="6" spans="1:14">
      <c r="A6">
        <v>45</v>
      </c>
      <c r="B6">
        <v>3</v>
      </c>
      <c r="C6">
        <v>0</v>
      </c>
      <c r="D6">
        <v>3</v>
      </c>
      <c r="E6">
        <v>6</v>
      </c>
      <c r="F6">
        <v>8</v>
      </c>
      <c r="G6">
        <v>10</v>
      </c>
      <c r="H6">
        <v>7</v>
      </c>
      <c r="I6">
        <f t="shared" si="0"/>
        <v>3</v>
      </c>
      <c r="J6">
        <v>60</v>
      </c>
      <c r="K6">
        <v>-1</v>
      </c>
      <c r="L6">
        <v>140</v>
      </c>
      <c r="M6">
        <v>3</v>
      </c>
      <c r="N6">
        <v>5</v>
      </c>
    </row>
    <row r="7" spans="1:14">
      <c r="A7">
        <v>50</v>
      </c>
      <c r="B7">
        <v>6</v>
      </c>
      <c r="C7">
        <v>0</v>
      </c>
      <c r="D7">
        <v>2</v>
      </c>
      <c r="E7">
        <v>4</v>
      </c>
      <c r="F7">
        <v>5</v>
      </c>
      <c r="G7">
        <v>7</v>
      </c>
      <c r="H7">
        <v>4</v>
      </c>
      <c r="I7">
        <f t="shared" si="0"/>
        <v>6</v>
      </c>
      <c r="L7">
        <v>160</v>
      </c>
      <c r="M7">
        <v>4</v>
      </c>
      <c r="N7">
        <v>6</v>
      </c>
    </row>
    <row r="8" spans="1:14">
      <c r="A8">
        <v>55</v>
      </c>
      <c r="B8">
        <v>8</v>
      </c>
      <c r="C8">
        <v>0</v>
      </c>
      <c r="D8">
        <v>2</v>
      </c>
      <c r="E8">
        <v>4</v>
      </c>
      <c r="F8">
        <v>5</v>
      </c>
      <c r="G8">
        <v>7</v>
      </c>
      <c r="H8">
        <v>4</v>
      </c>
      <c r="I8">
        <f t="shared" si="0"/>
        <v>8</v>
      </c>
    </row>
    <row r="9" spans="1:14">
      <c r="A9">
        <v>60</v>
      </c>
      <c r="B9">
        <v>10</v>
      </c>
      <c r="C9">
        <v>0</v>
      </c>
      <c r="D9">
        <v>1</v>
      </c>
      <c r="E9">
        <v>2</v>
      </c>
      <c r="F9">
        <v>3</v>
      </c>
      <c r="G9">
        <v>4</v>
      </c>
      <c r="H9">
        <v>2</v>
      </c>
      <c r="I9">
        <f t="shared" si="0"/>
        <v>10</v>
      </c>
    </row>
    <row r="10" spans="1:14">
      <c r="A10">
        <v>65</v>
      </c>
      <c r="B10">
        <v>12</v>
      </c>
      <c r="C10">
        <v>0</v>
      </c>
      <c r="D10">
        <v>1</v>
      </c>
      <c r="E10">
        <v>2</v>
      </c>
      <c r="F10">
        <v>3</v>
      </c>
      <c r="G10">
        <v>4</v>
      </c>
      <c r="H10">
        <v>2</v>
      </c>
      <c r="I10">
        <f t="shared" si="0"/>
        <v>12</v>
      </c>
    </row>
    <row r="11" spans="1:14">
      <c r="A11">
        <v>70</v>
      </c>
      <c r="B11">
        <v>14</v>
      </c>
      <c r="C11">
        <v>0</v>
      </c>
      <c r="D11">
        <v>1</v>
      </c>
      <c r="E11">
        <v>1</v>
      </c>
      <c r="F11">
        <v>2</v>
      </c>
      <c r="G11">
        <v>2</v>
      </c>
      <c r="H11">
        <v>1</v>
      </c>
      <c r="I11">
        <f t="shared" si="0"/>
        <v>14</v>
      </c>
    </row>
    <row r="12" spans="1:14">
      <c r="A12">
        <v>75</v>
      </c>
      <c r="B12">
        <v>16</v>
      </c>
      <c r="C12">
        <v>0</v>
      </c>
      <c r="D12">
        <v>1</v>
      </c>
      <c r="E12">
        <v>1</v>
      </c>
      <c r="F12">
        <v>2</v>
      </c>
      <c r="G12">
        <v>2</v>
      </c>
      <c r="H12">
        <v>1</v>
      </c>
      <c r="I12">
        <f t="shared" si="0"/>
        <v>16</v>
      </c>
    </row>
    <row r="15" spans="1:14">
      <c r="A15" t="s">
        <v>2460</v>
      </c>
      <c r="B15" t="s">
        <v>2472</v>
      </c>
      <c r="D15" t="s">
        <v>2475</v>
      </c>
      <c r="E15" t="s">
        <v>2261</v>
      </c>
    </row>
    <row r="16" spans="1:14">
      <c r="A16" s="89">
        <v>0</v>
      </c>
      <c r="B16" t="s">
        <v>2470</v>
      </c>
      <c r="D16">
        <f>VLOOKUP(Age,A3:I12,9,TRUE)+VLOOKUP(HDL,J3:K6,2,TRUE)+VLOOKUP(SBP,L3:N7,IF(HTN_treated?="Yes",3,2),TRUE)</f>
        <v>-1</v>
      </c>
      <c r="E16" t="str">
        <f>VLOOKUP(IF(D16&lt;0,0,D16),A16:B29,2,TRUE)&amp;"%"</f>
        <v>&lt;1%</v>
      </c>
    </row>
    <row r="17" spans="1:2">
      <c r="A17" s="89">
        <v>11</v>
      </c>
      <c r="B17">
        <v>1</v>
      </c>
    </row>
    <row r="18" spans="1:2">
      <c r="A18" s="89">
        <v>13</v>
      </c>
      <c r="B18">
        <v>2</v>
      </c>
    </row>
    <row r="19" spans="1:2">
      <c r="A19" s="89">
        <v>15</v>
      </c>
      <c r="B19">
        <v>3</v>
      </c>
    </row>
    <row r="20" spans="1:2">
      <c r="A20" s="89">
        <v>16</v>
      </c>
      <c r="B20">
        <v>4</v>
      </c>
    </row>
    <row r="21" spans="1:2">
      <c r="A21">
        <v>17</v>
      </c>
      <c r="B21">
        <v>5</v>
      </c>
    </row>
    <row r="22" spans="1:2">
      <c r="A22">
        <v>18</v>
      </c>
      <c r="B22">
        <v>6</v>
      </c>
    </row>
    <row r="23" spans="1:2">
      <c r="A23">
        <v>19</v>
      </c>
      <c r="B23">
        <v>8</v>
      </c>
    </row>
    <row r="24" spans="1:2">
      <c r="A24">
        <v>20</v>
      </c>
      <c r="B24">
        <v>11</v>
      </c>
    </row>
    <row r="25" spans="1:2">
      <c r="A25">
        <v>21</v>
      </c>
      <c r="B25">
        <v>14</v>
      </c>
    </row>
    <row r="26" spans="1:2">
      <c r="A26">
        <v>22</v>
      </c>
      <c r="B26">
        <v>17</v>
      </c>
    </row>
    <row r="27" spans="1:2">
      <c r="A27">
        <v>23</v>
      </c>
      <c r="B27">
        <v>22</v>
      </c>
    </row>
    <row r="28" spans="1:2">
      <c r="A28">
        <v>24</v>
      </c>
      <c r="B28">
        <v>27</v>
      </c>
    </row>
    <row r="29" spans="1:2">
      <c r="A29">
        <v>25</v>
      </c>
      <c r="B29" t="s">
        <v>2471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232"/>
  <sheetViews>
    <sheetView workbookViewId="0">
      <selection activeCell="L119" sqref="L119"/>
    </sheetView>
  </sheetViews>
  <sheetFormatPr defaultRowHeight="15" outlineLevelRow="2"/>
  <cols>
    <col min="1" max="1" width="15" customWidth="1"/>
    <col min="2" max="2" width="11.85546875" bestFit="1" customWidth="1"/>
    <col min="3" max="5" width="18.28515625" customWidth="1"/>
    <col min="6" max="6" width="15" customWidth="1"/>
    <col min="7" max="7" width="14.5703125" customWidth="1"/>
    <col min="8" max="8" width="6.7109375" customWidth="1"/>
    <col min="9" max="9" width="5.42578125" bestFit="1" customWidth="1"/>
    <col min="10" max="10" width="5.42578125" customWidth="1"/>
    <col min="11" max="12" width="6.28515625" customWidth="1"/>
    <col min="13" max="13" width="20" customWidth="1"/>
    <col min="14" max="14" width="9.85546875" bestFit="1" customWidth="1"/>
    <col min="15" max="15" width="9.140625" customWidth="1"/>
    <col min="18" max="18" width="80.28515625" customWidth="1"/>
  </cols>
  <sheetData>
    <row r="1" spans="1:19">
      <c r="A1" t="s">
        <v>151</v>
      </c>
      <c r="B1" t="s">
        <v>152</v>
      </c>
      <c r="C1" t="s">
        <v>406</v>
      </c>
      <c r="D1" t="s">
        <v>365</v>
      </c>
      <c r="E1" t="s">
        <v>367</v>
      </c>
      <c r="F1" t="s">
        <v>153</v>
      </c>
      <c r="G1" t="s">
        <v>154</v>
      </c>
      <c r="H1" t="s">
        <v>157</v>
      </c>
      <c r="I1" t="s">
        <v>158</v>
      </c>
      <c r="J1" t="s">
        <v>424</v>
      </c>
      <c r="K1" t="s">
        <v>249</v>
      </c>
      <c r="L1" t="s">
        <v>2473</v>
      </c>
      <c r="M1" t="s">
        <v>220</v>
      </c>
      <c r="N1" t="s">
        <v>221</v>
      </c>
      <c r="O1" t="s">
        <v>222</v>
      </c>
      <c r="P1" t="s">
        <v>543</v>
      </c>
      <c r="Q1" t="s">
        <v>223</v>
      </c>
      <c r="R1" t="s">
        <v>248</v>
      </c>
    </row>
    <row r="2" spans="1:19">
      <c r="A2" s="1" t="s">
        <v>2123</v>
      </c>
      <c r="N2" s="1"/>
    </row>
    <row r="3" spans="1:19" hidden="1" outlineLevel="1">
      <c r="A3" s="1" t="s">
        <v>2117</v>
      </c>
      <c r="N3" s="1"/>
    </row>
    <row r="4" spans="1:19" ht="15" hidden="1" customHeight="1" outlineLevel="2">
      <c r="A4" t="s">
        <v>363</v>
      </c>
      <c r="B4" t="s">
        <v>364</v>
      </c>
      <c r="C4">
        <v>10</v>
      </c>
      <c r="D4">
        <v>40</v>
      </c>
      <c r="E4" t="s">
        <v>366</v>
      </c>
      <c r="F4" t="s">
        <v>155</v>
      </c>
      <c r="G4" t="s">
        <v>156</v>
      </c>
      <c r="I4" t="s">
        <v>369</v>
      </c>
      <c r="N4" t="s">
        <v>124</v>
      </c>
      <c r="R4" s="6" t="s">
        <v>368</v>
      </c>
    </row>
    <row r="5" spans="1:19" hidden="1" outlineLevel="2">
      <c r="A5" t="s">
        <v>370</v>
      </c>
      <c r="B5" t="s">
        <v>371</v>
      </c>
      <c r="C5">
        <v>12.5</v>
      </c>
      <c r="D5">
        <v>150</v>
      </c>
      <c r="E5" t="s">
        <v>372</v>
      </c>
      <c r="I5" t="s">
        <v>369</v>
      </c>
      <c r="N5" t="s">
        <v>124</v>
      </c>
    </row>
    <row r="6" spans="1:19" hidden="1" outlineLevel="2">
      <c r="A6" t="s">
        <v>381</v>
      </c>
      <c r="B6" t="s">
        <v>373</v>
      </c>
      <c r="C6">
        <v>5</v>
      </c>
      <c r="D6">
        <v>40</v>
      </c>
      <c r="E6" t="s">
        <v>366</v>
      </c>
      <c r="I6" t="s">
        <v>369</v>
      </c>
      <c r="N6" t="s">
        <v>124</v>
      </c>
      <c r="S6" t="s">
        <v>224</v>
      </c>
    </row>
    <row r="7" spans="1:19" hidden="1" outlineLevel="2">
      <c r="A7" t="s">
        <v>382</v>
      </c>
      <c r="B7" t="s">
        <v>374</v>
      </c>
      <c r="C7">
        <v>10</v>
      </c>
      <c r="D7">
        <v>40</v>
      </c>
      <c r="E7">
        <v>1</v>
      </c>
      <c r="I7" t="s">
        <v>369</v>
      </c>
      <c r="N7" t="s">
        <v>124</v>
      </c>
      <c r="S7" t="s">
        <v>225</v>
      </c>
    </row>
    <row r="8" spans="1:19" hidden="1" outlineLevel="2">
      <c r="A8" t="s">
        <v>383</v>
      </c>
      <c r="B8" t="s">
        <v>375</v>
      </c>
      <c r="C8">
        <v>10</v>
      </c>
      <c r="D8">
        <v>40</v>
      </c>
      <c r="E8">
        <v>1</v>
      </c>
      <c r="I8" t="s">
        <v>369</v>
      </c>
      <c r="N8" t="s">
        <v>124</v>
      </c>
    </row>
    <row r="9" spans="1:19" hidden="1" outlineLevel="2">
      <c r="A9" t="s">
        <v>384</v>
      </c>
      <c r="B9" t="s">
        <v>376</v>
      </c>
      <c r="C9">
        <v>7.5</v>
      </c>
      <c r="D9">
        <v>30</v>
      </c>
      <c r="E9" t="s">
        <v>366</v>
      </c>
      <c r="I9" t="s">
        <v>369</v>
      </c>
      <c r="N9" t="s">
        <v>124</v>
      </c>
    </row>
    <row r="10" spans="1:19" hidden="1" outlineLevel="2">
      <c r="A10" t="s">
        <v>385</v>
      </c>
      <c r="B10" t="s">
        <v>377</v>
      </c>
      <c r="C10">
        <v>4</v>
      </c>
      <c r="D10">
        <v>16</v>
      </c>
      <c r="E10">
        <v>1</v>
      </c>
      <c r="I10" t="s">
        <v>369</v>
      </c>
      <c r="N10" t="s">
        <v>124</v>
      </c>
    </row>
    <row r="11" spans="1:19" hidden="1" outlineLevel="2">
      <c r="A11" t="s">
        <v>386</v>
      </c>
      <c r="B11" t="s">
        <v>378</v>
      </c>
      <c r="C11">
        <v>10</v>
      </c>
      <c r="D11">
        <v>80</v>
      </c>
      <c r="E11" t="s">
        <v>366</v>
      </c>
      <c r="I11" t="s">
        <v>369</v>
      </c>
      <c r="N11" t="s">
        <v>124</v>
      </c>
    </row>
    <row r="12" spans="1:19" hidden="1" outlineLevel="2">
      <c r="A12" t="s">
        <v>387</v>
      </c>
      <c r="B12" t="s">
        <v>379</v>
      </c>
      <c r="C12">
        <v>2.5</v>
      </c>
      <c r="D12">
        <v>10</v>
      </c>
      <c r="E12" t="s">
        <v>366</v>
      </c>
      <c r="I12" t="s">
        <v>369</v>
      </c>
      <c r="N12" t="s">
        <v>124</v>
      </c>
    </row>
    <row r="13" spans="1:19" hidden="1" outlineLevel="2">
      <c r="A13" t="s">
        <v>388</v>
      </c>
      <c r="B13" t="s">
        <v>380</v>
      </c>
      <c r="C13">
        <v>1</v>
      </c>
      <c r="D13">
        <v>4</v>
      </c>
      <c r="E13">
        <v>1</v>
      </c>
      <c r="I13" t="s">
        <v>369</v>
      </c>
      <c r="N13" t="s">
        <v>124</v>
      </c>
    </row>
    <row r="14" spans="1:19" ht="15" hidden="1" customHeight="1" outlineLevel="2">
      <c r="A14" t="s">
        <v>397</v>
      </c>
      <c r="B14" t="s">
        <v>389</v>
      </c>
      <c r="C14">
        <v>40</v>
      </c>
      <c r="D14">
        <v>80</v>
      </c>
      <c r="E14">
        <v>1</v>
      </c>
      <c r="I14" t="s">
        <v>398</v>
      </c>
      <c r="N14" t="s">
        <v>124</v>
      </c>
      <c r="R14" s="6" t="s">
        <v>407</v>
      </c>
    </row>
    <row r="15" spans="1:19" hidden="1" outlineLevel="2">
      <c r="A15" t="s">
        <v>399</v>
      </c>
      <c r="B15" t="s">
        <v>390</v>
      </c>
      <c r="C15">
        <v>8</v>
      </c>
      <c r="D15">
        <v>32</v>
      </c>
      <c r="E15" t="s">
        <v>366</v>
      </c>
      <c r="I15" t="s">
        <v>398</v>
      </c>
      <c r="N15" t="s">
        <v>124</v>
      </c>
    </row>
    <row r="16" spans="1:19" hidden="1" outlineLevel="2">
      <c r="A16" t="s">
        <v>400</v>
      </c>
      <c r="B16" t="s">
        <v>391</v>
      </c>
      <c r="C16">
        <v>600</v>
      </c>
      <c r="D16">
        <v>800</v>
      </c>
      <c r="E16" t="s">
        <v>366</v>
      </c>
      <c r="I16" t="s">
        <v>398</v>
      </c>
      <c r="N16" t="s">
        <v>124</v>
      </c>
    </row>
    <row r="17" spans="1:18" hidden="1" outlineLevel="2">
      <c r="A17" t="s">
        <v>401</v>
      </c>
      <c r="B17" t="s">
        <v>392</v>
      </c>
      <c r="C17">
        <v>150</v>
      </c>
      <c r="D17">
        <v>300</v>
      </c>
      <c r="E17">
        <v>1</v>
      </c>
      <c r="I17" t="s">
        <v>398</v>
      </c>
      <c r="N17" t="s">
        <v>124</v>
      </c>
    </row>
    <row r="18" spans="1:18" hidden="1" outlineLevel="2">
      <c r="A18" t="s">
        <v>402</v>
      </c>
      <c r="B18" t="s">
        <v>393</v>
      </c>
      <c r="C18">
        <v>50</v>
      </c>
      <c r="D18">
        <v>100</v>
      </c>
      <c r="E18" t="s">
        <v>366</v>
      </c>
      <c r="I18" t="s">
        <v>398</v>
      </c>
      <c r="N18" t="s">
        <v>124</v>
      </c>
    </row>
    <row r="19" spans="1:18" hidden="1" outlineLevel="2">
      <c r="A19" t="s">
        <v>403</v>
      </c>
      <c r="B19" t="s">
        <v>394</v>
      </c>
      <c r="C19">
        <v>20</v>
      </c>
      <c r="D19">
        <v>40</v>
      </c>
      <c r="E19">
        <v>1</v>
      </c>
      <c r="I19" t="s">
        <v>398</v>
      </c>
      <c r="N19" t="s">
        <v>124</v>
      </c>
    </row>
    <row r="20" spans="1:18" hidden="1" outlineLevel="2">
      <c r="A20" t="s">
        <v>404</v>
      </c>
      <c r="B20" t="s">
        <v>395</v>
      </c>
      <c r="C20">
        <v>20</v>
      </c>
      <c r="D20">
        <v>80</v>
      </c>
      <c r="E20">
        <v>1</v>
      </c>
      <c r="I20" t="s">
        <v>398</v>
      </c>
      <c r="N20" t="s">
        <v>124</v>
      </c>
    </row>
    <row r="21" spans="1:18" hidden="1" outlineLevel="2">
      <c r="A21" t="s">
        <v>405</v>
      </c>
      <c r="B21" t="s">
        <v>396</v>
      </c>
      <c r="C21">
        <v>80</v>
      </c>
      <c r="D21">
        <v>320</v>
      </c>
      <c r="E21">
        <v>1</v>
      </c>
      <c r="I21" t="s">
        <v>398</v>
      </c>
      <c r="N21" t="s">
        <v>124</v>
      </c>
    </row>
    <row r="22" spans="1:18" hidden="1" outlineLevel="2">
      <c r="A22" t="s">
        <v>525</v>
      </c>
      <c r="B22" t="s">
        <v>526</v>
      </c>
      <c r="C22">
        <v>150</v>
      </c>
      <c r="D22">
        <v>300</v>
      </c>
      <c r="E22">
        <v>1</v>
      </c>
      <c r="I22" t="s">
        <v>527</v>
      </c>
      <c r="N22" t="s">
        <v>124</v>
      </c>
      <c r="Q22" t="s">
        <v>545</v>
      </c>
    </row>
    <row r="23" spans="1:18" hidden="1" outlineLevel="1">
      <c r="A23" s="1" t="s">
        <v>423</v>
      </c>
    </row>
    <row r="24" spans="1:18" ht="15" hidden="1" customHeight="1" outlineLevel="2">
      <c r="A24" t="s">
        <v>418</v>
      </c>
      <c r="B24" t="s">
        <v>410</v>
      </c>
      <c r="C24">
        <v>2.5</v>
      </c>
      <c r="D24">
        <v>10</v>
      </c>
      <c r="E24">
        <v>1</v>
      </c>
      <c r="I24" t="s">
        <v>423</v>
      </c>
      <c r="J24" t="s">
        <v>425</v>
      </c>
      <c r="N24" t="s">
        <v>124</v>
      </c>
      <c r="R24" s="6" t="s">
        <v>408</v>
      </c>
    </row>
    <row r="25" spans="1:18" hidden="1" outlineLevel="2">
      <c r="A25" t="s">
        <v>422</v>
      </c>
      <c r="B25" t="s">
        <v>411</v>
      </c>
      <c r="C25">
        <v>5</v>
      </c>
      <c r="D25">
        <v>20</v>
      </c>
      <c r="E25">
        <v>1</v>
      </c>
      <c r="I25" t="s">
        <v>423</v>
      </c>
      <c r="J25" t="s">
        <v>425</v>
      </c>
      <c r="N25" t="s">
        <v>124</v>
      </c>
    </row>
    <row r="26" spans="1:18" hidden="1" outlineLevel="2">
      <c r="A26" t="s">
        <v>419</v>
      </c>
      <c r="B26" t="s">
        <v>412</v>
      </c>
      <c r="C26">
        <v>5</v>
      </c>
      <c r="D26">
        <v>10</v>
      </c>
      <c r="E26">
        <v>2</v>
      </c>
      <c r="I26" t="s">
        <v>423</v>
      </c>
      <c r="J26" t="s">
        <v>425</v>
      </c>
      <c r="N26" t="s">
        <v>124</v>
      </c>
    </row>
    <row r="27" spans="1:18" hidden="1" outlineLevel="2">
      <c r="A27" t="s">
        <v>420</v>
      </c>
      <c r="B27" t="s">
        <v>413</v>
      </c>
      <c r="C27">
        <v>5</v>
      </c>
      <c r="D27">
        <v>20</v>
      </c>
      <c r="E27">
        <v>1</v>
      </c>
      <c r="I27" t="s">
        <v>423</v>
      </c>
      <c r="J27" t="s">
        <v>425</v>
      </c>
      <c r="N27" t="s">
        <v>124</v>
      </c>
    </row>
    <row r="28" spans="1:18" hidden="1" outlineLevel="2">
      <c r="A28" t="s">
        <v>409</v>
      </c>
      <c r="B28" t="s">
        <v>414</v>
      </c>
      <c r="C28">
        <v>60</v>
      </c>
      <c r="D28">
        <v>120</v>
      </c>
      <c r="E28">
        <v>2</v>
      </c>
      <c r="I28" t="s">
        <v>423</v>
      </c>
      <c r="J28" t="s">
        <v>425</v>
      </c>
      <c r="N28" t="s">
        <v>124</v>
      </c>
    </row>
    <row r="29" spans="1:18" hidden="1" outlineLevel="2">
      <c r="A29" t="s">
        <v>417</v>
      </c>
      <c r="B29" t="s">
        <v>416</v>
      </c>
      <c r="C29">
        <v>30</v>
      </c>
      <c r="D29">
        <v>90</v>
      </c>
      <c r="E29">
        <v>1</v>
      </c>
      <c r="I29" t="s">
        <v>423</v>
      </c>
      <c r="J29" t="s">
        <v>425</v>
      </c>
      <c r="N29" t="s">
        <v>124</v>
      </c>
    </row>
    <row r="30" spans="1:18" hidden="1" outlineLevel="2">
      <c r="A30" t="s">
        <v>421</v>
      </c>
      <c r="B30" t="s">
        <v>415</v>
      </c>
      <c r="C30">
        <v>10</v>
      </c>
      <c r="D30">
        <v>40</v>
      </c>
      <c r="E30">
        <v>1</v>
      </c>
      <c r="I30" t="s">
        <v>423</v>
      </c>
      <c r="J30" t="s">
        <v>425</v>
      </c>
      <c r="N30" t="s">
        <v>124</v>
      </c>
    </row>
    <row r="31" spans="1:18" hidden="1" outlineLevel="2">
      <c r="A31" t="s">
        <v>426</v>
      </c>
      <c r="B31" t="s">
        <v>427</v>
      </c>
      <c r="C31">
        <v>180</v>
      </c>
      <c r="D31">
        <v>160</v>
      </c>
      <c r="E31">
        <v>2</v>
      </c>
      <c r="I31" t="s">
        <v>423</v>
      </c>
      <c r="J31" t="s">
        <v>428</v>
      </c>
      <c r="N31" t="s">
        <v>124</v>
      </c>
      <c r="Q31" t="s">
        <v>545</v>
      </c>
      <c r="R31" t="s">
        <v>437</v>
      </c>
    </row>
    <row r="32" spans="1:18" hidden="1" outlineLevel="2">
      <c r="A32" t="s">
        <v>426</v>
      </c>
      <c r="B32" t="s">
        <v>1609</v>
      </c>
      <c r="C32">
        <v>120</v>
      </c>
      <c r="D32">
        <v>480</v>
      </c>
      <c r="E32">
        <v>1</v>
      </c>
      <c r="I32" t="s">
        <v>423</v>
      </c>
      <c r="J32" t="s">
        <v>428</v>
      </c>
      <c r="N32" t="s">
        <v>124</v>
      </c>
      <c r="Q32" t="s">
        <v>545</v>
      </c>
    </row>
    <row r="33" spans="1:18" hidden="1" outlineLevel="2">
      <c r="A33" t="s">
        <v>429</v>
      </c>
      <c r="B33" t="s">
        <v>431</v>
      </c>
      <c r="C33">
        <v>120</v>
      </c>
      <c r="D33">
        <v>540</v>
      </c>
      <c r="E33" t="s">
        <v>432</v>
      </c>
      <c r="I33" t="s">
        <v>423</v>
      </c>
      <c r="J33" t="s">
        <v>428</v>
      </c>
      <c r="N33" t="s">
        <v>124</v>
      </c>
      <c r="Q33" t="s">
        <v>545</v>
      </c>
    </row>
    <row r="34" spans="1:18" hidden="1" outlineLevel="2">
      <c r="A34" t="s">
        <v>430</v>
      </c>
      <c r="B34" t="s">
        <v>433</v>
      </c>
      <c r="C34">
        <v>180</v>
      </c>
      <c r="D34">
        <v>480</v>
      </c>
      <c r="E34" t="s">
        <v>366</v>
      </c>
      <c r="I34" t="s">
        <v>423</v>
      </c>
      <c r="J34" t="s">
        <v>428</v>
      </c>
      <c r="N34" t="s">
        <v>124</v>
      </c>
      <c r="Q34" t="s">
        <v>545</v>
      </c>
    </row>
    <row r="35" spans="1:18" hidden="1" outlineLevel="2">
      <c r="A35" t="s">
        <v>435</v>
      </c>
      <c r="B35" t="s">
        <v>434</v>
      </c>
      <c r="C35">
        <v>180</v>
      </c>
      <c r="D35">
        <v>420</v>
      </c>
      <c r="E35" t="s">
        <v>436</v>
      </c>
      <c r="I35" t="s">
        <v>423</v>
      </c>
      <c r="J35" t="s">
        <v>428</v>
      </c>
      <c r="N35" t="s">
        <v>124</v>
      </c>
      <c r="Q35" t="s">
        <v>545</v>
      </c>
    </row>
    <row r="36" spans="1:18" hidden="1" outlineLevel="1" collapsed="1">
      <c r="A36" s="1" t="s">
        <v>439</v>
      </c>
    </row>
    <row r="37" spans="1:18" ht="15" hidden="1" customHeight="1" outlineLevel="2">
      <c r="A37" t="s">
        <v>493</v>
      </c>
      <c r="B37" t="s">
        <v>465</v>
      </c>
      <c r="C37">
        <v>12.5</v>
      </c>
      <c r="D37">
        <v>25</v>
      </c>
      <c r="E37">
        <v>1</v>
      </c>
      <c r="I37" t="s">
        <v>439</v>
      </c>
      <c r="J37" t="s">
        <v>440</v>
      </c>
      <c r="N37" t="s">
        <v>124</v>
      </c>
      <c r="R37" s="6" t="s">
        <v>438</v>
      </c>
    </row>
    <row r="38" spans="1:18" hidden="1" outlineLevel="2">
      <c r="A38" t="s">
        <v>494</v>
      </c>
      <c r="B38" t="s">
        <v>466</v>
      </c>
      <c r="C38">
        <v>12.5</v>
      </c>
      <c r="D38">
        <v>50</v>
      </c>
      <c r="E38">
        <v>1</v>
      </c>
      <c r="I38" t="s">
        <v>439</v>
      </c>
      <c r="J38" t="s">
        <v>440</v>
      </c>
      <c r="N38" t="s">
        <v>124</v>
      </c>
    </row>
    <row r="39" spans="1:18" hidden="1" outlineLevel="2">
      <c r="A39" t="s">
        <v>495</v>
      </c>
      <c r="B39" t="s">
        <v>467</v>
      </c>
      <c r="C39">
        <v>1.25</v>
      </c>
      <c r="D39">
        <v>2.5</v>
      </c>
      <c r="E39">
        <v>1</v>
      </c>
      <c r="I39" t="s">
        <v>439</v>
      </c>
      <c r="J39" t="s">
        <v>440</v>
      </c>
      <c r="N39" t="s">
        <v>124</v>
      </c>
    </row>
    <row r="40" spans="1:18" hidden="1" outlineLevel="2">
      <c r="A40" t="s">
        <v>496</v>
      </c>
      <c r="B40" t="s">
        <v>468</v>
      </c>
      <c r="C40">
        <v>2.5</v>
      </c>
      <c r="D40">
        <v>10</v>
      </c>
      <c r="E40">
        <v>1</v>
      </c>
      <c r="I40" t="s">
        <v>439</v>
      </c>
      <c r="J40" t="s">
        <v>440</v>
      </c>
      <c r="N40" t="s">
        <v>124</v>
      </c>
    </row>
    <row r="41" spans="1:18" ht="15" hidden="1" customHeight="1" outlineLevel="2">
      <c r="A41" t="s">
        <v>517</v>
      </c>
      <c r="B41" t="s">
        <v>1608</v>
      </c>
      <c r="C41">
        <v>0.5</v>
      </c>
      <c r="D41">
        <v>4</v>
      </c>
      <c r="E41">
        <v>2</v>
      </c>
      <c r="I41" t="s">
        <v>439</v>
      </c>
      <c r="J41" t="s">
        <v>442</v>
      </c>
      <c r="N41" t="s">
        <v>124</v>
      </c>
      <c r="R41" s="6" t="s">
        <v>441</v>
      </c>
    </row>
    <row r="42" spans="1:18" hidden="1" outlineLevel="2">
      <c r="A42" t="s">
        <v>1606</v>
      </c>
      <c r="B42" t="s">
        <v>469</v>
      </c>
      <c r="C42">
        <v>20</v>
      </c>
      <c r="D42">
        <v>80</v>
      </c>
      <c r="E42">
        <v>2</v>
      </c>
      <c r="I42" t="s">
        <v>439</v>
      </c>
      <c r="J42" t="s">
        <v>442</v>
      </c>
      <c r="N42" t="s">
        <v>124</v>
      </c>
    </row>
    <row r="43" spans="1:18" hidden="1" outlineLevel="2">
      <c r="A43" t="s">
        <v>1607</v>
      </c>
      <c r="B43" t="s">
        <v>470</v>
      </c>
      <c r="C43">
        <v>5</v>
      </c>
      <c r="D43">
        <v>10</v>
      </c>
      <c r="E43">
        <v>1</v>
      </c>
      <c r="I43" t="s">
        <v>439</v>
      </c>
      <c r="J43" t="s">
        <v>442</v>
      </c>
      <c r="N43" t="s">
        <v>124</v>
      </c>
    </row>
    <row r="44" spans="1:18" ht="15" hidden="1" customHeight="1" outlineLevel="2">
      <c r="A44" t="s">
        <v>497</v>
      </c>
      <c r="B44" t="s">
        <v>471</v>
      </c>
      <c r="C44">
        <v>5</v>
      </c>
      <c r="D44">
        <v>10</v>
      </c>
      <c r="E44" t="s">
        <v>366</v>
      </c>
      <c r="I44" t="s">
        <v>439</v>
      </c>
      <c r="J44" t="s">
        <v>449</v>
      </c>
      <c r="N44" t="s">
        <v>124</v>
      </c>
      <c r="R44" s="6" t="s">
        <v>450</v>
      </c>
    </row>
    <row r="45" spans="1:18" hidden="1" outlineLevel="2">
      <c r="A45" t="s">
        <v>443</v>
      </c>
      <c r="B45" t="s">
        <v>490</v>
      </c>
      <c r="C45" s="7" t="s">
        <v>446</v>
      </c>
      <c r="D45" s="8" t="s">
        <v>445</v>
      </c>
      <c r="E45">
        <v>1</v>
      </c>
      <c r="I45" t="s">
        <v>439</v>
      </c>
      <c r="J45" t="s">
        <v>449</v>
      </c>
      <c r="N45" t="s">
        <v>124</v>
      </c>
    </row>
    <row r="46" spans="1:18" hidden="1" outlineLevel="2">
      <c r="A46" t="s">
        <v>498</v>
      </c>
      <c r="B46" t="s">
        <v>472</v>
      </c>
      <c r="C46">
        <v>50</v>
      </c>
      <c r="D46">
        <v>100</v>
      </c>
      <c r="E46" t="s">
        <v>366</v>
      </c>
      <c r="I46" t="s">
        <v>439</v>
      </c>
      <c r="J46" t="s">
        <v>449</v>
      </c>
      <c r="N46" t="s">
        <v>124</v>
      </c>
    </row>
    <row r="47" spans="1:18" hidden="1" outlineLevel="2">
      <c r="A47" t="s">
        <v>444</v>
      </c>
      <c r="B47" t="s">
        <v>491</v>
      </c>
      <c r="C47" s="8" t="s">
        <v>447</v>
      </c>
      <c r="D47" s="8" t="s">
        <v>448</v>
      </c>
      <c r="E47">
        <v>1</v>
      </c>
      <c r="I47" t="s">
        <v>439</v>
      </c>
      <c r="J47" t="s">
        <v>449</v>
      </c>
      <c r="N47" t="s">
        <v>124</v>
      </c>
    </row>
    <row r="48" spans="1:18" ht="15" hidden="1" customHeight="1" outlineLevel="2">
      <c r="A48" t="s">
        <v>499</v>
      </c>
      <c r="B48" t="s">
        <v>473</v>
      </c>
      <c r="C48">
        <v>50</v>
      </c>
      <c r="D48">
        <v>100</v>
      </c>
      <c r="E48" t="s">
        <v>366</v>
      </c>
      <c r="I48" t="s">
        <v>439</v>
      </c>
      <c r="J48" t="s">
        <v>456</v>
      </c>
      <c r="N48" t="s">
        <v>124</v>
      </c>
      <c r="R48" s="6" t="s">
        <v>453</v>
      </c>
    </row>
    <row r="49" spans="1:18" hidden="1" outlineLevel="2">
      <c r="A49" t="s">
        <v>500</v>
      </c>
      <c r="B49" t="s">
        <v>474</v>
      </c>
      <c r="C49">
        <v>25</v>
      </c>
      <c r="D49">
        <v>50</v>
      </c>
      <c r="E49" t="s">
        <v>366</v>
      </c>
      <c r="I49" t="s">
        <v>439</v>
      </c>
      <c r="J49" t="s">
        <v>456</v>
      </c>
      <c r="N49" t="s">
        <v>124</v>
      </c>
    </row>
    <row r="50" spans="1:18" hidden="1" outlineLevel="2">
      <c r="A50" t="s">
        <v>451</v>
      </c>
      <c r="B50" t="s">
        <v>452</v>
      </c>
      <c r="C50" t="s">
        <v>454</v>
      </c>
      <c r="D50" t="s">
        <v>455</v>
      </c>
      <c r="E50">
        <v>1</v>
      </c>
      <c r="I50" t="s">
        <v>439</v>
      </c>
      <c r="J50" t="s">
        <v>456</v>
      </c>
      <c r="N50" t="s">
        <v>124</v>
      </c>
    </row>
    <row r="51" spans="1:18" hidden="1" outlineLevel="1">
      <c r="A51" s="1" t="s">
        <v>457</v>
      </c>
    </row>
    <row r="52" spans="1:18" hidden="1" outlineLevel="2">
      <c r="A52" t="s">
        <v>501</v>
      </c>
      <c r="B52" t="s">
        <v>475</v>
      </c>
      <c r="C52">
        <v>25</v>
      </c>
      <c r="D52">
        <v>100</v>
      </c>
      <c r="E52">
        <v>1</v>
      </c>
      <c r="I52" t="s">
        <v>457</v>
      </c>
      <c r="J52" t="s">
        <v>458</v>
      </c>
      <c r="N52" t="s">
        <v>124</v>
      </c>
      <c r="P52" t="s">
        <v>544</v>
      </c>
      <c r="R52" t="s">
        <v>546</v>
      </c>
    </row>
    <row r="53" spans="1:18" hidden="1" outlineLevel="2">
      <c r="A53" t="s">
        <v>502</v>
      </c>
      <c r="B53" t="s">
        <v>476</v>
      </c>
      <c r="C53">
        <v>5</v>
      </c>
      <c r="D53">
        <v>20</v>
      </c>
      <c r="E53">
        <v>1</v>
      </c>
      <c r="I53" t="s">
        <v>457</v>
      </c>
      <c r="J53" t="s">
        <v>458</v>
      </c>
      <c r="N53" t="s">
        <v>124</v>
      </c>
    </row>
    <row r="54" spans="1:18" hidden="1" outlineLevel="2">
      <c r="A54" t="s">
        <v>503</v>
      </c>
      <c r="B54" t="s">
        <v>477</v>
      </c>
      <c r="C54">
        <v>2.5</v>
      </c>
      <c r="D54">
        <v>10</v>
      </c>
      <c r="E54">
        <v>1</v>
      </c>
      <c r="I54" t="s">
        <v>457</v>
      </c>
      <c r="J54" t="s">
        <v>458</v>
      </c>
      <c r="N54" t="s">
        <v>124</v>
      </c>
    </row>
    <row r="55" spans="1:18" hidden="1" outlineLevel="2">
      <c r="A55" t="s">
        <v>504</v>
      </c>
      <c r="B55" t="s">
        <v>478</v>
      </c>
      <c r="C55">
        <v>100</v>
      </c>
      <c r="D55">
        <v>400</v>
      </c>
      <c r="E55">
        <v>2</v>
      </c>
      <c r="I55" t="s">
        <v>457</v>
      </c>
      <c r="J55" t="s">
        <v>458</v>
      </c>
      <c r="N55" t="s">
        <v>124</v>
      </c>
    </row>
    <row r="56" spans="1:18" hidden="1" outlineLevel="2">
      <c r="A56" t="s">
        <v>505</v>
      </c>
      <c r="B56" t="s">
        <v>479</v>
      </c>
      <c r="C56">
        <v>50</v>
      </c>
      <c r="D56">
        <v>200</v>
      </c>
      <c r="E56">
        <v>1</v>
      </c>
      <c r="I56" t="s">
        <v>457</v>
      </c>
      <c r="J56" t="s">
        <v>458</v>
      </c>
      <c r="N56" t="s">
        <v>124</v>
      </c>
    </row>
    <row r="57" spans="1:18" hidden="1" outlineLevel="2">
      <c r="A57" t="s">
        <v>506</v>
      </c>
      <c r="B57" t="s">
        <v>480</v>
      </c>
      <c r="C57">
        <v>40</v>
      </c>
      <c r="D57">
        <v>120</v>
      </c>
      <c r="E57">
        <v>1</v>
      </c>
      <c r="I57" t="s">
        <v>457</v>
      </c>
      <c r="J57" t="s">
        <v>459</v>
      </c>
      <c r="N57" t="s">
        <v>124</v>
      </c>
      <c r="P57" t="s">
        <v>544</v>
      </c>
    </row>
    <row r="58" spans="1:18" hidden="1" outlineLevel="2">
      <c r="A58" t="s">
        <v>507</v>
      </c>
      <c r="B58" t="s">
        <v>481</v>
      </c>
      <c r="C58">
        <v>160</v>
      </c>
      <c r="D58">
        <v>480</v>
      </c>
      <c r="E58">
        <v>2</v>
      </c>
      <c r="I58" t="s">
        <v>457</v>
      </c>
      <c r="J58" t="s">
        <v>459</v>
      </c>
      <c r="N58" t="s">
        <v>124</v>
      </c>
    </row>
    <row r="59" spans="1:18" hidden="1" outlineLevel="2">
      <c r="A59" t="s">
        <v>508</v>
      </c>
      <c r="B59" t="s">
        <v>492</v>
      </c>
      <c r="C59">
        <v>80</v>
      </c>
      <c r="D59">
        <v>320</v>
      </c>
      <c r="E59">
        <v>1</v>
      </c>
      <c r="I59" t="s">
        <v>457</v>
      </c>
      <c r="J59" t="s">
        <v>459</v>
      </c>
      <c r="N59" t="s">
        <v>124</v>
      </c>
    </row>
    <row r="60" spans="1:18" hidden="1" outlineLevel="2">
      <c r="A60" t="s">
        <v>509</v>
      </c>
      <c r="B60" t="s">
        <v>482</v>
      </c>
      <c r="C60">
        <v>10</v>
      </c>
      <c r="D60">
        <v>40</v>
      </c>
      <c r="E60">
        <v>1</v>
      </c>
      <c r="I60" t="s">
        <v>457</v>
      </c>
      <c r="J60" t="s">
        <v>459</v>
      </c>
      <c r="N60" t="s">
        <v>124</v>
      </c>
    </row>
    <row r="61" spans="1:18" hidden="1" outlineLevel="2">
      <c r="A61" t="s">
        <v>510</v>
      </c>
      <c r="B61" t="s">
        <v>483</v>
      </c>
      <c r="C61">
        <v>200</v>
      </c>
      <c r="D61">
        <v>800</v>
      </c>
      <c r="I61" t="s">
        <v>457</v>
      </c>
      <c r="J61" t="s">
        <v>460</v>
      </c>
      <c r="N61" t="s">
        <v>124</v>
      </c>
    </row>
    <row r="62" spans="1:18" hidden="1" outlineLevel="2">
      <c r="A62" t="s">
        <v>511</v>
      </c>
      <c r="B62" t="s">
        <v>484</v>
      </c>
      <c r="C62">
        <v>2.5</v>
      </c>
      <c r="D62">
        <v>10</v>
      </c>
      <c r="I62" t="s">
        <v>457</v>
      </c>
      <c r="J62" t="s">
        <v>460</v>
      </c>
      <c r="N62" t="s">
        <v>124</v>
      </c>
    </row>
    <row r="63" spans="1:18" hidden="1" outlineLevel="2">
      <c r="A63" t="s">
        <v>512</v>
      </c>
      <c r="B63" t="s">
        <v>485</v>
      </c>
      <c r="C63">
        <v>10</v>
      </c>
      <c r="D63">
        <v>40</v>
      </c>
      <c r="I63" t="s">
        <v>457</v>
      </c>
      <c r="J63" t="s">
        <v>460</v>
      </c>
      <c r="N63" t="s">
        <v>124</v>
      </c>
    </row>
    <row r="64" spans="1:18" hidden="1" outlineLevel="2">
      <c r="A64" t="s">
        <v>513</v>
      </c>
      <c r="B64" t="s">
        <v>486</v>
      </c>
      <c r="C64">
        <v>10</v>
      </c>
      <c r="D64">
        <v>60</v>
      </c>
      <c r="I64" t="s">
        <v>457</v>
      </c>
      <c r="J64" t="s">
        <v>460</v>
      </c>
      <c r="N64" t="s">
        <v>124</v>
      </c>
    </row>
    <row r="65" spans="1:18" hidden="1" outlineLevel="2">
      <c r="A65" t="s">
        <v>514</v>
      </c>
      <c r="B65" t="s">
        <v>487</v>
      </c>
      <c r="C65">
        <v>12.5</v>
      </c>
      <c r="D65">
        <v>50</v>
      </c>
      <c r="E65">
        <v>2</v>
      </c>
      <c r="I65" t="s">
        <v>457</v>
      </c>
      <c r="J65" t="s">
        <v>461</v>
      </c>
      <c r="N65" t="s">
        <v>124</v>
      </c>
    </row>
    <row r="66" spans="1:18" hidden="1" outlineLevel="2">
      <c r="A66" t="s">
        <v>515</v>
      </c>
      <c r="B66" t="s">
        <v>488</v>
      </c>
      <c r="C66">
        <v>20</v>
      </c>
      <c r="D66">
        <v>80</v>
      </c>
      <c r="E66">
        <v>1</v>
      </c>
      <c r="I66" t="s">
        <v>457</v>
      </c>
      <c r="J66" t="s">
        <v>461</v>
      </c>
      <c r="N66" t="s">
        <v>124</v>
      </c>
    </row>
    <row r="67" spans="1:18" hidden="1" outlineLevel="2">
      <c r="A67" t="s">
        <v>516</v>
      </c>
      <c r="B67" t="s">
        <v>489</v>
      </c>
      <c r="C67">
        <v>200</v>
      </c>
      <c r="D67">
        <v>800</v>
      </c>
      <c r="E67">
        <v>2</v>
      </c>
      <c r="I67" t="s">
        <v>457</v>
      </c>
      <c r="J67" t="s">
        <v>461</v>
      </c>
      <c r="N67" t="s">
        <v>124</v>
      </c>
    </row>
    <row r="68" spans="1:18" hidden="1" outlineLevel="2">
      <c r="A68" t="s">
        <v>462</v>
      </c>
      <c r="B68" t="s">
        <v>463</v>
      </c>
      <c r="C68">
        <v>5</v>
      </c>
      <c r="D68">
        <v>20</v>
      </c>
      <c r="E68">
        <v>1</v>
      </c>
      <c r="I68" t="s">
        <v>457</v>
      </c>
      <c r="J68" t="s">
        <v>464</v>
      </c>
      <c r="N68" t="s">
        <v>124</v>
      </c>
    </row>
    <row r="69" spans="1:18" hidden="1" outlineLevel="1">
      <c r="A69" s="1" t="s">
        <v>524</v>
      </c>
    </row>
    <row r="70" spans="1:18" hidden="1" outlineLevel="2">
      <c r="A70" t="s">
        <v>518</v>
      </c>
      <c r="B70" t="s">
        <v>519</v>
      </c>
      <c r="C70">
        <v>1</v>
      </c>
      <c r="D70">
        <v>8</v>
      </c>
      <c r="E70">
        <v>1</v>
      </c>
      <c r="I70" t="s">
        <v>524</v>
      </c>
      <c r="N70" t="s">
        <v>124</v>
      </c>
    </row>
    <row r="71" spans="1:18" hidden="1" outlineLevel="2">
      <c r="A71" t="s">
        <v>520</v>
      </c>
      <c r="B71" t="s">
        <v>521</v>
      </c>
      <c r="C71">
        <v>2</v>
      </c>
      <c r="D71">
        <v>20</v>
      </c>
      <c r="E71" t="s">
        <v>372</v>
      </c>
      <c r="I71" t="s">
        <v>524</v>
      </c>
      <c r="N71" t="s">
        <v>124</v>
      </c>
    </row>
    <row r="72" spans="1:18" hidden="1" outlineLevel="2">
      <c r="A72" t="s">
        <v>522</v>
      </c>
      <c r="B72" t="s">
        <v>523</v>
      </c>
      <c r="C72">
        <v>1</v>
      </c>
      <c r="D72">
        <v>20</v>
      </c>
      <c r="E72" t="s">
        <v>366</v>
      </c>
      <c r="I72" t="s">
        <v>524</v>
      </c>
      <c r="N72" t="s">
        <v>124</v>
      </c>
    </row>
    <row r="73" spans="1:18" hidden="1" outlineLevel="1" collapsed="1">
      <c r="A73" s="1" t="s">
        <v>2118</v>
      </c>
    </row>
    <row r="74" spans="1:18" hidden="1" outlineLevel="2">
      <c r="A74" t="s">
        <v>528</v>
      </c>
      <c r="B74" t="s">
        <v>529</v>
      </c>
      <c r="C74">
        <v>0.1</v>
      </c>
      <c r="D74">
        <v>0.8</v>
      </c>
      <c r="E74">
        <v>2</v>
      </c>
      <c r="I74" t="s">
        <v>530</v>
      </c>
      <c r="N74" t="s">
        <v>124</v>
      </c>
      <c r="R74" t="s">
        <v>547</v>
      </c>
    </row>
    <row r="75" spans="1:18" hidden="1" outlineLevel="2">
      <c r="A75" t="s">
        <v>531</v>
      </c>
      <c r="B75" t="s">
        <v>532</v>
      </c>
      <c r="C75">
        <v>0.1</v>
      </c>
      <c r="D75">
        <v>0.3</v>
      </c>
      <c r="E75">
        <v>1</v>
      </c>
      <c r="I75" t="s">
        <v>530</v>
      </c>
      <c r="N75" t="s">
        <v>124</v>
      </c>
    </row>
    <row r="76" spans="1:18" hidden="1" outlineLevel="2">
      <c r="A76" t="s">
        <v>533</v>
      </c>
      <c r="B76" t="s">
        <v>534</v>
      </c>
      <c r="C76">
        <v>250</v>
      </c>
      <c r="D76">
        <v>1000</v>
      </c>
      <c r="E76">
        <v>2</v>
      </c>
      <c r="I76" t="s">
        <v>530</v>
      </c>
      <c r="N76" t="s">
        <v>124</v>
      </c>
    </row>
    <row r="77" spans="1:18" hidden="1" outlineLevel="1" collapsed="1">
      <c r="A77" t="s">
        <v>535</v>
      </c>
      <c r="B77" t="s">
        <v>535</v>
      </c>
      <c r="C77">
        <v>0.05</v>
      </c>
      <c r="D77">
        <v>0.25</v>
      </c>
      <c r="E77">
        <v>1</v>
      </c>
      <c r="I77" t="s">
        <v>536</v>
      </c>
      <c r="N77" t="s">
        <v>124</v>
      </c>
    </row>
    <row r="78" spans="1:18" hidden="1" outlineLevel="1">
      <c r="A78" t="s">
        <v>537</v>
      </c>
      <c r="B78" t="s">
        <v>538</v>
      </c>
      <c r="C78">
        <v>10</v>
      </c>
      <c r="D78">
        <v>40</v>
      </c>
      <c r="E78" t="s">
        <v>366</v>
      </c>
      <c r="I78" t="s">
        <v>542</v>
      </c>
      <c r="N78" t="s">
        <v>124</v>
      </c>
    </row>
    <row r="79" spans="1:18" hidden="1" outlineLevel="1">
      <c r="A79" t="s">
        <v>539</v>
      </c>
      <c r="B79" t="s">
        <v>540</v>
      </c>
      <c r="C79">
        <v>20</v>
      </c>
      <c r="D79">
        <v>100</v>
      </c>
      <c r="E79" t="s">
        <v>541</v>
      </c>
      <c r="I79" t="s">
        <v>542</v>
      </c>
      <c r="N79" t="s">
        <v>124</v>
      </c>
    </row>
    <row r="80" spans="1:18" collapsed="1">
      <c r="A80" s="1" t="s">
        <v>2112</v>
      </c>
    </row>
    <row r="81" spans="1:18" ht="14.25" customHeight="1" outlineLevel="1" collapsed="1">
      <c r="A81" t="s">
        <v>1600</v>
      </c>
      <c r="B81" t="s">
        <v>1596</v>
      </c>
      <c r="C81" t="str">
        <f>IF(NOT(OR(CrCl&lt;30,SCr&gt;1.5,AND(Sex="Female",SCr&gt;1.4),Calculations!B24&gt;=3,Calculations!B25&gt;=3)),"500 mg twice a day","Contraindicated based on SCr, CrCl, AST or ALT")</f>
        <v>Contraindicated based on SCr, CrCl, AST or ALT</v>
      </c>
      <c r="D81" t="s">
        <v>1586</v>
      </c>
      <c r="I81" t="s">
        <v>1610</v>
      </c>
      <c r="K81" t="s">
        <v>252</v>
      </c>
      <c r="L81" t="s">
        <v>2474</v>
      </c>
      <c r="M81" t="s">
        <v>1587</v>
      </c>
      <c r="N81" t="s">
        <v>42</v>
      </c>
      <c r="R81" s="11" t="s">
        <v>1588</v>
      </c>
    </row>
    <row r="82" spans="1:18" outlineLevel="1">
      <c r="A82" s="1" t="s">
        <v>2119</v>
      </c>
    </row>
    <row r="83" spans="1:18" hidden="1" outlineLevel="2">
      <c r="A83" t="s">
        <v>1535</v>
      </c>
      <c r="B83" t="s">
        <v>1536</v>
      </c>
      <c r="I83" t="s">
        <v>1537</v>
      </c>
      <c r="K83" t="s">
        <v>1560</v>
      </c>
      <c r="N83" t="s">
        <v>42</v>
      </c>
    </row>
    <row r="84" spans="1:18" hidden="1" outlineLevel="2">
      <c r="A84" t="s">
        <v>1538</v>
      </c>
      <c r="B84" t="s">
        <v>1539</v>
      </c>
      <c r="I84" t="s">
        <v>1537</v>
      </c>
      <c r="K84" t="s">
        <v>1560</v>
      </c>
      <c r="N84" t="s">
        <v>42</v>
      </c>
    </row>
    <row r="85" spans="1:18" hidden="1" outlineLevel="2">
      <c r="A85" t="s">
        <v>1540</v>
      </c>
      <c r="B85" t="s">
        <v>1541</v>
      </c>
      <c r="I85" t="s">
        <v>1537</v>
      </c>
      <c r="K85" t="s">
        <v>1560</v>
      </c>
      <c r="N85" t="s">
        <v>42</v>
      </c>
    </row>
    <row r="86" spans="1:18" hidden="1" outlineLevel="2">
      <c r="A86" t="s">
        <v>1542</v>
      </c>
      <c r="B86" t="s">
        <v>1543</v>
      </c>
      <c r="I86" t="s">
        <v>1544</v>
      </c>
      <c r="K86" t="s">
        <v>1560</v>
      </c>
      <c r="N86" t="s">
        <v>42</v>
      </c>
    </row>
    <row r="87" spans="1:18" hidden="1" outlineLevel="2">
      <c r="A87" t="s">
        <v>1552</v>
      </c>
      <c r="B87" t="s">
        <v>1545</v>
      </c>
      <c r="I87" t="s">
        <v>1546</v>
      </c>
      <c r="K87" t="s">
        <v>1560</v>
      </c>
      <c r="N87" t="s">
        <v>42</v>
      </c>
    </row>
    <row r="88" spans="1:18" hidden="1" outlineLevel="2">
      <c r="A88" t="s">
        <v>1547</v>
      </c>
      <c r="B88" t="s">
        <v>1548</v>
      </c>
      <c r="I88" t="s">
        <v>1549</v>
      </c>
      <c r="K88" t="s">
        <v>1560</v>
      </c>
      <c r="N88" t="s">
        <v>42</v>
      </c>
    </row>
    <row r="89" spans="1:18" hidden="1" outlineLevel="2">
      <c r="A89" t="s">
        <v>1550</v>
      </c>
      <c r="B89" t="s">
        <v>1551</v>
      </c>
      <c r="I89" t="s">
        <v>1549</v>
      </c>
      <c r="K89" t="s">
        <v>1560</v>
      </c>
      <c r="N89" t="s">
        <v>42</v>
      </c>
    </row>
    <row r="90" spans="1:18" outlineLevel="1" collapsed="1">
      <c r="A90" s="1" t="s">
        <v>2120</v>
      </c>
    </row>
    <row r="91" spans="1:18" hidden="1" outlineLevel="2">
      <c r="A91" t="s">
        <v>1553</v>
      </c>
      <c r="B91" t="s">
        <v>1554</v>
      </c>
      <c r="I91" t="s">
        <v>1555</v>
      </c>
      <c r="K91" t="s">
        <v>1560</v>
      </c>
      <c r="N91" t="s">
        <v>42</v>
      </c>
    </row>
    <row r="92" spans="1:18" hidden="1" outlineLevel="2">
      <c r="A92" t="s">
        <v>2164</v>
      </c>
      <c r="B92" t="s">
        <v>1556</v>
      </c>
      <c r="I92" t="s">
        <v>1555</v>
      </c>
      <c r="K92" t="s">
        <v>1560</v>
      </c>
      <c r="N92" t="s">
        <v>42</v>
      </c>
    </row>
    <row r="93" spans="1:18" outlineLevel="1" collapsed="1">
      <c r="A93" s="1" t="s">
        <v>2121</v>
      </c>
    </row>
    <row r="94" spans="1:18" ht="15" hidden="1" customHeight="1" outlineLevel="2">
      <c r="A94" s="9" t="s">
        <v>1561</v>
      </c>
      <c r="B94" t="s">
        <v>1563</v>
      </c>
      <c r="C94">
        <v>250</v>
      </c>
      <c r="D94">
        <v>1500</v>
      </c>
      <c r="E94" t="s">
        <v>1564</v>
      </c>
      <c r="I94" t="s">
        <v>1565</v>
      </c>
      <c r="K94" t="s">
        <v>252</v>
      </c>
      <c r="N94" t="s">
        <v>42</v>
      </c>
      <c r="Q94" t="s">
        <v>1662</v>
      </c>
      <c r="R94" s="9" t="s">
        <v>1562</v>
      </c>
    </row>
    <row r="95" spans="1:18" hidden="1" outlineLevel="2">
      <c r="A95" t="s">
        <v>1566</v>
      </c>
      <c r="B95" t="s">
        <v>1589</v>
      </c>
      <c r="D95">
        <v>500</v>
      </c>
      <c r="I95" t="s">
        <v>1565</v>
      </c>
      <c r="K95" t="s">
        <v>252</v>
      </c>
      <c r="M95">
        <v>100</v>
      </c>
      <c r="N95" t="s">
        <v>42</v>
      </c>
      <c r="Q95" t="s">
        <v>1662</v>
      </c>
      <c r="R95" t="s">
        <v>1568</v>
      </c>
    </row>
    <row r="96" spans="1:18" hidden="1" outlineLevel="2">
      <c r="A96" t="s">
        <v>1602</v>
      </c>
      <c r="B96" t="s">
        <v>1590</v>
      </c>
      <c r="C96" t="s">
        <v>1567</v>
      </c>
      <c r="D96">
        <v>1000</v>
      </c>
      <c r="I96" t="s">
        <v>1565</v>
      </c>
      <c r="K96" t="s">
        <v>252</v>
      </c>
      <c r="M96">
        <v>100</v>
      </c>
      <c r="N96" t="s">
        <v>42</v>
      </c>
      <c r="Q96" t="s">
        <v>1662</v>
      </c>
      <c r="R96" t="s">
        <v>1570</v>
      </c>
    </row>
    <row r="97" spans="1:18" hidden="1" outlineLevel="2">
      <c r="A97" t="s">
        <v>1603</v>
      </c>
      <c r="B97" t="s">
        <v>1591</v>
      </c>
      <c r="C97" t="s">
        <v>1572</v>
      </c>
      <c r="D97">
        <v>3000</v>
      </c>
      <c r="I97" t="s">
        <v>1565</v>
      </c>
      <c r="K97" t="s">
        <v>252</v>
      </c>
      <c r="M97" t="s">
        <v>1571</v>
      </c>
      <c r="N97" t="s">
        <v>42</v>
      </c>
      <c r="Q97" t="s">
        <v>1662</v>
      </c>
      <c r="R97" t="s">
        <v>1573</v>
      </c>
    </row>
    <row r="98" spans="1:18" hidden="1" outlineLevel="2">
      <c r="A98" t="s">
        <v>1604</v>
      </c>
      <c r="B98" t="s">
        <v>1592</v>
      </c>
      <c r="C98">
        <v>5</v>
      </c>
      <c r="D98">
        <v>40</v>
      </c>
      <c r="I98" t="s">
        <v>1565</v>
      </c>
      <c r="K98" t="s">
        <v>252</v>
      </c>
      <c r="M98" t="s">
        <v>1574</v>
      </c>
      <c r="N98" t="s">
        <v>42</v>
      </c>
      <c r="Q98" t="s">
        <v>1662</v>
      </c>
      <c r="R98" t="s">
        <v>1575</v>
      </c>
    </row>
    <row r="99" spans="1:18" hidden="1" outlineLevel="2">
      <c r="A99" t="s">
        <v>1605</v>
      </c>
      <c r="B99" t="s">
        <v>1597</v>
      </c>
      <c r="C99">
        <v>5</v>
      </c>
      <c r="D99">
        <v>20</v>
      </c>
      <c r="I99" t="s">
        <v>1565</v>
      </c>
      <c r="K99" t="s">
        <v>252</v>
      </c>
      <c r="M99" t="s">
        <v>1576</v>
      </c>
      <c r="N99" t="s">
        <v>42</v>
      </c>
      <c r="Q99" t="s">
        <v>1662</v>
      </c>
      <c r="R99" t="s">
        <v>1577</v>
      </c>
    </row>
    <row r="100" spans="1:18" hidden="1" outlineLevel="2">
      <c r="A100" t="s">
        <v>1601</v>
      </c>
      <c r="B100" t="s">
        <v>1593</v>
      </c>
      <c r="C100" s="12" t="s">
        <v>1579</v>
      </c>
      <c r="D100">
        <v>8</v>
      </c>
      <c r="I100" t="s">
        <v>1565</v>
      </c>
      <c r="K100" t="s">
        <v>252</v>
      </c>
      <c r="M100" t="s">
        <v>1578</v>
      </c>
      <c r="N100" t="s">
        <v>42</v>
      </c>
      <c r="Q100" t="s">
        <v>1662</v>
      </c>
      <c r="R100" t="s">
        <v>1575</v>
      </c>
    </row>
    <row r="101" spans="1:18" outlineLevel="1" collapsed="1">
      <c r="A101" s="1" t="s">
        <v>2122</v>
      </c>
      <c r="C101" s="12"/>
    </row>
    <row r="102" spans="1:18" hidden="1" outlineLevel="2">
      <c r="A102" t="s">
        <v>1598</v>
      </c>
      <c r="B102" t="s">
        <v>1594</v>
      </c>
      <c r="C102">
        <v>120</v>
      </c>
      <c r="D102" t="s">
        <v>1581</v>
      </c>
      <c r="I102" t="s">
        <v>1580</v>
      </c>
      <c r="M102" t="s">
        <v>1582</v>
      </c>
      <c r="N102" t="s">
        <v>42</v>
      </c>
      <c r="Q102" t="s">
        <v>1584</v>
      </c>
      <c r="R102" t="s">
        <v>1583</v>
      </c>
    </row>
    <row r="103" spans="1:18" hidden="1" outlineLevel="2">
      <c r="A103" t="s">
        <v>1599</v>
      </c>
      <c r="B103" t="s">
        <v>1595</v>
      </c>
      <c r="C103" t="s">
        <v>1578</v>
      </c>
      <c r="D103">
        <v>16</v>
      </c>
      <c r="I103" t="s">
        <v>1580</v>
      </c>
      <c r="M103" t="s">
        <v>1578</v>
      </c>
      <c r="N103" t="s">
        <v>42</v>
      </c>
      <c r="R103" t="s">
        <v>1585</v>
      </c>
    </row>
    <row r="104" spans="1:18" ht="14.25" customHeight="1" outlineLevel="1" collapsed="1">
      <c r="A104" s="1" t="s">
        <v>1611</v>
      </c>
      <c r="R104" s="19"/>
    </row>
    <row r="105" spans="1:18" hidden="1" outlineLevel="2">
      <c r="A105" t="s">
        <v>1656</v>
      </c>
      <c r="B105" t="s">
        <v>1618</v>
      </c>
      <c r="C105" t="s">
        <v>1615</v>
      </c>
      <c r="D105" t="s">
        <v>1614</v>
      </c>
      <c r="I105" t="s">
        <v>1611</v>
      </c>
      <c r="K105" t="s">
        <v>252</v>
      </c>
      <c r="N105" t="s">
        <v>42</v>
      </c>
      <c r="Q105" t="s">
        <v>1638</v>
      </c>
      <c r="R105" t="s">
        <v>1620</v>
      </c>
    </row>
    <row r="106" spans="1:18" hidden="1" outlineLevel="2">
      <c r="A106" t="s">
        <v>1657</v>
      </c>
      <c r="B106" t="s">
        <v>1619</v>
      </c>
      <c r="C106" t="s">
        <v>1616</v>
      </c>
      <c r="D106" t="s">
        <v>1617</v>
      </c>
      <c r="I106" t="s">
        <v>1611</v>
      </c>
      <c r="K106" t="s">
        <v>252</v>
      </c>
      <c r="N106" t="s">
        <v>42</v>
      </c>
      <c r="R106" t="s">
        <v>1621</v>
      </c>
    </row>
    <row r="107" spans="1:18" outlineLevel="1" collapsed="1">
      <c r="A107" s="1" t="s">
        <v>1612</v>
      </c>
    </row>
    <row r="108" spans="1:18" hidden="1" outlineLevel="2">
      <c r="A108" t="s">
        <v>1658</v>
      </c>
      <c r="B108" t="s">
        <v>1622</v>
      </c>
      <c r="C108" t="s">
        <v>1613</v>
      </c>
      <c r="D108" t="s">
        <v>1627</v>
      </c>
      <c r="E108" t="s">
        <v>1623</v>
      </c>
      <c r="I108" t="s">
        <v>1612</v>
      </c>
      <c r="K108" t="s">
        <v>252</v>
      </c>
      <c r="N108" t="s">
        <v>42</v>
      </c>
      <c r="R108" t="s">
        <v>1624</v>
      </c>
    </row>
    <row r="109" spans="1:18" hidden="1" outlineLevel="2">
      <c r="A109" t="s">
        <v>1659</v>
      </c>
      <c r="B109" t="s">
        <v>1626</v>
      </c>
      <c r="C109" t="s">
        <v>1613</v>
      </c>
      <c r="D109" t="s">
        <v>1627</v>
      </c>
      <c r="E109" t="s">
        <v>1623</v>
      </c>
      <c r="I109" t="s">
        <v>1612</v>
      </c>
      <c r="K109" t="s">
        <v>252</v>
      </c>
      <c r="N109" t="s">
        <v>42</v>
      </c>
      <c r="R109" t="s">
        <v>1625</v>
      </c>
    </row>
    <row r="110" spans="1:18" outlineLevel="1" collapsed="1">
      <c r="A110" s="1" t="s">
        <v>1628</v>
      </c>
    </row>
    <row r="111" spans="1:18" hidden="1" outlineLevel="2">
      <c r="A111" t="s">
        <v>1660</v>
      </c>
      <c r="B111" t="s">
        <v>1629</v>
      </c>
      <c r="C111">
        <v>100</v>
      </c>
      <c r="D111">
        <v>100</v>
      </c>
      <c r="E111">
        <v>1</v>
      </c>
      <c r="G111" t="s">
        <v>1632</v>
      </c>
      <c r="I111" t="s">
        <v>1628</v>
      </c>
      <c r="K111" t="s">
        <v>252</v>
      </c>
      <c r="M111" t="s">
        <v>1630</v>
      </c>
      <c r="N111" t="s">
        <v>42</v>
      </c>
      <c r="R111" t="s">
        <v>1631</v>
      </c>
    </row>
    <row r="112" spans="1:18" hidden="1" outlineLevel="2">
      <c r="A112" t="s">
        <v>1661</v>
      </c>
      <c r="B112" t="s">
        <v>1635</v>
      </c>
      <c r="C112">
        <v>5</v>
      </c>
      <c r="D112">
        <v>5</v>
      </c>
      <c r="E112">
        <v>1</v>
      </c>
      <c r="G112" t="s">
        <v>1633</v>
      </c>
      <c r="I112" t="s">
        <v>1628</v>
      </c>
      <c r="K112" t="s">
        <v>252</v>
      </c>
      <c r="M112" t="s">
        <v>1639</v>
      </c>
      <c r="N112" t="s">
        <v>42</v>
      </c>
      <c r="Q112" t="s">
        <v>1637</v>
      </c>
      <c r="R112" t="s">
        <v>1636</v>
      </c>
    </row>
    <row r="113" spans="1:18" hidden="1" outlineLevel="2">
      <c r="A113" t="s">
        <v>1642</v>
      </c>
      <c r="B113" t="s">
        <v>1640</v>
      </c>
      <c r="C113">
        <v>5</v>
      </c>
      <c r="D113">
        <v>5</v>
      </c>
      <c r="E113">
        <v>1</v>
      </c>
      <c r="I113" t="s">
        <v>1628</v>
      </c>
      <c r="K113" t="s">
        <v>252</v>
      </c>
      <c r="M113">
        <v>5</v>
      </c>
      <c r="N113" t="s">
        <v>42</v>
      </c>
      <c r="Q113" t="s">
        <v>545</v>
      </c>
      <c r="R113" t="s">
        <v>1641</v>
      </c>
    </row>
    <row r="114" spans="1:18" hidden="1" outlineLevel="2">
      <c r="A114" t="s">
        <v>1645</v>
      </c>
      <c r="B114" t="s">
        <v>1643</v>
      </c>
      <c r="C114">
        <v>25</v>
      </c>
      <c r="D114">
        <v>25</v>
      </c>
      <c r="E114">
        <v>1</v>
      </c>
      <c r="G114" t="s">
        <v>1634</v>
      </c>
      <c r="I114" t="s">
        <v>1628</v>
      </c>
      <c r="K114" t="s">
        <v>252</v>
      </c>
      <c r="M114">
        <v>25</v>
      </c>
      <c r="N114" t="s">
        <v>42</v>
      </c>
      <c r="R114" t="s">
        <v>1644</v>
      </c>
    </row>
    <row r="115" spans="1:18" outlineLevel="1" collapsed="1">
      <c r="A115" s="1" t="s">
        <v>2320</v>
      </c>
    </row>
    <row r="116" spans="1:18" hidden="1" outlineLevel="2">
      <c r="A116" t="s">
        <v>2321</v>
      </c>
      <c r="B116" t="s">
        <v>2328</v>
      </c>
      <c r="C116" t="s">
        <v>2329</v>
      </c>
      <c r="D116" t="s">
        <v>2330</v>
      </c>
      <c r="E116" t="s">
        <v>2326</v>
      </c>
      <c r="H116" t="s">
        <v>2327</v>
      </c>
      <c r="I116" t="s">
        <v>2320</v>
      </c>
      <c r="K116" t="s">
        <v>252</v>
      </c>
      <c r="N116" t="s">
        <v>42</v>
      </c>
    </row>
    <row r="117" spans="1:18" hidden="1" outlineLevel="2">
      <c r="A117" t="s">
        <v>2322</v>
      </c>
      <c r="B117" t="s">
        <v>2323</v>
      </c>
      <c r="C117" t="s">
        <v>2324</v>
      </c>
      <c r="D117" t="s">
        <v>2325</v>
      </c>
      <c r="E117" t="s">
        <v>2326</v>
      </c>
      <c r="H117" t="s">
        <v>2327</v>
      </c>
      <c r="I117" t="s">
        <v>2320</v>
      </c>
      <c r="K117" t="s">
        <v>252</v>
      </c>
      <c r="N117" t="s">
        <v>42</v>
      </c>
    </row>
    <row r="118" spans="1:18" hidden="1" outlineLevel="2">
      <c r="A118" t="s">
        <v>2332</v>
      </c>
      <c r="B118" t="s">
        <v>2331</v>
      </c>
      <c r="C118" t="s">
        <v>2333</v>
      </c>
      <c r="D118" t="s">
        <v>2334</v>
      </c>
      <c r="E118" t="s">
        <v>2326</v>
      </c>
      <c r="H118" t="s">
        <v>2327</v>
      </c>
      <c r="I118" t="s">
        <v>2320</v>
      </c>
      <c r="K118" t="s">
        <v>252</v>
      </c>
      <c r="N118" t="s">
        <v>42</v>
      </c>
    </row>
    <row r="119" spans="1:18" outlineLevel="1" collapsed="1">
      <c r="A119" t="s">
        <v>1647</v>
      </c>
      <c r="B119" t="s">
        <v>1646</v>
      </c>
      <c r="C119" t="s">
        <v>1648</v>
      </c>
      <c r="D119" t="s">
        <v>1680</v>
      </c>
      <c r="E119" t="s">
        <v>366</v>
      </c>
      <c r="I119" t="s">
        <v>1716</v>
      </c>
      <c r="K119" t="s">
        <v>252</v>
      </c>
      <c r="N119" t="s">
        <v>1663</v>
      </c>
      <c r="R119" t="s">
        <v>1649</v>
      </c>
    </row>
    <row r="120" spans="1:18" outlineLevel="1">
      <c r="A120" t="s">
        <v>1650</v>
      </c>
      <c r="B120" t="s">
        <v>1651</v>
      </c>
      <c r="C120" t="s">
        <v>1652</v>
      </c>
      <c r="D120" t="s">
        <v>1653</v>
      </c>
      <c r="I120" t="s">
        <v>1654</v>
      </c>
      <c r="K120" t="s">
        <v>252</v>
      </c>
      <c r="N120" t="s">
        <v>42</v>
      </c>
      <c r="R120" t="s">
        <v>1655</v>
      </c>
    </row>
    <row r="121" spans="1:18" outlineLevel="1" collapsed="1">
      <c r="A121" t="s">
        <v>1557</v>
      </c>
      <c r="B121" t="s">
        <v>1558</v>
      </c>
      <c r="C121" t="s">
        <v>2324</v>
      </c>
      <c r="D121" t="s">
        <v>2336</v>
      </c>
      <c r="H121" t="s">
        <v>2335</v>
      </c>
      <c r="I121" t="s">
        <v>1559</v>
      </c>
      <c r="K121" t="s">
        <v>1560</v>
      </c>
      <c r="M121" t="s">
        <v>1569</v>
      </c>
      <c r="N121" t="s">
        <v>42</v>
      </c>
    </row>
    <row r="122" spans="1:18">
      <c r="A122" s="1" t="s">
        <v>2113</v>
      </c>
    </row>
    <row r="123" spans="1:18" hidden="1" outlineLevel="1">
      <c r="A123" t="s">
        <v>1664</v>
      </c>
      <c r="B123" t="s">
        <v>1679</v>
      </c>
      <c r="C123" t="s">
        <v>1681</v>
      </c>
      <c r="D123" t="s">
        <v>1682</v>
      </c>
      <c r="I123" t="s">
        <v>1716</v>
      </c>
      <c r="K123" t="s">
        <v>1683</v>
      </c>
    </row>
    <row r="124" spans="1:18" hidden="1" outlineLevel="1">
      <c r="A124" t="s">
        <v>1665</v>
      </c>
      <c r="B124" t="s">
        <v>1678</v>
      </c>
      <c r="C124" t="s">
        <v>1685</v>
      </c>
      <c r="D124" t="s">
        <v>1686</v>
      </c>
      <c r="I124" t="s">
        <v>1716</v>
      </c>
      <c r="K124" t="s">
        <v>1684</v>
      </c>
    </row>
    <row r="125" spans="1:18" hidden="1" outlineLevel="1">
      <c r="A125" t="s">
        <v>1666</v>
      </c>
      <c r="C125" t="s">
        <v>1687</v>
      </c>
      <c r="D125" t="s">
        <v>1688</v>
      </c>
      <c r="I125" t="s">
        <v>2456</v>
      </c>
    </row>
    <row r="126" spans="1:18" hidden="1" outlineLevel="1">
      <c r="A126" t="s">
        <v>1689</v>
      </c>
      <c r="B126" t="s">
        <v>1690</v>
      </c>
      <c r="C126">
        <v>500</v>
      </c>
      <c r="D126">
        <v>2000</v>
      </c>
      <c r="I126" t="s">
        <v>2456</v>
      </c>
    </row>
    <row r="127" spans="1:18" hidden="1" outlineLevel="1">
      <c r="A127" t="s">
        <v>1667</v>
      </c>
      <c r="B127" t="s">
        <v>1694</v>
      </c>
      <c r="C127" t="s">
        <v>1695</v>
      </c>
      <c r="D127" t="s">
        <v>1696</v>
      </c>
      <c r="I127" t="s">
        <v>1728</v>
      </c>
    </row>
    <row r="128" spans="1:18" hidden="1" outlineLevel="1">
      <c r="A128" t="s">
        <v>1668</v>
      </c>
      <c r="B128" t="s">
        <v>1691</v>
      </c>
      <c r="C128" t="s">
        <v>1692</v>
      </c>
      <c r="D128" t="s">
        <v>1693</v>
      </c>
      <c r="I128" t="s">
        <v>1728</v>
      </c>
    </row>
    <row r="129" spans="1:18" hidden="1" outlineLevel="1">
      <c r="A129" t="s">
        <v>1669</v>
      </c>
      <c r="B129" t="s">
        <v>1697</v>
      </c>
      <c r="C129" t="s">
        <v>1699</v>
      </c>
      <c r="D129">
        <v>80</v>
      </c>
      <c r="I129" t="s">
        <v>1715</v>
      </c>
      <c r="Q129" t="s">
        <v>545</v>
      </c>
      <c r="R129" t="s">
        <v>1721</v>
      </c>
    </row>
    <row r="130" spans="1:18" hidden="1" outlineLevel="1">
      <c r="A130" t="s">
        <v>1670</v>
      </c>
      <c r="B130" t="s">
        <v>1698</v>
      </c>
      <c r="C130" s="12" t="s">
        <v>1700</v>
      </c>
      <c r="D130">
        <v>40</v>
      </c>
      <c r="I130" t="s">
        <v>1715</v>
      </c>
      <c r="Q130" t="s">
        <v>1717</v>
      </c>
      <c r="R130" t="s">
        <v>1722</v>
      </c>
    </row>
    <row r="131" spans="1:18" hidden="1" outlineLevel="1">
      <c r="A131" t="s">
        <v>1671</v>
      </c>
      <c r="B131" t="s">
        <v>1701</v>
      </c>
      <c r="C131" s="12" t="s">
        <v>1700</v>
      </c>
      <c r="D131">
        <v>80</v>
      </c>
      <c r="I131" t="s">
        <v>1715</v>
      </c>
      <c r="Q131" t="s">
        <v>545</v>
      </c>
      <c r="R131" t="s">
        <v>1723</v>
      </c>
    </row>
    <row r="132" spans="1:18" hidden="1" outlineLevel="1">
      <c r="A132" t="s">
        <v>1672</v>
      </c>
      <c r="B132" t="s">
        <v>2451</v>
      </c>
      <c r="C132" t="s">
        <v>2452</v>
      </c>
      <c r="D132" t="s">
        <v>2453</v>
      </c>
      <c r="I132" t="s">
        <v>1715</v>
      </c>
      <c r="Q132" t="s">
        <v>1718</v>
      </c>
      <c r="R132" t="s">
        <v>1724</v>
      </c>
    </row>
    <row r="133" spans="1:18" hidden="1" outlineLevel="1">
      <c r="A133" t="s">
        <v>1673</v>
      </c>
      <c r="B133" t="s">
        <v>1702</v>
      </c>
      <c r="C133">
        <v>10</v>
      </c>
      <c r="D133">
        <v>80</v>
      </c>
      <c r="I133" t="s">
        <v>1715</v>
      </c>
      <c r="J133" t="s">
        <v>2454</v>
      </c>
      <c r="Q133" t="s">
        <v>545</v>
      </c>
      <c r="R133" t="s">
        <v>1725</v>
      </c>
    </row>
    <row r="134" spans="1:18" hidden="1" outlineLevel="1">
      <c r="A134" t="s">
        <v>1674</v>
      </c>
      <c r="B134" t="s">
        <v>1703</v>
      </c>
      <c r="C134">
        <v>5</v>
      </c>
      <c r="D134">
        <v>40</v>
      </c>
      <c r="I134" t="s">
        <v>1715</v>
      </c>
      <c r="J134" t="s">
        <v>2455</v>
      </c>
      <c r="Q134" t="s">
        <v>1719</v>
      </c>
      <c r="R134" t="s">
        <v>1726</v>
      </c>
    </row>
    <row r="135" spans="1:18" hidden="1" outlineLevel="1">
      <c r="A135" t="s">
        <v>1704</v>
      </c>
      <c r="B135" t="s">
        <v>1705</v>
      </c>
      <c r="C135">
        <v>2</v>
      </c>
      <c r="D135">
        <v>4</v>
      </c>
      <c r="I135" t="s">
        <v>1715</v>
      </c>
      <c r="Q135" t="s">
        <v>1720</v>
      </c>
      <c r="R135" t="s">
        <v>1727</v>
      </c>
    </row>
    <row r="136" spans="1:18" hidden="1" outlineLevel="1">
      <c r="A136" t="s">
        <v>1675</v>
      </c>
      <c r="B136" t="s">
        <v>1706</v>
      </c>
      <c r="C136">
        <v>10</v>
      </c>
      <c r="D136">
        <v>10</v>
      </c>
      <c r="I136" t="s">
        <v>2337</v>
      </c>
    </row>
    <row r="137" spans="1:18" hidden="1" outlineLevel="1">
      <c r="A137" t="s">
        <v>1676</v>
      </c>
      <c r="B137" t="s">
        <v>2338</v>
      </c>
      <c r="C137" t="s">
        <v>1711</v>
      </c>
      <c r="D137" t="s">
        <v>1711</v>
      </c>
      <c r="I137" t="s">
        <v>2449</v>
      </c>
      <c r="K137" t="s">
        <v>1712</v>
      </c>
    </row>
    <row r="138" spans="1:18" hidden="1" outlineLevel="1">
      <c r="A138" t="s">
        <v>1677</v>
      </c>
      <c r="B138" t="s">
        <v>2339</v>
      </c>
      <c r="C138" t="s">
        <v>1709</v>
      </c>
      <c r="D138" t="s">
        <v>1710</v>
      </c>
      <c r="I138" t="s">
        <v>2340</v>
      </c>
      <c r="R138" t="s">
        <v>2341</v>
      </c>
    </row>
    <row r="139" spans="1:18" hidden="1" outlineLevel="1">
      <c r="A139" t="s">
        <v>1707</v>
      </c>
      <c r="B139" t="s">
        <v>1708</v>
      </c>
      <c r="C139" t="s">
        <v>1713</v>
      </c>
      <c r="D139" t="s">
        <v>1713</v>
      </c>
      <c r="E139" t="s">
        <v>1714</v>
      </c>
      <c r="I139" t="s">
        <v>2450</v>
      </c>
    </row>
    <row r="140" spans="1:18" hidden="1" outlineLevel="1">
      <c r="A140" t="s">
        <v>2438</v>
      </c>
      <c r="B140" t="s">
        <v>2440</v>
      </c>
      <c r="C140" t="s">
        <v>2442</v>
      </c>
      <c r="D140" t="s">
        <v>2444</v>
      </c>
      <c r="E140" t="s">
        <v>2445</v>
      </c>
      <c r="I140" t="s">
        <v>2448</v>
      </c>
      <c r="K140" t="s">
        <v>2457</v>
      </c>
    </row>
    <row r="141" spans="1:18" hidden="1" outlineLevel="1">
      <c r="A141" t="s">
        <v>2439</v>
      </c>
      <c r="B141" t="s">
        <v>2441</v>
      </c>
      <c r="C141" t="s">
        <v>2443</v>
      </c>
      <c r="D141" t="s">
        <v>2447</v>
      </c>
      <c r="E141" t="s">
        <v>2446</v>
      </c>
      <c r="I141" t="s">
        <v>2448</v>
      </c>
      <c r="K141" t="s">
        <v>2457</v>
      </c>
    </row>
    <row r="142" spans="1:18" collapsed="1">
      <c r="A142" s="1" t="s">
        <v>2114</v>
      </c>
    </row>
    <row r="143" spans="1:18" hidden="1" outlineLevel="1">
      <c r="A143" s="1" t="s">
        <v>2124</v>
      </c>
    </row>
    <row r="144" spans="1:18" hidden="1" outlineLevel="2">
      <c r="A144" t="s">
        <v>273</v>
      </c>
      <c r="B144" t="s">
        <v>320</v>
      </c>
      <c r="C144" t="s">
        <v>2057</v>
      </c>
      <c r="D144" t="s">
        <v>2044</v>
      </c>
      <c r="E144" t="s">
        <v>372</v>
      </c>
      <c r="H144" t="s">
        <v>344</v>
      </c>
      <c r="I144" s="1" t="s">
        <v>271</v>
      </c>
      <c r="J144" s="1" t="s">
        <v>2093</v>
      </c>
      <c r="M144" t="s">
        <v>274</v>
      </c>
      <c r="N144" t="s">
        <v>229</v>
      </c>
      <c r="P144" t="s">
        <v>156</v>
      </c>
      <c r="R144" t="s">
        <v>2058</v>
      </c>
    </row>
    <row r="145" spans="1:18" hidden="1" outlineLevel="2">
      <c r="A145" t="s">
        <v>275</v>
      </c>
      <c r="B145" t="s">
        <v>321</v>
      </c>
      <c r="C145" t="s">
        <v>2047</v>
      </c>
      <c r="D145" t="s">
        <v>2048</v>
      </c>
      <c r="E145" t="s">
        <v>366</v>
      </c>
      <c r="H145" t="s">
        <v>345</v>
      </c>
      <c r="I145" s="1" t="s">
        <v>271</v>
      </c>
      <c r="J145" s="1" t="s">
        <v>345</v>
      </c>
      <c r="M145" t="s">
        <v>276</v>
      </c>
      <c r="N145" t="s">
        <v>229</v>
      </c>
      <c r="P145" t="s">
        <v>156</v>
      </c>
      <c r="R145" t="s">
        <v>2049</v>
      </c>
    </row>
    <row r="146" spans="1:18" hidden="1" outlineLevel="2">
      <c r="A146" t="s">
        <v>277</v>
      </c>
      <c r="B146" t="s">
        <v>322</v>
      </c>
      <c r="C146">
        <v>200</v>
      </c>
      <c r="D146">
        <v>200</v>
      </c>
      <c r="E146">
        <v>1</v>
      </c>
      <c r="H146" t="s">
        <v>346</v>
      </c>
      <c r="I146" s="1" t="s">
        <v>271</v>
      </c>
      <c r="J146" s="1"/>
      <c r="M146" t="s">
        <v>278</v>
      </c>
      <c r="N146" t="s">
        <v>229</v>
      </c>
      <c r="P146" t="s">
        <v>156</v>
      </c>
      <c r="R146" t="s">
        <v>2050</v>
      </c>
    </row>
    <row r="147" spans="1:18" hidden="1" outlineLevel="2">
      <c r="A147" t="s">
        <v>279</v>
      </c>
      <c r="B147" t="s">
        <v>323</v>
      </c>
      <c r="H147" t="s">
        <v>346</v>
      </c>
      <c r="I147" s="1" t="s">
        <v>271</v>
      </c>
      <c r="J147" s="1"/>
      <c r="M147" t="s">
        <v>278</v>
      </c>
      <c r="N147" t="s">
        <v>229</v>
      </c>
      <c r="P147" t="s">
        <v>156</v>
      </c>
    </row>
    <row r="148" spans="1:18" hidden="1" outlineLevel="2">
      <c r="A148" t="s">
        <v>280</v>
      </c>
      <c r="B148" t="s">
        <v>324</v>
      </c>
      <c r="C148" t="s">
        <v>2051</v>
      </c>
      <c r="D148" t="s">
        <v>2052</v>
      </c>
      <c r="E148" t="s">
        <v>366</v>
      </c>
      <c r="H148" t="s">
        <v>346</v>
      </c>
      <c r="I148" s="1" t="s">
        <v>271</v>
      </c>
      <c r="J148" s="1"/>
      <c r="M148" t="s">
        <v>281</v>
      </c>
      <c r="N148" t="s">
        <v>229</v>
      </c>
      <c r="P148" t="s">
        <v>156</v>
      </c>
      <c r="R148" t="s">
        <v>2053</v>
      </c>
    </row>
    <row r="149" spans="1:18" hidden="1" outlineLevel="2">
      <c r="A149" t="s">
        <v>282</v>
      </c>
      <c r="B149" t="s">
        <v>325</v>
      </c>
      <c r="C149" t="s">
        <v>2044</v>
      </c>
      <c r="D149" t="s">
        <v>2046</v>
      </c>
      <c r="E149" t="s">
        <v>366</v>
      </c>
      <c r="H149" t="s">
        <v>347</v>
      </c>
      <c r="I149" s="1" t="s">
        <v>271</v>
      </c>
      <c r="J149" s="1"/>
      <c r="M149" t="s">
        <v>283</v>
      </c>
      <c r="N149" t="s">
        <v>229</v>
      </c>
      <c r="P149" t="s">
        <v>2055</v>
      </c>
      <c r="R149" t="s">
        <v>2045</v>
      </c>
    </row>
    <row r="150" spans="1:18" hidden="1" outlineLevel="2">
      <c r="A150" t="s">
        <v>284</v>
      </c>
      <c r="B150" t="s">
        <v>326</v>
      </c>
      <c r="C150">
        <v>40</v>
      </c>
      <c r="D150">
        <v>40</v>
      </c>
      <c r="E150">
        <v>2</v>
      </c>
      <c r="H150" t="s">
        <v>344</v>
      </c>
      <c r="I150" s="1" t="s">
        <v>271</v>
      </c>
      <c r="J150" s="1" t="s">
        <v>2093</v>
      </c>
      <c r="N150" t="s">
        <v>229</v>
      </c>
      <c r="P150" t="s">
        <v>156</v>
      </c>
      <c r="R150" t="s">
        <v>2054</v>
      </c>
    </row>
    <row r="151" spans="1:18" hidden="1" outlineLevel="2">
      <c r="A151" t="s">
        <v>286</v>
      </c>
      <c r="B151" t="s">
        <v>327</v>
      </c>
      <c r="C151">
        <v>300</v>
      </c>
      <c r="D151">
        <v>300</v>
      </c>
      <c r="E151">
        <v>1</v>
      </c>
      <c r="H151" t="s">
        <v>348</v>
      </c>
      <c r="I151" s="1" t="s">
        <v>285</v>
      </c>
      <c r="J151" s="1" t="s">
        <v>345</v>
      </c>
      <c r="M151" t="s">
        <v>287</v>
      </c>
      <c r="N151" t="s">
        <v>229</v>
      </c>
      <c r="P151" t="s">
        <v>156</v>
      </c>
      <c r="R151" t="s">
        <v>2056</v>
      </c>
    </row>
    <row r="152" spans="1:18" hidden="1" outlineLevel="1" collapsed="1">
      <c r="A152" s="1" t="s">
        <v>2125</v>
      </c>
      <c r="I152" s="1"/>
      <c r="J152" s="1"/>
    </row>
    <row r="153" spans="1:18" hidden="1" outlineLevel="2">
      <c r="A153" t="s">
        <v>289</v>
      </c>
      <c r="B153" t="s">
        <v>328</v>
      </c>
      <c r="C153">
        <v>600</v>
      </c>
      <c r="D153">
        <v>600</v>
      </c>
      <c r="E153">
        <v>1</v>
      </c>
      <c r="I153" s="1" t="s">
        <v>288</v>
      </c>
      <c r="J153" s="1"/>
      <c r="M153" t="s">
        <v>290</v>
      </c>
      <c r="N153" t="s">
        <v>229</v>
      </c>
      <c r="R153" t="s">
        <v>2062</v>
      </c>
    </row>
    <row r="154" spans="1:18" hidden="1" outlineLevel="2">
      <c r="A154" t="s">
        <v>291</v>
      </c>
      <c r="B154" t="s">
        <v>329</v>
      </c>
      <c r="C154" t="s">
        <v>2060</v>
      </c>
      <c r="D154" t="s">
        <v>2059</v>
      </c>
      <c r="E154" t="s">
        <v>372</v>
      </c>
      <c r="I154" s="1" t="s">
        <v>288</v>
      </c>
      <c r="J154" s="1"/>
      <c r="M154" t="s">
        <v>292</v>
      </c>
      <c r="N154" t="s">
        <v>229</v>
      </c>
      <c r="Q154" t="s">
        <v>2088</v>
      </c>
      <c r="R154" t="s">
        <v>2061</v>
      </c>
    </row>
    <row r="155" spans="1:18" hidden="1" outlineLevel="2">
      <c r="A155" t="s">
        <v>2063</v>
      </c>
      <c r="C155">
        <v>200</v>
      </c>
      <c r="D155">
        <v>200</v>
      </c>
      <c r="E155">
        <v>2</v>
      </c>
      <c r="I155" s="1" t="s">
        <v>288</v>
      </c>
      <c r="N155" t="s">
        <v>229</v>
      </c>
      <c r="Q155" t="s">
        <v>2088</v>
      </c>
      <c r="R155" t="s">
        <v>2064</v>
      </c>
    </row>
    <row r="156" spans="1:18" hidden="1" outlineLevel="2">
      <c r="A156" t="s">
        <v>2066</v>
      </c>
      <c r="C156">
        <v>25</v>
      </c>
      <c r="D156">
        <v>25</v>
      </c>
      <c r="E156">
        <v>1</v>
      </c>
      <c r="I156" s="1" t="s">
        <v>288</v>
      </c>
      <c r="N156" t="s">
        <v>229</v>
      </c>
      <c r="Q156" t="s">
        <v>2088</v>
      </c>
      <c r="R156" t="s">
        <v>2067</v>
      </c>
    </row>
    <row r="157" spans="1:18" hidden="1" outlineLevel="2">
      <c r="A157" t="s">
        <v>293</v>
      </c>
      <c r="B157" t="s">
        <v>330</v>
      </c>
      <c r="C157">
        <v>200</v>
      </c>
      <c r="D157">
        <v>200</v>
      </c>
      <c r="E157">
        <v>2</v>
      </c>
      <c r="I157" s="1" t="s">
        <v>288</v>
      </c>
      <c r="J157" s="1"/>
      <c r="M157" t="s">
        <v>294</v>
      </c>
      <c r="N157" t="s">
        <v>229</v>
      </c>
      <c r="R157" t="s">
        <v>2065</v>
      </c>
    </row>
    <row r="158" spans="1:18" hidden="1" outlineLevel="1" collapsed="1">
      <c r="A158" s="1" t="s">
        <v>2126</v>
      </c>
      <c r="I158" s="1"/>
      <c r="J158" s="1"/>
    </row>
    <row r="159" spans="1:18" hidden="1" outlineLevel="2">
      <c r="A159" t="s">
        <v>296</v>
      </c>
      <c r="B159" t="s">
        <v>331</v>
      </c>
      <c r="C159">
        <v>300</v>
      </c>
      <c r="D159">
        <v>400</v>
      </c>
      <c r="E159">
        <v>1</v>
      </c>
      <c r="I159" s="1" t="s">
        <v>295</v>
      </c>
      <c r="J159" s="1"/>
      <c r="M159" t="s">
        <v>297</v>
      </c>
      <c r="N159" t="s">
        <v>229</v>
      </c>
      <c r="Q159" t="s">
        <v>2088</v>
      </c>
      <c r="R159" t="s">
        <v>2083</v>
      </c>
    </row>
    <row r="160" spans="1:18" hidden="1" outlineLevel="2">
      <c r="A160" t="s">
        <v>298</v>
      </c>
      <c r="B160" t="s">
        <v>332</v>
      </c>
      <c r="C160">
        <v>800</v>
      </c>
      <c r="D160" t="s">
        <v>2059</v>
      </c>
      <c r="E160" t="s">
        <v>366</v>
      </c>
      <c r="I160" s="1" t="s">
        <v>295</v>
      </c>
      <c r="J160" s="1"/>
      <c r="M160" t="s">
        <v>96</v>
      </c>
      <c r="N160" t="s">
        <v>229</v>
      </c>
      <c r="Q160" t="s">
        <v>2088</v>
      </c>
      <c r="R160" t="s">
        <v>2084</v>
      </c>
    </row>
    <row r="161" spans="1:18" hidden="1" outlineLevel="2">
      <c r="A161" t="s">
        <v>299</v>
      </c>
      <c r="B161" t="s">
        <v>333</v>
      </c>
      <c r="C161">
        <v>1400</v>
      </c>
      <c r="D161">
        <v>1400</v>
      </c>
      <c r="E161">
        <v>1</v>
      </c>
      <c r="I161" s="1" t="s">
        <v>295</v>
      </c>
      <c r="J161" s="1"/>
      <c r="M161" t="s">
        <v>96</v>
      </c>
      <c r="N161" t="s">
        <v>229</v>
      </c>
      <c r="Q161" t="s">
        <v>2088</v>
      </c>
      <c r="R161" t="s">
        <v>2082</v>
      </c>
    </row>
    <row r="162" spans="1:18" hidden="1" outlineLevel="2">
      <c r="A162" t="s">
        <v>300</v>
      </c>
      <c r="B162" t="s">
        <v>334</v>
      </c>
      <c r="C162">
        <v>800</v>
      </c>
      <c r="D162" t="s">
        <v>2070</v>
      </c>
      <c r="E162" t="s">
        <v>366</v>
      </c>
      <c r="I162" s="1" t="s">
        <v>295</v>
      </c>
      <c r="J162" s="1"/>
      <c r="M162" t="s">
        <v>96</v>
      </c>
      <c r="N162" t="s">
        <v>229</v>
      </c>
      <c r="Q162" t="s">
        <v>2088</v>
      </c>
      <c r="R162" t="s">
        <v>2081</v>
      </c>
    </row>
    <row r="163" spans="1:18" hidden="1" outlineLevel="2">
      <c r="A163" t="s">
        <v>301</v>
      </c>
      <c r="B163" t="s">
        <v>335</v>
      </c>
      <c r="C163" t="s">
        <v>2071</v>
      </c>
      <c r="D163" t="s">
        <v>2072</v>
      </c>
      <c r="E163" t="s">
        <v>372</v>
      </c>
      <c r="I163" s="1" t="s">
        <v>295</v>
      </c>
      <c r="J163" s="1"/>
      <c r="M163" t="s">
        <v>96</v>
      </c>
      <c r="N163" t="s">
        <v>229</v>
      </c>
      <c r="R163" t="s">
        <v>2073</v>
      </c>
    </row>
    <row r="164" spans="1:18" hidden="1" outlineLevel="2">
      <c r="A164" t="s">
        <v>302</v>
      </c>
      <c r="B164" t="s">
        <v>336</v>
      </c>
      <c r="C164">
        <v>500</v>
      </c>
      <c r="D164" t="s">
        <v>2077</v>
      </c>
      <c r="E164">
        <v>2</v>
      </c>
      <c r="I164" s="1" t="s">
        <v>295</v>
      </c>
      <c r="J164" s="1"/>
      <c r="M164" t="s">
        <v>96</v>
      </c>
      <c r="N164" t="s">
        <v>229</v>
      </c>
      <c r="Q164" t="s">
        <v>2088</v>
      </c>
      <c r="R164" t="s">
        <v>2087</v>
      </c>
    </row>
    <row r="165" spans="1:18" hidden="1" outlineLevel="2">
      <c r="A165" t="s">
        <v>303</v>
      </c>
      <c r="B165" t="s">
        <v>337</v>
      </c>
      <c r="C165">
        <v>1000</v>
      </c>
      <c r="D165" t="s">
        <v>2076</v>
      </c>
      <c r="E165">
        <v>2</v>
      </c>
      <c r="I165" s="1" t="s">
        <v>295</v>
      </c>
      <c r="J165" s="1"/>
      <c r="M165" t="s">
        <v>304</v>
      </c>
      <c r="N165" t="s">
        <v>229</v>
      </c>
      <c r="Q165" t="s">
        <v>2088</v>
      </c>
      <c r="R165" t="s">
        <v>2086</v>
      </c>
    </row>
    <row r="166" spans="1:18" hidden="1" outlineLevel="2">
      <c r="A166" t="s">
        <v>305</v>
      </c>
      <c r="B166" t="s">
        <v>338</v>
      </c>
      <c r="C166" t="s">
        <v>2059</v>
      </c>
      <c r="D166" t="s">
        <v>2074</v>
      </c>
      <c r="E166" t="s">
        <v>366</v>
      </c>
      <c r="I166" s="1" t="s">
        <v>295</v>
      </c>
      <c r="J166" s="1"/>
      <c r="M166" t="s">
        <v>306</v>
      </c>
      <c r="N166" t="s">
        <v>229</v>
      </c>
      <c r="Q166" t="s">
        <v>2088</v>
      </c>
      <c r="R166" t="s">
        <v>2075</v>
      </c>
    </row>
    <row r="167" spans="1:18" hidden="1" outlineLevel="2">
      <c r="A167" t="s">
        <v>2089</v>
      </c>
      <c r="B167" t="s">
        <v>2090</v>
      </c>
      <c r="I167" s="1" t="s">
        <v>2091</v>
      </c>
      <c r="N167" t="s">
        <v>229</v>
      </c>
      <c r="Q167" t="s">
        <v>2088</v>
      </c>
      <c r="R167" t="s">
        <v>2092</v>
      </c>
    </row>
    <row r="168" spans="1:18" hidden="1" outlineLevel="2">
      <c r="A168" t="s">
        <v>307</v>
      </c>
      <c r="B168" t="s">
        <v>339</v>
      </c>
      <c r="C168" t="s">
        <v>2068</v>
      </c>
      <c r="D168" t="s">
        <v>2069</v>
      </c>
      <c r="E168" t="s">
        <v>372</v>
      </c>
      <c r="I168" s="1" t="s">
        <v>295</v>
      </c>
      <c r="J168" s="1"/>
      <c r="M168" t="s">
        <v>308</v>
      </c>
      <c r="N168" t="s">
        <v>229</v>
      </c>
      <c r="Q168" t="s">
        <v>2088</v>
      </c>
      <c r="R168" t="s">
        <v>2085</v>
      </c>
    </row>
    <row r="169" spans="1:18" hidden="1" outlineLevel="1" collapsed="1">
      <c r="A169" s="1" t="s">
        <v>2127</v>
      </c>
      <c r="I169" s="1"/>
      <c r="J169" s="1"/>
    </row>
    <row r="170" spans="1:18" hidden="1" outlineLevel="2">
      <c r="A170" t="s">
        <v>316</v>
      </c>
      <c r="B170" t="s">
        <v>342</v>
      </c>
      <c r="C170">
        <v>400</v>
      </c>
      <c r="D170">
        <v>400</v>
      </c>
      <c r="E170">
        <v>2</v>
      </c>
      <c r="I170" s="1" t="s">
        <v>315</v>
      </c>
      <c r="J170" s="1"/>
      <c r="M170" t="s">
        <v>317</v>
      </c>
      <c r="N170" t="s">
        <v>229</v>
      </c>
      <c r="R170" t="s">
        <v>2041</v>
      </c>
    </row>
    <row r="171" spans="1:18" hidden="1" outlineLevel="2">
      <c r="A171" t="s">
        <v>2042</v>
      </c>
      <c r="C171">
        <v>150</v>
      </c>
      <c r="D171">
        <v>150</v>
      </c>
      <c r="E171">
        <v>1</v>
      </c>
      <c r="I171" s="1" t="s">
        <v>315</v>
      </c>
      <c r="N171" t="s">
        <v>229</v>
      </c>
      <c r="Q171" t="s">
        <v>2088</v>
      </c>
      <c r="R171" t="s">
        <v>2043</v>
      </c>
    </row>
    <row r="172" spans="1:18" hidden="1" outlineLevel="2">
      <c r="A172" t="s">
        <v>2115</v>
      </c>
      <c r="B172" t="s">
        <v>2116</v>
      </c>
      <c r="I172" s="1" t="s">
        <v>315</v>
      </c>
    </row>
    <row r="173" spans="1:18" hidden="1" outlineLevel="1" collapsed="1">
      <c r="A173" s="1" t="s">
        <v>2128</v>
      </c>
      <c r="I173" s="1"/>
    </row>
    <row r="174" spans="1:18" hidden="1" outlineLevel="2">
      <c r="A174" t="s">
        <v>310</v>
      </c>
      <c r="B174" t="s">
        <v>340</v>
      </c>
      <c r="C174">
        <v>300</v>
      </c>
      <c r="D174" t="s">
        <v>2044</v>
      </c>
      <c r="E174">
        <v>2</v>
      </c>
      <c r="I174" s="1" t="s">
        <v>309</v>
      </c>
      <c r="J174" s="1"/>
      <c r="M174" t="s">
        <v>311</v>
      </c>
      <c r="N174" t="s">
        <v>229</v>
      </c>
      <c r="Q174" t="s">
        <v>2088</v>
      </c>
      <c r="R174" t="s">
        <v>2080</v>
      </c>
    </row>
    <row r="175" spans="1:18" hidden="1" outlineLevel="2">
      <c r="A175" t="s">
        <v>313</v>
      </c>
      <c r="B175" t="s">
        <v>341</v>
      </c>
      <c r="C175">
        <v>90</v>
      </c>
      <c r="D175" t="s">
        <v>2078</v>
      </c>
      <c r="E175">
        <v>2</v>
      </c>
      <c r="I175" s="1" t="s">
        <v>312</v>
      </c>
      <c r="J175" s="1"/>
      <c r="M175" t="s">
        <v>314</v>
      </c>
      <c r="N175" t="s">
        <v>229</v>
      </c>
      <c r="R175" t="s">
        <v>2079</v>
      </c>
    </row>
    <row r="176" spans="1:18" collapsed="1">
      <c r="A176" s="1" t="s">
        <v>2155</v>
      </c>
    </row>
    <row r="177" spans="1:14" hidden="1" outlineLevel="1">
      <c r="A177" t="s">
        <v>2162</v>
      </c>
      <c r="B177" t="s">
        <v>2177</v>
      </c>
      <c r="C177">
        <v>180</v>
      </c>
      <c r="D177">
        <v>360</v>
      </c>
      <c r="E177" t="s">
        <v>2178</v>
      </c>
    </row>
    <row r="178" spans="1:14" hidden="1" outlineLevel="1">
      <c r="A178" t="s">
        <v>2164</v>
      </c>
      <c r="B178" t="s">
        <v>2163</v>
      </c>
      <c r="C178">
        <v>0.6</v>
      </c>
      <c r="D178">
        <v>3</v>
      </c>
      <c r="E178" t="s">
        <v>2171</v>
      </c>
      <c r="H178" s="21" t="s">
        <v>2180</v>
      </c>
      <c r="I178" t="s">
        <v>1555</v>
      </c>
      <c r="K178" t="s">
        <v>2179</v>
      </c>
      <c r="N178" t="s">
        <v>2155</v>
      </c>
    </row>
    <row r="179" spans="1:14" hidden="1" outlineLevel="1">
      <c r="A179" t="s">
        <v>2165</v>
      </c>
      <c r="B179" t="s">
        <v>2181</v>
      </c>
      <c r="C179" t="s">
        <v>2182</v>
      </c>
      <c r="D179" t="s">
        <v>2183</v>
      </c>
      <c r="E179" t="s">
        <v>2184</v>
      </c>
      <c r="H179" s="21" t="s">
        <v>2185</v>
      </c>
    </row>
    <row r="180" spans="1:14" hidden="1" outlineLevel="1">
      <c r="A180" t="s">
        <v>2167</v>
      </c>
      <c r="B180" t="s">
        <v>2168</v>
      </c>
      <c r="C180" t="s">
        <v>2169</v>
      </c>
      <c r="D180" t="s">
        <v>2170</v>
      </c>
      <c r="E180" t="s">
        <v>2171</v>
      </c>
      <c r="H180" t="s">
        <v>2172</v>
      </c>
      <c r="K180" t="s">
        <v>252</v>
      </c>
    </row>
    <row r="181" spans="1:14" hidden="1" outlineLevel="1">
      <c r="A181" t="s">
        <v>2166</v>
      </c>
      <c r="B181" t="s">
        <v>2173</v>
      </c>
      <c r="C181">
        <v>20</v>
      </c>
      <c r="D181" t="s">
        <v>2174</v>
      </c>
      <c r="E181" t="s">
        <v>2175</v>
      </c>
      <c r="H181" t="s">
        <v>2176</v>
      </c>
      <c r="K181" t="s">
        <v>252</v>
      </c>
    </row>
    <row r="182" spans="1:14" collapsed="1"/>
    <row r="213" spans="1:18">
      <c r="A213" t="s">
        <v>251</v>
      </c>
      <c r="I213" s="1" t="s">
        <v>250</v>
      </c>
      <c r="J213" s="1"/>
      <c r="K213" t="s">
        <v>252</v>
      </c>
      <c r="M213" t="s">
        <v>254</v>
      </c>
      <c r="N213" t="s">
        <v>270</v>
      </c>
      <c r="R213" t="s">
        <v>253</v>
      </c>
    </row>
    <row r="214" spans="1:18">
      <c r="A214" t="s">
        <v>255</v>
      </c>
      <c r="B214" t="s">
        <v>343</v>
      </c>
      <c r="I214" s="1" t="s">
        <v>250</v>
      </c>
      <c r="J214" s="1"/>
      <c r="K214" t="s">
        <v>252</v>
      </c>
      <c r="N214" t="s">
        <v>270</v>
      </c>
      <c r="R214" t="s">
        <v>256</v>
      </c>
    </row>
    <row r="215" spans="1:18">
      <c r="A215" t="s">
        <v>257</v>
      </c>
      <c r="I215" s="1" t="s">
        <v>250</v>
      </c>
      <c r="J215" s="1"/>
      <c r="K215" t="s">
        <v>258</v>
      </c>
      <c r="N215" t="s">
        <v>270</v>
      </c>
      <c r="R215" t="s">
        <v>259</v>
      </c>
    </row>
    <row r="216" spans="1:18">
      <c r="A216" t="s">
        <v>260</v>
      </c>
      <c r="I216" s="1" t="s">
        <v>250</v>
      </c>
      <c r="J216" s="1"/>
      <c r="K216" t="s">
        <v>252</v>
      </c>
      <c r="N216" t="s">
        <v>270</v>
      </c>
      <c r="R216" t="s">
        <v>261</v>
      </c>
    </row>
    <row r="217" spans="1:18">
      <c r="A217" t="s">
        <v>262</v>
      </c>
      <c r="I217" s="1" t="s">
        <v>250</v>
      </c>
      <c r="J217" s="1"/>
      <c r="N217" t="s">
        <v>270</v>
      </c>
    </row>
    <row r="218" spans="1:18">
      <c r="A218" t="s">
        <v>264</v>
      </c>
      <c r="B218" t="s">
        <v>318</v>
      </c>
      <c r="I218" s="1" t="s">
        <v>263</v>
      </c>
      <c r="J218" s="1"/>
      <c r="K218" t="s">
        <v>265</v>
      </c>
      <c r="N218" t="s">
        <v>270</v>
      </c>
      <c r="R218" t="s">
        <v>266</v>
      </c>
    </row>
    <row r="219" spans="1:18">
      <c r="A219" t="s">
        <v>268</v>
      </c>
      <c r="B219" t="s">
        <v>319</v>
      </c>
      <c r="H219" t="s">
        <v>272</v>
      </c>
      <c r="I219" s="1" t="s">
        <v>267</v>
      </c>
      <c r="J219" s="1"/>
      <c r="K219" t="s">
        <v>265</v>
      </c>
      <c r="N219" t="s">
        <v>270</v>
      </c>
      <c r="R219" t="s">
        <v>269</v>
      </c>
    </row>
    <row r="220" spans="1:18">
      <c r="A220" t="s">
        <v>273</v>
      </c>
      <c r="B220" t="s">
        <v>320</v>
      </c>
      <c r="H220" t="s">
        <v>344</v>
      </c>
      <c r="I220" s="1" t="s">
        <v>271</v>
      </c>
      <c r="J220" s="1"/>
      <c r="M220" t="s">
        <v>274</v>
      </c>
      <c r="N220" t="s">
        <v>229</v>
      </c>
    </row>
    <row r="221" spans="1:18">
      <c r="A221" t="s">
        <v>275</v>
      </c>
      <c r="B221" t="s">
        <v>321</v>
      </c>
      <c r="H221" t="s">
        <v>345</v>
      </c>
      <c r="I221" s="1" t="s">
        <v>271</v>
      </c>
      <c r="J221" s="1"/>
      <c r="M221" t="s">
        <v>276</v>
      </c>
      <c r="N221" t="s">
        <v>229</v>
      </c>
    </row>
    <row r="222" spans="1:18">
      <c r="A222" t="s">
        <v>277</v>
      </c>
      <c r="B222" t="s">
        <v>322</v>
      </c>
      <c r="H222" t="s">
        <v>346</v>
      </c>
      <c r="I222" s="1" t="s">
        <v>271</v>
      </c>
      <c r="J222" s="1"/>
      <c r="M222" t="s">
        <v>278</v>
      </c>
      <c r="N222" t="s">
        <v>229</v>
      </c>
    </row>
    <row r="223" spans="1:18">
      <c r="A223" t="s">
        <v>279</v>
      </c>
      <c r="B223" t="s">
        <v>323</v>
      </c>
      <c r="H223" t="s">
        <v>346</v>
      </c>
      <c r="I223" s="1" t="s">
        <v>271</v>
      </c>
      <c r="J223" s="1"/>
      <c r="M223" t="s">
        <v>278</v>
      </c>
      <c r="N223" t="s">
        <v>229</v>
      </c>
    </row>
    <row r="224" spans="1:18">
      <c r="A224" t="s">
        <v>280</v>
      </c>
      <c r="B224" t="s">
        <v>324</v>
      </c>
      <c r="H224" t="s">
        <v>346</v>
      </c>
      <c r="I224" s="1" t="s">
        <v>271</v>
      </c>
      <c r="J224" s="1"/>
      <c r="M224" t="s">
        <v>281</v>
      </c>
      <c r="N224" t="s">
        <v>229</v>
      </c>
    </row>
    <row r="225" spans="1:14">
      <c r="A225" t="s">
        <v>282</v>
      </c>
      <c r="B225" t="s">
        <v>325</v>
      </c>
      <c r="C225">
        <v>300</v>
      </c>
      <c r="D225">
        <v>300</v>
      </c>
      <c r="E225">
        <v>2</v>
      </c>
      <c r="H225" t="s">
        <v>347</v>
      </c>
      <c r="I225" s="1" t="s">
        <v>271</v>
      </c>
      <c r="J225" s="1"/>
      <c r="M225" t="s">
        <v>283</v>
      </c>
      <c r="N225" t="s">
        <v>229</v>
      </c>
    </row>
    <row r="226" spans="1:14">
      <c r="A226" t="s">
        <v>284</v>
      </c>
      <c r="B226" t="s">
        <v>326</v>
      </c>
      <c r="H226" t="s">
        <v>344</v>
      </c>
      <c r="I226" s="1" t="s">
        <v>271</v>
      </c>
      <c r="J226" s="1"/>
      <c r="N226" t="s">
        <v>229</v>
      </c>
    </row>
    <row r="227" spans="1:14">
      <c r="A227" t="s">
        <v>286</v>
      </c>
      <c r="B227" t="s">
        <v>327</v>
      </c>
      <c r="H227" t="s">
        <v>348</v>
      </c>
      <c r="I227" s="1" t="s">
        <v>285</v>
      </c>
      <c r="J227" s="1"/>
      <c r="M227" t="s">
        <v>287</v>
      </c>
      <c r="N227" t="s">
        <v>229</v>
      </c>
    </row>
    <row r="228" spans="1:14">
      <c r="A228" t="s">
        <v>289</v>
      </c>
      <c r="B228" t="s">
        <v>328</v>
      </c>
      <c r="I228" s="1" t="s">
        <v>288</v>
      </c>
      <c r="J228" s="1"/>
      <c r="M228" t="s">
        <v>290</v>
      </c>
      <c r="N228" t="s">
        <v>229</v>
      </c>
    </row>
    <row r="229" spans="1:14">
      <c r="A229" t="s">
        <v>291</v>
      </c>
      <c r="B229" t="s">
        <v>329</v>
      </c>
      <c r="I229" s="1" t="s">
        <v>288</v>
      </c>
      <c r="J229" s="1"/>
      <c r="M229" t="s">
        <v>292</v>
      </c>
      <c r="N229" t="s">
        <v>229</v>
      </c>
    </row>
    <row r="230" spans="1:14">
      <c r="A230" t="s">
        <v>293</v>
      </c>
      <c r="B230" t="s">
        <v>330</v>
      </c>
      <c r="I230" s="1" t="s">
        <v>288</v>
      </c>
      <c r="J230" s="1"/>
      <c r="M230" t="s">
        <v>294</v>
      </c>
      <c r="N230" t="s">
        <v>229</v>
      </c>
    </row>
    <row r="231" spans="1:14">
      <c r="A231" t="s">
        <v>296</v>
      </c>
      <c r="B231" t="s">
        <v>331</v>
      </c>
      <c r="I231" s="1" t="s">
        <v>295</v>
      </c>
      <c r="J231" s="1"/>
      <c r="M231" t="s">
        <v>297</v>
      </c>
      <c r="N231" t="s">
        <v>229</v>
      </c>
    </row>
    <row r="232" spans="1:14">
      <c r="A232" t="s">
        <v>298</v>
      </c>
      <c r="B232" t="s">
        <v>332</v>
      </c>
      <c r="I232" s="1" t="s">
        <v>295</v>
      </c>
      <c r="J232" s="1"/>
      <c r="M232" t="s">
        <v>96</v>
      </c>
      <c r="N232" t="s">
        <v>229</v>
      </c>
    </row>
    <row r="233" spans="1:14">
      <c r="A233" t="s">
        <v>299</v>
      </c>
      <c r="B233" t="s">
        <v>333</v>
      </c>
      <c r="I233" s="1" t="s">
        <v>295</v>
      </c>
      <c r="J233" s="1"/>
      <c r="M233" t="s">
        <v>96</v>
      </c>
      <c r="N233" t="s">
        <v>229</v>
      </c>
    </row>
    <row r="234" spans="1:14">
      <c r="A234" t="s">
        <v>300</v>
      </c>
      <c r="B234" t="s">
        <v>334</v>
      </c>
      <c r="I234" s="1" t="s">
        <v>295</v>
      </c>
      <c r="J234" s="1"/>
      <c r="M234" t="s">
        <v>96</v>
      </c>
      <c r="N234" t="s">
        <v>229</v>
      </c>
    </row>
    <row r="235" spans="1:14">
      <c r="A235" t="s">
        <v>301</v>
      </c>
      <c r="B235" t="s">
        <v>335</v>
      </c>
      <c r="I235" s="1" t="s">
        <v>295</v>
      </c>
      <c r="J235" s="1"/>
      <c r="M235" t="s">
        <v>96</v>
      </c>
      <c r="N235" t="s">
        <v>229</v>
      </c>
    </row>
    <row r="236" spans="1:14">
      <c r="A236" t="s">
        <v>302</v>
      </c>
      <c r="B236" t="s">
        <v>336</v>
      </c>
      <c r="I236" s="1" t="s">
        <v>295</v>
      </c>
      <c r="J236" s="1"/>
      <c r="M236" t="s">
        <v>96</v>
      </c>
      <c r="N236" t="s">
        <v>229</v>
      </c>
    </row>
    <row r="237" spans="1:14">
      <c r="A237" t="s">
        <v>303</v>
      </c>
      <c r="B237" t="s">
        <v>337</v>
      </c>
      <c r="I237" s="1" t="s">
        <v>295</v>
      </c>
      <c r="J237" s="1"/>
      <c r="M237" t="s">
        <v>304</v>
      </c>
      <c r="N237" t="s">
        <v>229</v>
      </c>
    </row>
    <row r="238" spans="1:14">
      <c r="A238" t="s">
        <v>305</v>
      </c>
      <c r="B238" t="s">
        <v>338</v>
      </c>
      <c r="I238" s="1" t="s">
        <v>295</v>
      </c>
      <c r="J238" s="1"/>
      <c r="M238" t="s">
        <v>306</v>
      </c>
      <c r="N238" t="s">
        <v>229</v>
      </c>
    </row>
    <row r="239" spans="1:14">
      <c r="A239" t="s">
        <v>307</v>
      </c>
      <c r="B239" t="s">
        <v>339</v>
      </c>
      <c r="I239" s="1" t="s">
        <v>295</v>
      </c>
      <c r="J239" s="1"/>
      <c r="M239" t="s">
        <v>308</v>
      </c>
      <c r="N239" t="s">
        <v>229</v>
      </c>
    </row>
    <row r="240" spans="1:14">
      <c r="A240" t="s">
        <v>310</v>
      </c>
      <c r="B240" t="s">
        <v>340</v>
      </c>
      <c r="I240" s="1" t="s">
        <v>309</v>
      </c>
      <c r="J240" s="1"/>
      <c r="M240" t="s">
        <v>311</v>
      </c>
      <c r="N240" t="s">
        <v>229</v>
      </c>
    </row>
    <row r="241" spans="1:14">
      <c r="A241" t="s">
        <v>313</v>
      </c>
      <c r="B241" t="s">
        <v>341</v>
      </c>
      <c r="I241" s="1" t="s">
        <v>312</v>
      </c>
      <c r="J241" s="1"/>
      <c r="M241" t="s">
        <v>314</v>
      </c>
      <c r="N241" t="s">
        <v>229</v>
      </c>
    </row>
    <row r="242" spans="1:14">
      <c r="A242" t="s">
        <v>316</v>
      </c>
      <c r="B242" t="s">
        <v>342</v>
      </c>
      <c r="I242" s="1" t="s">
        <v>315</v>
      </c>
      <c r="J242" s="1"/>
      <c r="M242" t="s">
        <v>317</v>
      </c>
      <c r="N242" t="s">
        <v>229</v>
      </c>
    </row>
    <row r="247" spans="1:14">
      <c r="A247" s="10" t="s">
        <v>548</v>
      </c>
      <c r="B247" s="10" t="s">
        <v>549</v>
      </c>
    </row>
    <row r="248" spans="1:14">
      <c r="A248" s="10" t="s">
        <v>550</v>
      </c>
      <c r="B248" s="10">
        <v>201</v>
      </c>
    </row>
    <row r="249" spans="1:14">
      <c r="A249" s="10" t="s">
        <v>551</v>
      </c>
      <c r="B249" s="10">
        <v>191</v>
      </c>
    </row>
    <row r="250" spans="1:14">
      <c r="A250" s="10" t="s">
        <v>552</v>
      </c>
      <c r="B250" s="10">
        <v>122</v>
      </c>
    </row>
    <row r="251" spans="1:14">
      <c r="A251" s="10" t="s">
        <v>553</v>
      </c>
      <c r="B251" s="10">
        <v>117</v>
      </c>
    </row>
    <row r="252" spans="1:14">
      <c r="A252" s="10" t="s">
        <v>554</v>
      </c>
      <c r="B252" s="10">
        <v>109</v>
      </c>
    </row>
    <row r="253" spans="1:14">
      <c r="A253" s="10" t="s">
        <v>555</v>
      </c>
      <c r="B253" s="10">
        <v>107</v>
      </c>
    </row>
    <row r="254" spans="1:14">
      <c r="A254" s="10" t="s">
        <v>556</v>
      </c>
      <c r="B254" s="10">
        <v>106</v>
      </c>
    </row>
    <row r="255" spans="1:14">
      <c r="A255" s="10" t="s">
        <v>557</v>
      </c>
      <c r="B255" s="10">
        <v>91</v>
      </c>
    </row>
    <row r="256" spans="1:14">
      <c r="A256" s="10" t="s">
        <v>558</v>
      </c>
      <c r="B256" s="10">
        <v>79</v>
      </c>
    </row>
    <row r="257" spans="1:2">
      <c r="A257" s="10" t="s">
        <v>559</v>
      </c>
      <c r="B257" s="10">
        <v>73</v>
      </c>
    </row>
    <row r="258" spans="1:2">
      <c r="A258" s="10" t="s">
        <v>560</v>
      </c>
      <c r="B258" s="10">
        <v>67</v>
      </c>
    </row>
    <row r="259" spans="1:2">
      <c r="A259" s="10" t="s">
        <v>561</v>
      </c>
      <c r="B259" s="10">
        <v>63</v>
      </c>
    </row>
    <row r="260" spans="1:2">
      <c r="A260" s="10" t="s">
        <v>562</v>
      </c>
      <c r="B260" s="10">
        <v>63</v>
      </c>
    </row>
    <row r="261" spans="1:2">
      <c r="A261" s="10" t="s">
        <v>563</v>
      </c>
      <c r="B261" s="10">
        <v>57</v>
      </c>
    </row>
    <row r="262" spans="1:2">
      <c r="A262" s="10" t="s">
        <v>564</v>
      </c>
      <c r="B262" s="10">
        <v>57</v>
      </c>
    </row>
    <row r="263" spans="1:2">
      <c r="A263" s="10" t="s">
        <v>565</v>
      </c>
      <c r="B263" s="10">
        <v>57</v>
      </c>
    </row>
    <row r="264" spans="1:2">
      <c r="A264" s="10" t="s">
        <v>566</v>
      </c>
      <c r="B264" s="10">
        <v>55</v>
      </c>
    </row>
    <row r="265" spans="1:2">
      <c r="A265" s="10" t="s">
        <v>567</v>
      </c>
      <c r="B265" s="10">
        <v>55</v>
      </c>
    </row>
    <row r="266" spans="1:2">
      <c r="A266" s="10" t="s">
        <v>568</v>
      </c>
      <c r="B266" s="10">
        <v>54</v>
      </c>
    </row>
    <row r="267" spans="1:2">
      <c r="A267" s="10" t="s">
        <v>569</v>
      </c>
      <c r="B267" s="10">
        <v>52</v>
      </c>
    </row>
    <row r="268" spans="1:2">
      <c r="A268" s="10" t="s">
        <v>570</v>
      </c>
      <c r="B268" s="10">
        <v>49</v>
      </c>
    </row>
    <row r="269" spans="1:2">
      <c r="A269" s="10" t="s">
        <v>571</v>
      </c>
      <c r="B269" s="10">
        <v>45</v>
      </c>
    </row>
    <row r="270" spans="1:2">
      <c r="A270" s="10" t="s">
        <v>572</v>
      </c>
      <c r="B270" s="10">
        <v>45</v>
      </c>
    </row>
    <row r="271" spans="1:2">
      <c r="A271" s="10" t="s">
        <v>573</v>
      </c>
      <c r="B271" s="10">
        <v>44</v>
      </c>
    </row>
    <row r="272" spans="1:2">
      <c r="A272" s="10" t="s">
        <v>574</v>
      </c>
      <c r="B272" s="10">
        <v>43</v>
      </c>
    </row>
    <row r="273" spans="1:2">
      <c r="A273" s="10" t="s">
        <v>575</v>
      </c>
      <c r="B273" s="10">
        <v>43</v>
      </c>
    </row>
    <row r="274" spans="1:2">
      <c r="A274" s="10" t="s">
        <v>576</v>
      </c>
      <c r="B274" s="10">
        <v>41</v>
      </c>
    </row>
    <row r="275" spans="1:2">
      <c r="A275" s="10" t="s">
        <v>577</v>
      </c>
      <c r="B275" s="10">
        <v>41</v>
      </c>
    </row>
    <row r="276" spans="1:2">
      <c r="A276" s="10" t="s">
        <v>578</v>
      </c>
      <c r="B276" s="10">
        <v>40</v>
      </c>
    </row>
    <row r="277" spans="1:2">
      <c r="A277" s="10" t="s">
        <v>579</v>
      </c>
      <c r="B277" s="10">
        <v>39</v>
      </c>
    </row>
    <row r="278" spans="1:2">
      <c r="A278" s="10" t="s">
        <v>580</v>
      </c>
      <c r="B278" s="10">
        <v>37</v>
      </c>
    </row>
    <row r="279" spans="1:2">
      <c r="A279" s="10" t="s">
        <v>581</v>
      </c>
      <c r="B279" s="10">
        <v>37</v>
      </c>
    </row>
    <row r="280" spans="1:2">
      <c r="A280" s="10" t="s">
        <v>582</v>
      </c>
      <c r="B280" s="10">
        <v>37</v>
      </c>
    </row>
    <row r="281" spans="1:2">
      <c r="A281" s="10" t="s">
        <v>583</v>
      </c>
      <c r="B281" s="10">
        <v>37</v>
      </c>
    </row>
    <row r="282" spans="1:2">
      <c r="A282" s="10" t="s">
        <v>584</v>
      </c>
      <c r="B282" s="10">
        <v>36</v>
      </c>
    </row>
    <row r="283" spans="1:2">
      <c r="A283" s="10" t="s">
        <v>585</v>
      </c>
      <c r="B283" s="10">
        <v>36</v>
      </c>
    </row>
    <row r="284" spans="1:2">
      <c r="A284" s="10" t="s">
        <v>586</v>
      </c>
      <c r="B284" s="10">
        <v>34</v>
      </c>
    </row>
    <row r="285" spans="1:2">
      <c r="A285" s="10" t="s">
        <v>587</v>
      </c>
      <c r="B285" s="10">
        <v>31</v>
      </c>
    </row>
    <row r="286" spans="1:2">
      <c r="A286" s="10" t="s">
        <v>588</v>
      </c>
      <c r="B286" s="10">
        <v>31</v>
      </c>
    </row>
    <row r="287" spans="1:2">
      <c r="A287" s="10" t="s">
        <v>589</v>
      </c>
      <c r="B287" s="10">
        <v>30</v>
      </c>
    </row>
    <row r="288" spans="1:2">
      <c r="A288" s="10" t="s">
        <v>590</v>
      </c>
      <c r="B288" s="10">
        <v>29</v>
      </c>
    </row>
    <row r="289" spans="1:2">
      <c r="A289" s="10" t="s">
        <v>591</v>
      </c>
      <c r="B289" s="10">
        <v>28</v>
      </c>
    </row>
    <row r="290" spans="1:2">
      <c r="A290" s="10" t="s">
        <v>592</v>
      </c>
      <c r="B290" s="10">
        <v>28</v>
      </c>
    </row>
    <row r="291" spans="1:2">
      <c r="A291" s="10" t="s">
        <v>593</v>
      </c>
      <c r="B291" s="10">
        <v>28</v>
      </c>
    </row>
    <row r="292" spans="1:2">
      <c r="A292" s="10" t="s">
        <v>594</v>
      </c>
      <c r="B292" s="10">
        <v>27</v>
      </c>
    </row>
    <row r="293" spans="1:2">
      <c r="A293" s="10" t="s">
        <v>595</v>
      </c>
      <c r="B293" s="10">
        <v>26</v>
      </c>
    </row>
    <row r="294" spans="1:2">
      <c r="A294" s="10" t="s">
        <v>596</v>
      </c>
      <c r="B294" s="10">
        <v>26</v>
      </c>
    </row>
    <row r="295" spans="1:2">
      <c r="A295" s="10" t="s">
        <v>597</v>
      </c>
      <c r="B295" s="10">
        <v>26</v>
      </c>
    </row>
    <row r="296" spans="1:2">
      <c r="A296" s="10" t="s">
        <v>598</v>
      </c>
      <c r="B296" s="10">
        <v>26</v>
      </c>
    </row>
    <row r="297" spans="1:2">
      <c r="A297" s="10" t="s">
        <v>599</v>
      </c>
      <c r="B297" s="10">
        <v>25</v>
      </c>
    </row>
    <row r="298" spans="1:2">
      <c r="A298" s="10" t="s">
        <v>600</v>
      </c>
      <c r="B298" s="10">
        <v>25</v>
      </c>
    </row>
    <row r="299" spans="1:2">
      <c r="A299" s="10" t="s">
        <v>601</v>
      </c>
      <c r="B299" s="10">
        <v>25</v>
      </c>
    </row>
    <row r="300" spans="1:2">
      <c r="A300" s="10" t="s">
        <v>602</v>
      </c>
      <c r="B300" s="10">
        <v>25</v>
      </c>
    </row>
    <row r="301" spans="1:2">
      <c r="A301" s="10" t="s">
        <v>603</v>
      </c>
      <c r="B301" s="10">
        <v>24</v>
      </c>
    </row>
    <row r="302" spans="1:2">
      <c r="A302" s="10" t="s">
        <v>604</v>
      </c>
      <c r="B302" s="10">
        <v>22</v>
      </c>
    </row>
    <row r="303" spans="1:2">
      <c r="A303" s="10" t="s">
        <v>605</v>
      </c>
      <c r="B303" s="10">
        <v>22</v>
      </c>
    </row>
    <row r="304" spans="1:2">
      <c r="A304" s="10" t="s">
        <v>606</v>
      </c>
      <c r="B304" s="10">
        <v>22</v>
      </c>
    </row>
    <row r="305" spans="1:2">
      <c r="A305" s="10" t="s">
        <v>607</v>
      </c>
      <c r="B305" s="10">
        <v>22</v>
      </c>
    </row>
    <row r="306" spans="1:2">
      <c r="A306" s="10" t="s">
        <v>608</v>
      </c>
      <c r="B306" s="10">
        <v>22</v>
      </c>
    </row>
    <row r="307" spans="1:2">
      <c r="A307" s="10" t="s">
        <v>609</v>
      </c>
      <c r="B307" s="10">
        <v>21</v>
      </c>
    </row>
    <row r="308" spans="1:2">
      <c r="A308" s="10" t="s">
        <v>610</v>
      </c>
      <c r="B308" s="10">
        <v>21</v>
      </c>
    </row>
    <row r="309" spans="1:2">
      <c r="A309" s="10" t="s">
        <v>611</v>
      </c>
      <c r="B309" s="10">
        <v>21</v>
      </c>
    </row>
    <row r="310" spans="1:2">
      <c r="A310" s="10" t="s">
        <v>612</v>
      </c>
      <c r="B310" s="10">
        <v>20</v>
      </c>
    </row>
    <row r="311" spans="1:2">
      <c r="A311" s="10" t="s">
        <v>613</v>
      </c>
      <c r="B311" s="10">
        <v>20</v>
      </c>
    </row>
    <row r="312" spans="1:2">
      <c r="A312" s="10" t="s">
        <v>614</v>
      </c>
      <c r="B312" s="10">
        <v>20</v>
      </c>
    </row>
    <row r="313" spans="1:2">
      <c r="A313" s="10" t="s">
        <v>615</v>
      </c>
      <c r="B313" s="10">
        <v>20</v>
      </c>
    </row>
    <row r="314" spans="1:2">
      <c r="A314" s="10" t="s">
        <v>616</v>
      </c>
      <c r="B314" s="10">
        <v>20</v>
      </c>
    </row>
    <row r="315" spans="1:2">
      <c r="A315" s="10" t="s">
        <v>617</v>
      </c>
      <c r="B315" s="10">
        <v>20</v>
      </c>
    </row>
    <row r="316" spans="1:2">
      <c r="A316" s="10" t="s">
        <v>618</v>
      </c>
      <c r="B316" s="10">
        <v>19</v>
      </c>
    </row>
    <row r="317" spans="1:2">
      <c r="A317" s="10" t="s">
        <v>619</v>
      </c>
      <c r="B317" s="10">
        <v>19</v>
      </c>
    </row>
    <row r="318" spans="1:2">
      <c r="A318" s="10" t="s">
        <v>620</v>
      </c>
      <c r="B318" s="10">
        <v>19</v>
      </c>
    </row>
    <row r="319" spans="1:2">
      <c r="A319" s="10" t="s">
        <v>621</v>
      </c>
      <c r="B319" s="10">
        <v>19</v>
      </c>
    </row>
    <row r="320" spans="1:2">
      <c r="A320" s="10" t="s">
        <v>622</v>
      </c>
      <c r="B320" s="10">
        <v>19</v>
      </c>
    </row>
    <row r="321" spans="1:2">
      <c r="A321" s="10" t="s">
        <v>623</v>
      </c>
      <c r="B321" s="10">
        <v>18</v>
      </c>
    </row>
    <row r="322" spans="1:2">
      <c r="A322" s="10" t="s">
        <v>624</v>
      </c>
      <c r="B322" s="10">
        <v>18</v>
      </c>
    </row>
    <row r="323" spans="1:2">
      <c r="A323" s="10" t="s">
        <v>625</v>
      </c>
      <c r="B323" s="10">
        <v>18</v>
      </c>
    </row>
    <row r="324" spans="1:2">
      <c r="A324" s="10" t="s">
        <v>626</v>
      </c>
      <c r="B324" s="10">
        <v>18</v>
      </c>
    </row>
    <row r="325" spans="1:2">
      <c r="A325" s="10" t="s">
        <v>627</v>
      </c>
      <c r="B325" s="10">
        <v>17</v>
      </c>
    </row>
    <row r="326" spans="1:2">
      <c r="A326" s="10" t="s">
        <v>628</v>
      </c>
      <c r="B326" s="10">
        <v>17</v>
      </c>
    </row>
    <row r="327" spans="1:2">
      <c r="A327" s="10" t="s">
        <v>629</v>
      </c>
      <c r="B327" s="10">
        <v>17</v>
      </c>
    </row>
    <row r="328" spans="1:2">
      <c r="A328" s="10" t="s">
        <v>630</v>
      </c>
      <c r="B328" s="10">
        <v>17</v>
      </c>
    </row>
    <row r="329" spans="1:2">
      <c r="A329" s="10" t="s">
        <v>631</v>
      </c>
      <c r="B329" s="10">
        <v>17</v>
      </c>
    </row>
    <row r="330" spans="1:2">
      <c r="A330" s="10" t="s">
        <v>632</v>
      </c>
      <c r="B330" s="10">
        <v>16</v>
      </c>
    </row>
    <row r="331" spans="1:2">
      <c r="A331" s="10" t="s">
        <v>633</v>
      </c>
      <c r="B331" s="10">
        <v>16</v>
      </c>
    </row>
    <row r="332" spans="1:2">
      <c r="A332" s="10" t="s">
        <v>634</v>
      </c>
      <c r="B332" s="10">
        <v>16</v>
      </c>
    </row>
    <row r="333" spans="1:2">
      <c r="A333" s="10" t="s">
        <v>635</v>
      </c>
      <c r="B333" s="10">
        <v>16</v>
      </c>
    </row>
    <row r="334" spans="1:2">
      <c r="A334" s="10" t="s">
        <v>636</v>
      </c>
      <c r="B334" s="10">
        <v>16</v>
      </c>
    </row>
    <row r="335" spans="1:2">
      <c r="A335" s="10" t="s">
        <v>637</v>
      </c>
      <c r="B335" s="10">
        <v>16</v>
      </c>
    </row>
    <row r="336" spans="1:2">
      <c r="A336" s="10" t="s">
        <v>638</v>
      </c>
      <c r="B336" s="10">
        <v>16</v>
      </c>
    </row>
    <row r="337" spans="1:2">
      <c r="A337" s="10" t="s">
        <v>639</v>
      </c>
      <c r="B337" s="10">
        <v>16</v>
      </c>
    </row>
    <row r="338" spans="1:2">
      <c r="A338" s="10" t="s">
        <v>640</v>
      </c>
      <c r="B338" s="10">
        <v>16</v>
      </c>
    </row>
    <row r="339" spans="1:2">
      <c r="A339" s="10" t="s">
        <v>641</v>
      </c>
      <c r="B339" s="10">
        <v>16</v>
      </c>
    </row>
    <row r="340" spans="1:2">
      <c r="A340" s="10" t="s">
        <v>642</v>
      </c>
      <c r="B340" s="10">
        <v>16</v>
      </c>
    </row>
    <row r="341" spans="1:2">
      <c r="A341" s="10" t="s">
        <v>643</v>
      </c>
      <c r="B341" s="10">
        <v>16</v>
      </c>
    </row>
    <row r="342" spans="1:2">
      <c r="A342" s="10" t="s">
        <v>644</v>
      </c>
      <c r="B342" s="10">
        <v>15</v>
      </c>
    </row>
    <row r="343" spans="1:2">
      <c r="A343" s="10" t="s">
        <v>645</v>
      </c>
      <c r="B343" s="10">
        <v>14</v>
      </c>
    </row>
    <row r="344" spans="1:2">
      <c r="A344" s="10" t="s">
        <v>646</v>
      </c>
      <c r="B344" s="10">
        <v>14</v>
      </c>
    </row>
    <row r="345" spans="1:2">
      <c r="A345" s="10" t="s">
        <v>647</v>
      </c>
      <c r="B345" s="10">
        <v>14</v>
      </c>
    </row>
    <row r="346" spans="1:2">
      <c r="A346" s="10" t="s">
        <v>648</v>
      </c>
      <c r="B346" s="10">
        <v>14</v>
      </c>
    </row>
    <row r="347" spans="1:2">
      <c r="A347" s="10" t="s">
        <v>649</v>
      </c>
      <c r="B347" s="10">
        <v>14</v>
      </c>
    </row>
    <row r="348" spans="1:2">
      <c r="A348" s="10" t="s">
        <v>650</v>
      </c>
      <c r="B348" s="10">
        <v>14</v>
      </c>
    </row>
    <row r="349" spans="1:2">
      <c r="A349" s="10" t="s">
        <v>651</v>
      </c>
      <c r="B349" s="10">
        <v>14</v>
      </c>
    </row>
    <row r="350" spans="1:2">
      <c r="A350" s="10" t="s">
        <v>652</v>
      </c>
      <c r="B350" s="10">
        <v>14</v>
      </c>
    </row>
    <row r="351" spans="1:2">
      <c r="A351" s="10" t="s">
        <v>653</v>
      </c>
      <c r="B351" s="10">
        <v>14</v>
      </c>
    </row>
    <row r="352" spans="1:2">
      <c r="A352" s="10" t="s">
        <v>654</v>
      </c>
      <c r="B352" s="10">
        <v>13</v>
      </c>
    </row>
    <row r="353" spans="1:2">
      <c r="A353" s="10" t="s">
        <v>655</v>
      </c>
      <c r="B353" s="10">
        <v>13</v>
      </c>
    </row>
    <row r="354" spans="1:2">
      <c r="A354" s="10" t="s">
        <v>656</v>
      </c>
      <c r="B354" s="10">
        <v>13</v>
      </c>
    </row>
    <row r="355" spans="1:2">
      <c r="A355" s="10" t="s">
        <v>657</v>
      </c>
      <c r="B355" s="10">
        <v>13</v>
      </c>
    </row>
    <row r="356" spans="1:2">
      <c r="A356" s="10" t="s">
        <v>658</v>
      </c>
      <c r="B356" s="10">
        <v>13</v>
      </c>
    </row>
    <row r="357" spans="1:2">
      <c r="A357" s="10" t="s">
        <v>659</v>
      </c>
      <c r="B357" s="10">
        <v>13</v>
      </c>
    </row>
    <row r="358" spans="1:2">
      <c r="A358" s="10" t="s">
        <v>660</v>
      </c>
      <c r="B358" s="10">
        <v>13</v>
      </c>
    </row>
    <row r="359" spans="1:2">
      <c r="A359" s="10" t="s">
        <v>661</v>
      </c>
      <c r="B359" s="10">
        <v>13</v>
      </c>
    </row>
    <row r="360" spans="1:2">
      <c r="A360" s="10" t="s">
        <v>662</v>
      </c>
      <c r="B360" s="10">
        <v>13</v>
      </c>
    </row>
    <row r="361" spans="1:2">
      <c r="A361" s="10" t="s">
        <v>663</v>
      </c>
      <c r="B361" s="10">
        <v>12</v>
      </c>
    </row>
    <row r="362" spans="1:2">
      <c r="A362" s="10" t="s">
        <v>664</v>
      </c>
      <c r="B362" s="10">
        <v>12</v>
      </c>
    </row>
    <row r="363" spans="1:2">
      <c r="A363" s="10" t="s">
        <v>665</v>
      </c>
      <c r="B363" s="10">
        <v>12</v>
      </c>
    </row>
    <row r="364" spans="1:2">
      <c r="A364" s="10" t="s">
        <v>666</v>
      </c>
      <c r="B364" s="10">
        <v>12</v>
      </c>
    </row>
    <row r="365" spans="1:2">
      <c r="A365" s="10" t="s">
        <v>667</v>
      </c>
      <c r="B365" s="10">
        <v>12</v>
      </c>
    </row>
    <row r="366" spans="1:2">
      <c r="A366" s="10" t="s">
        <v>668</v>
      </c>
      <c r="B366" s="10">
        <v>12</v>
      </c>
    </row>
    <row r="367" spans="1:2">
      <c r="A367" s="10" t="s">
        <v>669</v>
      </c>
      <c r="B367" s="10">
        <v>12</v>
      </c>
    </row>
    <row r="368" spans="1:2">
      <c r="A368" s="10" t="s">
        <v>670</v>
      </c>
      <c r="B368" s="10">
        <v>12</v>
      </c>
    </row>
    <row r="369" spans="1:2">
      <c r="A369" s="10" t="s">
        <v>671</v>
      </c>
      <c r="B369" s="10">
        <v>12</v>
      </c>
    </row>
    <row r="370" spans="1:2">
      <c r="A370" s="10" t="s">
        <v>672</v>
      </c>
      <c r="B370" s="10">
        <v>12</v>
      </c>
    </row>
    <row r="371" spans="1:2">
      <c r="A371" s="10" t="s">
        <v>673</v>
      </c>
      <c r="B371" s="10">
        <v>11</v>
      </c>
    </row>
    <row r="372" spans="1:2">
      <c r="A372" s="10" t="s">
        <v>674</v>
      </c>
      <c r="B372" s="10">
        <v>11</v>
      </c>
    </row>
    <row r="373" spans="1:2">
      <c r="A373" s="10" t="s">
        <v>675</v>
      </c>
      <c r="B373" s="10">
        <v>11</v>
      </c>
    </row>
    <row r="374" spans="1:2">
      <c r="A374" s="10" t="s">
        <v>676</v>
      </c>
      <c r="B374" s="10">
        <v>11</v>
      </c>
    </row>
    <row r="375" spans="1:2">
      <c r="A375" s="10" t="s">
        <v>677</v>
      </c>
      <c r="B375" s="10">
        <v>11</v>
      </c>
    </row>
    <row r="376" spans="1:2">
      <c r="A376" s="10" t="s">
        <v>678</v>
      </c>
      <c r="B376" s="10">
        <v>11</v>
      </c>
    </row>
    <row r="377" spans="1:2">
      <c r="A377" s="10" t="s">
        <v>679</v>
      </c>
      <c r="B377" s="10">
        <v>11</v>
      </c>
    </row>
    <row r="378" spans="1:2">
      <c r="A378" s="10" t="s">
        <v>680</v>
      </c>
      <c r="B378" s="10">
        <v>11</v>
      </c>
    </row>
    <row r="379" spans="1:2">
      <c r="A379" s="10" t="s">
        <v>681</v>
      </c>
      <c r="B379" s="10">
        <v>11</v>
      </c>
    </row>
    <row r="380" spans="1:2">
      <c r="A380" s="10" t="s">
        <v>682</v>
      </c>
      <c r="B380" s="10">
        <v>11</v>
      </c>
    </row>
    <row r="381" spans="1:2">
      <c r="A381" s="10" t="s">
        <v>683</v>
      </c>
      <c r="B381" s="10">
        <v>11</v>
      </c>
    </row>
    <row r="382" spans="1:2">
      <c r="A382" s="10" t="s">
        <v>684</v>
      </c>
      <c r="B382" s="10">
        <v>11</v>
      </c>
    </row>
    <row r="383" spans="1:2">
      <c r="A383" s="10" t="s">
        <v>685</v>
      </c>
      <c r="B383" s="10">
        <v>11</v>
      </c>
    </row>
    <row r="384" spans="1:2">
      <c r="A384" s="10" t="s">
        <v>686</v>
      </c>
      <c r="B384" s="10">
        <v>11</v>
      </c>
    </row>
    <row r="385" spans="1:2">
      <c r="A385" s="10" t="s">
        <v>687</v>
      </c>
      <c r="B385" s="10">
        <v>10</v>
      </c>
    </row>
    <row r="386" spans="1:2">
      <c r="A386" s="10" t="s">
        <v>688</v>
      </c>
      <c r="B386" s="10">
        <v>10</v>
      </c>
    </row>
    <row r="387" spans="1:2">
      <c r="A387" s="10" t="s">
        <v>689</v>
      </c>
      <c r="B387" s="10">
        <v>10</v>
      </c>
    </row>
    <row r="388" spans="1:2">
      <c r="A388" s="10" t="s">
        <v>690</v>
      </c>
      <c r="B388" s="10">
        <v>10</v>
      </c>
    </row>
    <row r="389" spans="1:2">
      <c r="A389" s="10" t="s">
        <v>691</v>
      </c>
      <c r="B389" s="10">
        <v>10</v>
      </c>
    </row>
    <row r="390" spans="1:2">
      <c r="A390" s="10" t="s">
        <v>692</v>
      </c>
      <c r="B390" s="10">
        <v>10</v>
      </c>
    </row>
    <row r="391" spans="1:2">
      <c r="A391" s="10" t="s">
        <v>693</v>
      </c>
      <c r="B391" s="10">
        <v>10</v>
      </c>
    </row>
    <row r="392" spans="1:2">
      <c r="A392" s="10" t="s">
        <v>694</v>
      </c>
      <c r="B392" s="10">
        <v>10</v>
      </c>
    </row>
    <row r="393" spans="1:2">
      <c r="A393" s="10" t="s">
        <v>695</v>
      </c>
      <c r="B393" s="10">
        <v>10</v>
      </c>
    </row>
    <row r="394" spans="1:2">
      <c r="A394" s="10" t="s">
        <v>696</v>
      </c>
      <c r="B394" s="10">
        <v>10</v>
      </c>
    </row>
    <row r="395" spans="1:2">
      <c r="A395" s="10" t="s">
        <v>697</v>
      </c>
      <c r="B395" s="10">
        <v>10</v>
      </c>
    </row>
    <row r="396" spans="1:2">
      <c r="A396" s="10" t="s">
        <v>698</v>
      </c>
      <c r="B396" s="10">
        <v>10</v>
      </c>
    </row>
    <row r="397" spans="1:2">
      <c r="A397" s="10" t="s">
        <v>699</v>
      </c>
      <c r="B397" s="10">
        <v>10</v>
      </c>
    </row>
    <row r="398" spans="1:2">
      <c r="A398" s="10" t="s">
        <v>700</v>
      </c>
      <c r="B398" s="10">
        <v>10</v>
      </c>
    </row>
    <row r="399" spans="1:2">
      <c r="A399" s="10" t="s">
        <v>701</v>
      </c>
      <c r="B399" s="10">
        <v>10</v>
      </c>
    </row>
    <row r="400" spans="1:2">
      <c r="A400" s="10" t="s">
        <v>702</v>
      </c>
      <c r="B400" s="10">
        <v>9</v>
      </c>
    </row>
    <row r="401" spans="1:2">
      <c r="A401" s="10" t="s">
        <v>703</v>
      </c>
      <c r="B401" s="10">
        <v>9</v>
      </c>
    </row>
    <row r="402" spans="1:2">
      <c r="A402" s="10" t="s">
        <v>704</v>
      </c>
      <c r="B402" s="10">
        <v>9</v>
      </c>
    </row>
    <row r="403" spans="1:2">
      <c r="A403" s="10" t="s">
        <v>705</v>
      </c>
      <c r="B403" s="10">
        <v>9</v>
      </c>
    </row>
    <row r="404" spans="1:2">
      <c r="A404" s="10" t="s">
        <v>706</v>
      </c>
      <c r="B404" s="10">
        <v>9</v>
      </c>
    </row>
    <row r="405" spans="1:2">
      <c r="A405" s="10" t="s">
        <v>707</v>
      </c>
      <c r="B405" s="10">
        <v>9</v>
      </c>
    </row>
    <row r="406" spans="1:2">
      <c r="A406" s="10" t="s">
        <v>708</v>
      </c>
      <c r="B406" s="10">
        <v>9</v>
      </c>
    </row>
    <row r="407" spans="1:2">
      <c r="A407" s="10" t="s">
        <v>709</v>
      </c>
      <c r="B407" s="10">
        <v>9</v>
      </c>
    </row>
    <row r="408" spans="1:2">
      <c r="A408" s="10" t="s">
        <v>710</v>
      </c>
      <c r="B408" s="10">
        <v>9</v>
      </c>
    </row>
    <row r="409" spans="1:2">
      <c r="A409" s="10" t="s">
        <v>711</v>
      </c>
      <c r="B409" s="10">
        <v>9</v>
      </c>
    </row>
    <row r="410" spans="1:2">
      <c r="A410" s="10" t="s">
        <v>712</v>
      </c>
      <c r="B410" s="10">
        <v>9</v>
      </c>
    </row>
    <row r="411" spans="1:2">
      <c r="A411" s="10" t="s">
        <v>713</v>
      </c>
      <c r="B411" s="10">
        <v>9</v>
      </c>
    </row>
    <row r="412" spans="1:2">
      <c r="A412" s="10" t="s">
        <v>714</v>
      </c>
      <c r="B412" s="10">
        <v>9</v>
      </c>
    </row>
    <row r="413" spans="1:2">
      <c r="A413" s="10" t="s">
        <v>715</v>
      </c>
      <c r="B413" s="10">
        <v>9</v>
      </c>
    </row>
    <row r="414" spans="1:2">
      <c r="A414" s="10" t="s">
        <v>716</v>
      </c>
      <c r="B414" s="10">
        <v>9</v>
      </c>
    </row>
    <row r="415" spans="1:2">
      <c r="A415" s="10" t="s">
        <v>717</v>
      </c>
      <c r="B415" s="10">
        <v>9</v>
      </c>
    </row>
    <row r="416" spans="1:2">
      <c r="A416" s="10" t="s">
        <v>718</v>
      </c>
      <c r="B416" s="10">
        <v>9</v>
      </c>
    </row>
    <row r="417" spans="1:2">
      <c r="A417" s="10" t="s">
        <v>719</v>
      </c>
      <c r="B417" s="10">
        <v>9</v>
      </c>
    </row>
    <row r="418" spans="1:2">
      <c r="A418" s="10" t="s">
        <v>720</v>
      </c>
      <c r="B418" s="10">
        <v>9</v>
      </c>
    </row>
    <row r="419" spans="1:2">
      <c r="A419" s="10" t="s">
        <v>721</v>
      </c>
      <c r="B419" s="10">
        <v>9</v>
      </c>
    </row>
    <row r="420" spans="1:2">
      <c r="A420" s="10" t="s">
        <v>722</v>
      </c>
      <c r="B420" s="10">
        <v>9</v>
      </c>
    </row>
    <row r="421" spans="1:2">
      <c r="A421" s="10" t="s">
        <v>723</v>
      </c>
      <c r="B421" s="10">
        <v>8</v>
      </c>
    </row>
    <row r="422" spans="1:2">
      <c r="A422" s="10" t="s">
        <v>724</v>
      </c>
      <c r="B422" s="10">
        <v>8</v>
      </c>
    </row>
    <row r="423" spans="1:2">
      <c r="A423" s="10" t="s">
        <v>725</v>
      </c>
      <c r="B423" s="10">
        <v>8</v>
      </c>
    </row>
    <row r="424" spans="1:2">
      <c r="A424" s="10" t="s">
        <v>726</v>
      </c>
      <c r="B424" s="10">
        <v>8</v>
      </c>
    </row>
    <row r="425" spans="1:2">
      <c r="A425" s="10" t="s">
        <v>727</v>
      </c>
      <c r="B425" s="10">
        <v>8</v>
      </c>
    </row>
    <row r="426" spans="1:2">
      <c r="A426" s="10" t="s">
        <v>728</v>
      </c>
      <c r="B426" s="10">
        <v>8</v>
      </c>
    </row>
    <row r="427" spans="1:2">
      <c r="A427" s="10" t="s">
        <v>729</v>
      </c>
      <c r="B427" s="10">
        <v>8</v>
      </c>
    </row>
    <row r="428" spans="1:2">
      <c r="A428" s="10" t="s">
        <v>730</v>
      </c>
      <c r="B428" s="10">
        <v>8</v>
      </c>
    </row>
    <row r="429" spans="1:2">
      <c r="A429" s="10" t="s">
        <v>731</v>
      </c>
      <c r="B429" s="10">
        <v>8</v>
      </c>
    </row>
    <row r="430" spans="1:2">
      <c r="A430" s="10" t="s">
        <v>732</v>
      </c>
      <c r="B430" s="10">
        <v>8</v>
      </c>
    </row>
    <row r="431" spans="1:2">
      <c r="A431" s="10" t="s">
        <v>733</v>
      </c>
      <c r="B431" s="10">
        <v>8</v>
      </c>
    </row>
    <row r="432" spans="1:2">
      <c r="A432" s="10" t="s">
        <v>734</v>
      </c>
      <c r="B432" s="10">
        <v>8</v>
      </c>
    </row>
    <row r="433" spans="1:2">
      <c r="A433" s="10" t="s">
        <v>735</v>
      </c>
      <c r="B433" s="10">
        <v>8</v>
      </c>
    </row>
    <row r="434" spans="1:2">
      <c r="A434" s="10" t="s">
        <v>736</v>
      </c>
      <c r="B434" s="10">
        <v>8</v>
      </c>
    </row>
    <row r="435" spans="1:2">
      <c r="A435" s="10" t="s">
        <v>737</v>
      </c>
      <c r="B435" s="10">
        <v>8</v>
      </c>
    </row>
    <row r="436" spans="1:2">
      <c r="A436" s="10" t="s">
        <v>738</v>
      </c>
      <c r="B436" s="10">
        <v>8</v>
      </c>
    </row>
    <row r="437" spans="1:2">
      <c r="A437" s="10" t="s">
        <v>739</v>
      </c>
      <c r="B437" s="10">
        <v>8</v>
      </c>
    </row>
    <row r="438" spans="1:2">
      <c r="A438" s="10" t="s">
        <v>740</v>
      </c>
      <c r="B438" s="10">
        <v>8</v>
      </c>
    </row>
    <row r="439" spans="1:2">
      <c r="A439" s="10" t="s">
        <v>741</v>
      </c>
      <c r="B439" s="10">
        <v>8</v>
      </c>
    </row>
    <row r="440" spans="1:2">
      <c r="A440" s="10" t="s">
        <v>742</v>
      </c>
      <c r="B440" s="10">
        <v>8</v>
      </c>
    </row>
    <row r="441" spans="1:2">
      <c r="A441" s="10" t="s">
        <v>743</v>
      </c>
      <c r="B441" s="10">
        <v>8</v>
      </c>
    </row>
    <row r="442" spans="1:2">
      <c r="A442" s="10" t="s">
        <v>744</v>
      </c>
      <c r="B442" s="10">
        <v>8</v>
      </c>
    </row>
    <row r="443" spans="1:2">
      <c r="A443" s="10" t="s">
        <v>745</v>
      </c>
      <c r="B443" s="10">
        <v>8</v>
      </c>
    </row>
    <row r="444" spans="1:2">
      <c r="A444" s="10" t="s">
        <v>746</v>
      </c>
      <c r="B444" s="10">
        <v>8</v>
      </c>
    </row>
    <row r="445" spans="1:2">
      <c r="A445" s="10" t="s">
        <v>747</v>
      </c>
      <c r="B445" s="10">
        <v>7</v>
      </c>
    </row>
    <row r="446" spans="1:2">
      <c r="A446" s="10" t="s">
        <v>748</v>
      </c>
      <c r="B446" s="10">
        <v>7</v>
      </c>
    </row>
    <row r="447" spans="1:2">
      <c r="A447" s="10" t="s">
        <v>749</v>
      </c>
      <c r="B447" s="10">
        <v>7</v>
      </c>
    </row>
    <row r="448" spans="1:2">
      <c r="A448" s="10" t="s">
        <v>750</v>
      </c>
      <c r="B448" s="10">
        <v>7</v>
      </c>
    </row>
    <row r="449" spans="1:2">
      <c r="A449" s="10" t="s">
        <v>751</v>
      </c>
      <c r="B449" s="10">
        <v>7</v>
      </c>
    </row>
    <row r="450" spans="1:2">
      <c r="A450" s="10" t="s">
        <v>752</v>
      </c>
      <c r="B450" s="10">
        <v>7</v>
      </c>
    </row>
    <row r="451" spans="1:2">
      <c r="A451" s="10" t="s">
        <v>753</v>
      </c>
      <c r="B451" s="10">
        <v>7</v>
      </c>
    </row>
    <row r="452" spans="1:2">
      <c r="A452" s="10" t="s">
        <v>754</v>
      </c>
      <c r="B452" s="10">
        <v>7</v>
      </c>
    </row>
    <row r="453" spans="1:2">
      <c r="A453" s="10" t="s">
        <v>755</v>
      </c>
      <c r="B453" s="10">
        <v>7</v>
      </c>
    </row>
    <row r="454" spans="1:2">
      <c r="A454" s="10" t="s">
        <v>756</v>
      </c>
      <c r="B454" s="10">
        <v>7</v>
      </c>
    </row>
    <row r="455" spans="1:2">
      <c r="A455" s="10" t="s">
        <v>757</v>
      </c>
      <c r="B455" s="10">
        <v>7</v>
      </c>
    </row>
    <row r="456" spans="1:2">
      <c r="A456" s="10" t="s">
        <v>758</v>
      </c>
      <c r="B456" s="10">
        <v>7</v>
      </c>
    </row>
    <row r="457" spans="1:2">
      <c r="A457" s="10" t="s">
        <v>759</v>
      </c>
      <c r="B457" s="10">
        <v>7</v>
      </c>
    </row>
    <row r="458" spans="1:2">
      <c r="A458" s="10" t="s">
        <v>760</v>
      </c>
      <c r="B458" s="10">
        <v>7</v>
      </c>
    </row>
    <row r="459" spans="1:2">
      <c r="A459" s="10" t="s">
        <v>761</v>
      </c>
      <c r="B459" s="10">
        <v>7</v>
      </c>
    </row>
    <row r="460" spans="1:2">
      <c r="A460" s="10" t="s">
        <v>762</v>
      </c>
      <c r="B460" s="10">
        <v>7</v>
      </c>
    </row>
    <row r="461" spans="1:2">
      <c r="A461" s="10" t="s">
        <v>763</v>
      </c>
      <c r="B461" s="10">
        <v>7</v>
      </c>
    </row>
    <row r="462" spans="1:2">
      <c r="A462" s="10" t="s">
        <v>764</v>
      </c>
      <c r="B462" s="10">
        <v>7</v>
      </c>
    </row>
    <row r="463" spans="1:2">
      <c r="A463" s="10" t="s">
        <v>765</v>
      </c>
      <c r="B463" s="10">
        <v>7</v>
      </c>
    </row>
    <row r="464" spans="1:2">
      <c r="A464" s="10" t="s">
        <v>766</v>
      </c>
      <c r="B464" s="10">
        <v>7</v>
      </c>
    </row>
    <row r="465" spans="1:2">
      <c r="A465" s="10" t="s">
        <v>767</v>
      </c>
      <c r="B465" s="10">
        <v>7</v>
      </c>
    </row>
    <row r="466" spans="1:2">
      <c r="A466" s="10" t="s">
        <v>768</v>
      </c>
      <c r="B466" s="10">
        <v>7</v>
      </c>
    </row>
    <row r="467" spans="1:2">
      <c r="A467" s="10" t="s">
        <v>769</v>
      </c>
      <c r="B467" s="10">
        <v>7</v>
      </c>
    </row>
    <row r="468" spans="1:2">
      <c r="A468" s="10" t="s">
        <v>770</v>
      </c>
      <c r="B468" s="10">
        <v>7</v>
      </c>
    </row>
    <row r="469" spans="1:2">
      <c r="A469" s="10" t="s">
        <v>771</v>
      </c>
      <c r="B469" s="10">
        <v>7</v>
      </c>
    </row>
    <row r="470" spans="1:2">
      <c r="A470" s="10" t="s">
        <v>772</v>
      </c>
      <c r="B470" s="10">
        <v>7</v>
      </c>
    </row>
    <row r="471" spans="1:2">
      <c r="A471" s="10" t="s">
        <v>773</v>
      </c>
      <c r="B471" s="10">
        <v>7</v>
      </c>
    </row>
    <row r="472" spans="1:2">
      <c r="A472" s="10" t="s">
        <v>774</v>
      </c>
      <c r="B472" s="10">
        <v>6</v>
      </c>
    </row>
    <row r="473" spans="1:2">
      <c r="A473" s="10" t="s">
        <v>775</v>
      </c>
      <c r="B473" s="10">
        <v>6</v>
      </c>
    </row>
    <row r="474" spans="1:2">
      <c r="A474" s="10" t="s">
        <v>776</v>
      </c>
      <c r="B474" s="10">
        <v>6</v>
      </c>
    </row>
    <row r="475" spans="1:2">
      <c r="A475" s="10" t="s">
        <v>777</v>
      </c>
      <c r="B475" s="10">
        <v>6</v>
      </c>
    </row>
    <row r="476" spans="1:2">
      <c r="A476" s="10" t="s">
        <v>778</v>
      </c>
      <c r="B476" s="10">
        <v>6</v>
      </c>
    </row>
    <row r="477" spans="1:2">
      <c r="A477" s="10" t="s">
        <v>779</v>
      </c>
      <c r="B477" s="10">
        <v>6</v>
      </c>
    </row>
    <row r="478" spans="1:2">
      <c r="A478" s="10" t="s">
        <v>780</v>
      </c>
      <c r="B478" s="10">
        <v>6</v>
      </c>
    </row>
    <row r="479" spans="1:2">
      <c r="A479" s="10" t="s">
        <v>781</v>
      </c>
      <c r="B479" s="10">
        <v>6</v>
      </c>
    </row>
    <row r="480" spans="1:2">
      <c r="A480" s="10" t="s">
        <v>782</v>
      </c>
      <c r="B480" s="10">
        <v>6</v>
      </c>
    </row>
    <row r="481" spans="1:2">
      <c r="A481" s="10" t="s">
        <v>783</v>
      </c>
      <c r="B481" s="10">
        <v>6</v>
      </c>
    </row>
    <row r="482" spans="1:2">
      <c r="A482" s="10" t="s">
        <v>784</v>
      </c>
      <c r="B482" s="10">
        <v>6</v>
      </c>
    </row>
    <row r="483" spans="1:2">
      <c r="A483" s="10" t="s">
        <v>785</v>
      </c>
      <c r="B483" s="10">
        <v>6</v>
      </c>
    </row>
    <row r="484" spans="1:2">
      <c r="A484" s="10" t="s">
        <v>786</v>
      </c>
      <c r="B484" s="10">
        <v>6</v>
      </c>
    </row>
    <row r="485" spans="1:2">
      <c r="A485" s="10" t="s">
        <v>787</v>
      </c>
      <c r="B485" s="10">
        <v>6</v>
      </c>
    </row>
    <row r="486" spans="1:2">
      <c r="A486" s="10" t="s">
        <v>788</v>
      </c>
      <c r="B486" s="10">
        <v>6</v>
      </c>
    </row>
    <row r="487" spans="1:2">
      <c r="A487" s="10" t="s">
        <v>789</v>
      </c>
      <c r="B487" s="10">
        <v>6</v>
      </c>
    </row>
    <row r="488" spans="1:2">
      <c r="A488" s="10" t="s">
        <v>790</v>
      </c>
      <c r="B488" s="10">
        <v>6</v>
      </c>
    </row>
    <row r="489" spans="1:2">
      <c r="A489" s="10" t="s">
        <v>791</v>
      </c>
      <c r="B489" s="10">
        <v>6</v>
      </c>
    </row>
    <row r="490" spans="1:2">
      <c r="A490" s="10" t="s">
        <v>792</v>
      </c>
      <c r="B490" s="10">
        <v>6</v>
      </c>
    </row>
    <row r="491" spans="1:2">
      <c r="A491" s="10" t="s">
        <v>793</v>
      </c>
      <c r="B491" s="10">
        <v>6</v>
      </c>
    </row>
    <row r="492" spans="1:2">
      <c r="A492" s="10" t="s">
        <v>794</v>
      </c>
      <c r="B492" s="10">
        <v>6</v>
      </c>
    </row>
    <row r="493" spans="1:2">
      <c r="A493" s="10" t="s">
        <v>795</v>
      </c>
      <c r="B493" s="10">
        <v>6</v>
      </c>
    </row>
    <row r="494" spans="1:2">
      <c r="A494" s="10" t="s">
        <v>796</v>
      </c>
      <c r="B494" s="10">
        <v>6</v>
      </c>
    </row>
    <row r="495" spans="1:2">
      <c r="A495" s="10" t="s">
        <v>797</v>
      </c>
      <c r="B495" s="10">
        <v>6</v>
      </c>
    </row>
    <row r="496" spans="1:2">
      <c r="A496" s="10" t="s">
        <v>798</v>
      </c>
      <c r="B496" s="10">
        <v>6</v>
      </c>
    </row>
    <row r="497" spans="1:2">
      <c r="A497" s="10" t="s">
        <v>799</v>
      </c>
      <c r="B497" s="10">
        <v>6</v>
      </c>
    </row>
    <row r="498" spans="1:2">
      <c r="A498" s="10" t="s">
        <v>800</v>
      </c>
      <c r="B498" s="10">
        <v>6</v>
      </c>
    </row>
    <row r="499" spans="1:2">
      <c r="A499" s="10" t="s">
        <v>801</v>
      </c>
      <c r="B499" s="10">
        <v>6</v>
      </c>
    </row>
    <row r="500" spans="1:2">
      <c r="A500" s="10" t="s">
        <v>802</v>
      </c>
      <c r="B500" s="10">
        <v>6</v>
      </c>
    </row>
    <row r="501" spans="1:2">
      <c r="A501" s="10" t="s">
        <v>803</v>
      </c>
      <c r="B501" s="10">
        <v>6</v>
      </c>
    </row>
    <row r="502" spans="1:2">
      <c r="A502" s="10" t="s">
        <v>804</v>
      </c>
      <c r="B502" s="10">
        <v>6</v>
      </c>
    </row>
    <row r="503" spans="1:2">
      <c r="A503" s="10" t="s">
        <v>805</v>
      </c>
      <c r="B503" s="10">
        <v>6</v>
      </c>
    </row>
    <row r="504" spans="1:2">
      <c r="A504" s="10" t="s">
        <v>806</v>
      </c>
      <c r="B504" s="10">
        <v>6</v>
      </c>
    </row>
    <row r="505" spans="1:2">
      <c r="A505" s="10" t="s">
        <v>807</v>
      </c>
      <c r="B505" s="10">
        <v>6</v>
      </c>
    </row>
    <row r="506" spans="1:2">
      <c r="A506" s="10" t="s">
        <v>808</v>
      </c>
      <c r="B506" s="10">
        <v>6</v>
      </c>
    </row>
    <row r="507" spans="1:2">
      <c r="A507" s="10" t="s">
        <v>809</v>
      </c>
      <c r="B507" s="10">
        <v>6</v>
      </c>
    </row>
    <row r="508" spans="1:2">
      <c r="A508" s="10" t="s">
        <v>810</v>
      </c>
      <c r="B508" s="10">
        <v>6</v>
      </c>
    </row>
    <row r="509" spans="1:2">
      <c r="A509" s="10" t="s">
        <v>811</v>
      </c>
      <c r="B509" s="10">
        <v>6</v>
      </c>
    </row>
    <row r="510" spans="1:2">
      <c r="A510" s="10" t="s">
        <v>812</v>
      </c>
      <c r="B510" s="10">
        <v>6</v>
      </c>
    </row>
    <row r="511" spans="1:2">
      <c r="A511" s="10" t="s">
        <v>813</v>
      </c>
      <c r="B511" s="10">
        <v>6</v>
      </c>
    </row>
    <row r="512" spans="1:2">
      <c r="A512" s="10" t="s">
        <v>814</v>
      </c>
      <c r="B512" s="10">
        <v>6</v>
      </c>
    </row>
    <row r="513" spans="1:2">
      <c r="A513" s="10" t="s">
        <v>815</v>
      </c>
      <c r="B513" s="10">
        <v>5</v>
      </c>
    </row>
    <row r="514" spans="1:2">
      <c r="A514" s="10" t="s">
        <v>816</v>
      </c>
      <c r="B514" s="10">
        <v>5</v>
      </c>
    </row>
    <row r="515" spans="1:2">
      <c r="A515" s="10" t="s">
        <v>817</v>
      </c>
      <c r="B515" s="10">
        <v>5</v>
      </c>
    </row>
    <row r="516" spans="1:2">
      <c r="A516" s="10" t="s">
        <v>818</v>
      </c>
      <c r="B516" s="10">
        <v>5</v>
      </c>
    </row>
    <row r="517" spans="1:2">
      <c r="A517" s="10" t="s">
        <v>819</v>
      </c>
      <c r="B517" s="10">
        <v>5</v>
      </c>
    </row>
    <row r="518" spans="1:2">
      <c r="A518" s="10" t="s">
        <v>820</v>
      </c>
      <c r="B518" s="10">
        <v>5</v>
      </c>
    </row>
    <row r="519" spans="1:2">
      <c r="A519" s="10" t="s">
        <v>821</v>
      </c>
      <c r="B519" s="10">
        <v>5</v>
      </c>
    </row>
    <row r="520" spans="1:2">
      <c r="A520" s="10" t="s">
        <v>822</v>
      </c>
      <c r="B520" s="10">
        <v>5</v>
      </c>
    </row>
    <row r="521" spans="1:2">
      <c r="A521" s="10" t="s">
        <v>823</v>
      </c>
      <c r="B521" s="10">
        <v>5</v>
      </c>
    </row>
    <row r="522" spans="1:2">
      <c r="A522" s="10" t="s">
        <v>824</v>
      </c>
      <c r="B522" s="10">
        <v>5</v>
      </c>
    </row>
    <row r="523" spans="1:2">
      <c r="A523" s="10" t="s">
        <v>825</v>
      </c>
      <c r="B523" s="10">
        <v>5</v>
      </c>
    </row>
    <row r="524" spans="1:2">
      <c r="A524" s="10" t="s">
        <v>826</v>
      </c>
      <c r="B524" s="10">
        <v>5</v>
      </c>
    </row>
    <row r="525" spans="1:2">
      <c r="A525" s="10" t="s">
        <v>827</v>
      </c>
      <c r="B525" s="10">
        <v>5</v>
      </c>
    </row>
    <row r="526" spans="1:2">
      <c r="A526" s="10" t="s">
        <v>828</v>
      </c>
      <c r="B526" s="10">
        <v>5</v>
      </c>
    </row>
    <row r="527" spans="1:2">
      <c r="A527" s="10" t="s">
        <v>829</v>
      </c>
      <c r="B527" s="10">
        <v>5</v>
      </c>
    </row>
    <row r="528" spans="1:2">
      <c r="A528" s="10" t="s">
        <v>830</v>
      </c>
      <c r="B528" s="10">
        <v>5</v>
      </c>
    </row>
    <row r="529" spans="1:2">
      <c r="A529" s="10" t="s">
        <v>831</v>
      </c>
      <c r="B529" s="10">
        <v>5</v>
      </c>
    </row>
    <row r="530" spans="1:2">
      <c r="A530" s="10" t="s">
        <v>832</v>
      </c>
      <c r="B530" s="10">
        <v>5</v>
      </c>
    </row>
    <row r="531" spans="1:2">
      <c r="A531" s="10" t="s">
        <v>833</v>
      </c>
      <c r="B531" s="10">
        <v>5</v>
      </c>
    </row>
    <row r="532" spans="1:2">
      <c r="A532" s="10" t="s">
        <v>834</v>
      </c>
      <c r="B532" s="10">
        <v>5</v>
      </c>
    </row>
    <row r="533" spans="1:2">
      <c r="A533" s="10" t="s">
        <v>835</v>
      </c>
      <c r="B533" s="10">
        <v>5</v>
      </c>
    </row>
    <row r="534" spans="1:2">
      <c r="A534" s="10" t="s">
        <v>836</v>
      </c>
      <c r="B534" s="10">
        <v>5</v>
      </c>
    </row>
    <row r="535" spans="1:2">
      <c r="A535" s="10" t="s">
        <v>837</v>
      </c>
      <c r="B535" s="10">
        <v>5</v>
      </c>
    </row>
    <row r="536" spans="1:2">
      <c r="A536" s="10" t="s">
        <v>838</v>
      </c>
      <c r="B536" s="10">
        <v>5</v>
      </c>
    </row>
    <row r="537" spans="1:2">
      <c r="A537" s="10" t="s">
        <v>839</v>
      </c>
      <c r="B537" s="10">
        <v>5</v>
      </c>
    </row>
    <row r="538" spans="1:2">
      <c r="A538" s="10" t="s">
        <v>840</v>
      </c>
      <c r="B538" s="10">
        <v>5</v>
      </c>
    </row>
    <row r="539" spans="1:2">
      <c r="A539" s="10" t="s">
        <v>841</v>
      </c>
      <c r="B539" s="10">
        <v>5</v>
      </c>
    </row>
    <row r="540" spans="1:2">
      <c r="A540" s="10" t="s">
        <v>842</v>
      </c>
      <c r="B540" s="10">
        <v>5</v>
      </c>
    </row>
    <row r="541" spans="1:2">
      <c r="A541" s="10" t="s">
        <v>843</v>
      </c>
      <c r="B541" s="10">
        <v>5</v>
      </c>
    </row>
    <row r="542" spans="1:2">
      <c r="A542" s="10" t="s">
        <v>844</v>
      </c>
      <c r="B542" s="10">
        <v>5</v>
      </c>
    </row>
    <row r="543" spans="1:2">
      <c r="A543" s="10" t="s">
        <v>845</v>
      </c>
      <c r="B543" s="10">
        <v>5</v>
      </c>
    </row>
    <row r="544" spans="1:2">
      <c r="A544" s="10" t="s">
        <v>846</v>
      </c>
      <c r="B544" s="10">
        <v>5</v>
      </c>
    </row>
    <row r="545" spans="1:2">
      <c r="A545" s="10" t="s">
        <v>847</v>
      </c>
      <c r="B545" s="10">
        <v>5</v>
      </c>
    </row>
    <row r="546" spans="1:2">
      <c r="A546" s="10" t="s">
        <v>848</v>
      </c>
      <c r="B546" s="10">
        <v>5</v>
      </c>
    </row>
    <row r="547" spans="1:2">
      <c r="A547" s="10" t="s">
        <v>849</v>
      </c>
      <c r="B547" s="10">
        <v>5</v>
      </c>
    </row>
    <row r="548" spans="1:2">
      <c r="A548" s="10" t="s">
        <v>850</v>
      </c>
      <c r="B548" s="10">
        <v>5</v>
      </c>
    </row>
    <row r="549" spans="1:2">
      <c r="A549" s="10" t="s">
        <v>851</v>
      </c>
      <c r="B549" s="10">
        <v>5</v>
      </c>
    </row>
    <row r="550" spans="1:2">
      <c r="A550" s="10" t="s">
        <v>852</v>
      </c>
      <c r="B550" s="10">
        <v>5</v>
      </c>
    </row>
    <row r="551" spans="1:2">
      <c r="A551" s="10" t="s">
        <v>853</v>
      </c>
      <c r="B551" s="10">
        <v>5</v>
      </c>
    </row>
    <row r="552" spans="1:2">
      <c r="A552" s="10" t="s">
        <v>854</v>
      </c>
      <c r="B552" s="10">
        <v>5</v>
      </c>
    </row>
    <row r="553" spans="1:2">
      <c r="A553" s="10" t="s">
        <v>855</v>
      </c>
      <c r="B553" s="10">
        <v>5</v>
      </c>
    </row>
    <row r="554" spans="1:2">
      <c r="A554" s="10" t="s">
        <v>856</v>
      </c>
      <c r="B554" s="10">
        <v>5</v>
      </c>
    </row>
    <row r="555" spans="1:2">
      <c r="A555" s="10" t="s">
        <v>857</v>
      </c>
      <c r="B555" s="10">
        <v>5</v>
      </c>
    </row>
    <row r="556" spans="1:2">
      <c r="A556" s="10" t="s">
        <v>858</v>
      </c>
      <c r="B556" s="10">
        <v>5</v>
      </c>
    </row>
    <row r="557" spans="1:2">
      <c r="A557" s="10" t="s">
        <v>859</v>
      </c>
      <c r="B557" s="10">
        <v>5</v>
      </c>
    </row>
    <row r="558" spans="1:2">
      <c r="A558" s="10" t="s">
        <v>860</v>
      </c>
      <c r="B558" s="10">
        <v>5</v>
      </c>
    </row>
    <row r="559" spans="1:2">
      <c r="A559" s="10" t="s">
        <v>861</v>
      </c>
      <c r="B559" s="10">
        <v>5</v>
      </c>
    </row>
    <row r="560" spans="1:2">
      <c r="A560" s="10" t="s">
        <v>862</v>
      </c>
      <c r="B560" s="10">
        <v>4</v>
      </c>
    </row>
    <row r="561" spans="1:2">
      <c r="A561" s="10" t="s">
        <v>863</v>
      </c>
      <c r="B561" s="10">
        <v>4</v>
      </c>
    </row>
    <row r="562" spans="1:2">
      <c r="A562" s="10" t="s">
        <v>864</v>
      </c>
      <c r="B562" s="10">
        <v>4</v>
      </c>
    </row>
    <row r="563" spans="1:2">
      <c r="A563" s="10" t="s">
        <v>865</v>
      </c>
      <c r="B563" s="10">
        <v>4</v>
      </c>
    </row>
    <row r="564" spans="1:2">
      <c r="A564" s="10" t="s">
        <v>866</v>
      </c>
      <c r="B564" s="10">
        <v>4</v>
      </c>
    </row>
    <row r="565" spans="1:2">
      <c r="A565" s="10" t="s">
        <v>867</v>
      </c>
      <c r="B565" s="10">
        <v>4</v>
      </c>
    </row>
    <row r="566" spans="1:2">
      <c r="A566" s="10" t="s">
        <v>868</v>
      </c>
      <c r="B566" s="10">
        <v>4</v>
      </c>
    </row>
    <row r="567" spans="1:2">
      <c r="A567" s="10" t="s">
        <v>869</v>
      </c>
      <c r="B567" s="10">
        <v>4</v>
      </c>
    </row>
    <row r="568" spans="1:2">
      <c r="A568" s="10" t="s">
        <v>870</v>
      </c>
      <c r="B568" s="10">
        <v>4</v>
      </c>
    </row>
    <row r="569" spans="1:2">
      <c r="A569" s="10" t="s">
        <v>871</v>
      </c>
      <c r="B569" s="10">
        <v>4</v>
      </c>
    </row>
    <row r="570" spans="1:2">
      <c r="A570" s="10" t="s">
        <v>872</v>
      </c>
      <c r="B570" s="10">
        <v>4</v>
      </c>
    </row>
    <row r="571" spans="1:2">
      <c r="A571" s="10" t="s">
        <v>873</v>
      </c>
      <c r="B571" s="10">
        <v>4</v>
      </c>
    </row>
    <row r="572" spans="1:2">
      <c r="A572" s="10" t="s">
        <v>874</v>
      </c>
      <c r="B572" s="10">
        <v>4</v>
      </c>
    </row>
    <row r="573" spans="1:2">
      <c r="A573" s="10" t="s">
        <v>875</v>
      </c>
      <c r="B573" s="10">
        <v>4</v>
      </c>
    </row>
    <row r="574" spans="1:2">
      <c r="A574" s="10" t="s">
        <v>876</v>
      </c>
      <c r="B574" s="10">
        <v>4</v>
      </c>
    </row>
    <row r="575" spans="1:2">
      <c r="A575" s="10" t="s">
        <v>877</v>
      </c>
      <c r="B575" s="10">
        <v>4</v>
      </c>
    </row>
    <row r="576" spans="1:2">
      <c r="A576" s="10" t="s">
        <v>878</v>
      </c>
      <c r="B576" s="10">
        <v>4</v>
      </c>
    </row>
    <row r="577" spans="1:2">
      <c r="A577" s="10" t="s">
        <v>879</v>
      </c>
      <c r="B577" s="10">
        <v>4</v>
      </c>
    </row>
    <row r="578" spans="1:2">
      <c r="A578" s="10" t="s">
        <v>880</v>
      </c>
      <c r="B578" s="10">
        <v>4</v>
      </c>
    </row>
    <row r="579" spans="1:2">
      <c r="A579" s="10" t="s">
        <v>881</v>
      </c>
      <c r="B579" s="10">
        <v>4</v>
      </c>
    </row>
    <row r="580" spans="1:2">
      <c r="A580" s="10" t="s">
        <v>882</v>
      </c>
      <c r="B580" s="10">
        <v>4</v>
      </c>
    </row>
    <row r="581" spans="1:2">
      <c r="A581" s="10" t="s">
        <v>883</v>
      </c>
      <c r="B581" s="10">
        <v>4</v>
      </c>
    </row>
    <row r="582" spans="1:2">
      <c r="A582" s="10" t="s">
        <v>884</v>
      </c>
      <c r="B582" s="10">
        <v>4</v>
      </c>
    </row>
    <row r="583" spans="1:2">
      <c r="A583" s="10" t="s">
        <v>885</v>
      </c>
      <c r="B583" s="10">
        <v>4</v>
      </c>
    </row>
    <row r="584" spans="1:2">
      <c r="A584" s="10" t="s">
        <v>886</v>
      </c>
      <c r="B584" s="10">
        <v>4</v>
      </c>
    </row>
    <row r="585" spans="1:2">
      <c r="A585" s="10" t="s">
        <v>887</v>
      </c>
      <c r="B585" s="10">
        <v>4</v>
      </c>
    </row>
    <row r="586" spans="1:2">
      <c r="A586" s="10" t="s">
        <v>888</v>
      </c>
      <c r="B586" s="10">
        <v>4</v>
      </c>
    </row>
    <row r="587" spans="1:2">
      <c r="A587" s="10" t="s">
        <v>889</v>
      </c>
      <c r="B587" s="10">
        <v>4</v>
      </c>
    </row>
    <row r="588" spans="1:2">
      <c r="A588" s="10" t="s">
        <v>890</v>
      </c>
      <c r="B588" s="10">
        <v>4</v>
      </c>
    </row>
    <row r="589" spans="1:2">
      <c r="A589" s="10" t="s">
        <v>891</v>
      </c>
      <c r="B589" s="10">
        <v>4</v>
      </c>
    </row>
    <row r="590" spans="1:2">
      <c r="A590" s="10" t="s">
        <v>892</v>
      </c>
      <c r="B590" s="10">
        <v>4</v>
      </c>
    </row>
    <row r="591" spans="1:2">
      <c r="A591" s="10" t="s">
        <v>893</v>
      </c>
      <c r="B591" s="10">
        <v>4</v>
      </c>
    </row>
    <row r="592" spans="1:2">
      <c r="A592" s="10" t="s">
        <v>894</v>
      </c>
      <c r="B592" s="10">
        <v>4</v>
      </c>
    </row>
    <row r="593" spans="1:2">
      <c r="A593" s="10" t="s">
        <v>895</v>
      </c>
      <c r="B593" s="10">
        <v>4</v>
      </c>
    </row>
    <row r="594" spans="1:2">
      <c r="A594" s="10" t="s">
        <v>896</v>
      </c>
      <c r="B594" s="10">
        <v>4</v>
      </c>
    </row>
    <row r="595" spans="1:2">
      <c r="A595" s="10" t="s">
        <v>897</v>
      </c>
      <c r="B595" s="10">
        <v>4</v>
      </c>
    </row>
    <row r="596" spans="1:2">
      <c r="A596" s="10" t="s">
        <v>898</v>
      </c>
      <c r="B596" s="10">
        <v>4</v>
      </c>
    </row>
    <row r="597" spans="1:2">
      <c r="A597" s="10" t="s">
        <v>899</v>
      </c>
      <c r="B597" s="10">
        <v>4</v>
      </c>
    </row>
    <row r="598" spans="1:2">
      <c r="A598" s="10" t="s">
        <v>900</v>
      </c>
      <c r="B598" s="10">
        <v>4</v>
      </c>
    </row>
    <row r="599" spans="1:2">
      <c r="A599" s="10" t="s">
        <v>901</v>
      </c>
      <c r="B599" s="10">
        <v>4</v>
      </c>
    </row>
    <row r="600" spans="1:2">
      <c r="A600" s="10" t="s">
        <v>902</v>
      </c>
      <c r="B600" s="10">
        <v>4</v>
      </c>
    </row>
    <row r="601" spans="1:2">
      <c r="A601" s="10" t="s">
        <v>903</v>
      </c>
      <c r="B601" s="10">
        <v>4</v>
      </c>
    </row>
    <row r="602" spans="1:2">
      <c r="A602" s="10" t="s">
        <v>904</v>
      </c>
      <c r="B602" s="10">
        <v>4</v>
      </c>
    </row>
    <row r="603" spans="1:2">
      <c r="A603" s="10" t="s">
        <v>905</v>
      </c>
      <c r="B603" s="10">
        <v>4</v>
      </c>
    </row>
    <row r="604" spans="1:2">
      <c r="A604" s="10" t="s">
        <v>906</v>
      </c>
      <c r="B604" s="10">
        <v>4</v>
      </c>
    </row>
    <row r="605" spans="1:2">
      <c r="A605" s="10" t="s">
        <v>907</v>
      </c>
      <c r="B605" s="10">
        <v>4</v>
      </c>
    </row>
    <row r="606" spans="1:2">
      <c r="A606" s="10" t="s">
        <v>908</v>
      </c>
      <c r="B606" s="10">
        <v>4</v>
      </c>
    </row>
    <row r="607" spans="1:2">
      <c r="A607" s="10" t="s">
        <v>909</v>
      </c>
      <c r="B607" s="10">
        <v>4</v>
      </c>
    </row>
    <row r="608" spans="1:2">
      <c r="A608" s="10" t="s">
        <v>910</v>
      </c>
      <c r="B608" s="10">
        <v>4</v>
      </c>
    </row>
    <row r="609" spans="1:2">
      <c r="A609" s="10" t="s">
        <v>911</v>
      </c>
      <c r="B609" s="10">
        <v>4</v>
      </c>
    </row>
    <row r="610" spans="1:2">
      <c r="A610" s="10" t="s">
        <v>912</v>
      </c>
      <c r="B610" s="10">
        <v>4</v>
      </c>
    </row>
    <row r="611" spans="1:2">
      <c r="A611" s="10" t="s">
        <v>913</v>
      </c>
      <c r="B611" s="10">
        <v>3</v>
      </c>
    </row>
    <row r="612" spans="1:2">
      <c r="A612" s="10" t="s">
        <v>914</v>
      </c>
      <c r="B612" s="10">
        <v>3</v>
      </c>
    </row>
    <row r="613" spans="1:2">
      <c r="A613" s="10" t="s">
        <v>915</v>
      </c>
      <c r="B613" s="10">
        <v>3</v>
      </c>
    </row>
    <row r="614" spans="1:2">
      <c r="A614" s="10" t="s">
        <v>916</v>
      </c>
      <c r="B614" s="10">
        <v>3</v>
      </c>
    </row>
    <row r="615" spans="1:2">
      <c r="A615" s="10" t="s">
        <v>917</v>
      </c>
      <c r="B615" s="10">
        <v>3</v>
      </c>
    </row>
    <row r="616" spans="1:2">
      <c r="A616" s="10" t="s">
        <v>918</v>
      </c>
      <c r="B616" s="10">
        <v>3</v>
      </c>
    </row>
    <row r="617" spans="1:2">
      <c r="A617" s="10" t="s">
        <v>919</v>
      </c>
      <c r="B617" s="10">
        <v>3</v>
      </c>
    </row>
    <row r="618" spans="1:2">
      <c r="A618" s="10" t="s">
        <v>920</v>
      </c>
      <c r="B618" s="10">
        <v>3</v>
      </c>
    </row>
    <row r="619" spans="1:2">
      <c r="A619" s="10" t="s">
        <v>921</v>
      </c>
      <c r="B619" s="10">
        <v>3</v>
      </c>
    </row>
    <row r="620" spans="1:2">
      <c r="A620" s="10" t="s">
        <v>922</v>
      </c>
      <c r="B620" s="10">
        <v>3</v>
      </c>
    </row>
    <row r="621" spans="1:2">
      <c r="A621" s="10" t="s">
        <v>923</v>
      </c>
      <c r="B621" s="10">
        <v>3</v>
      </c>
    </row>
    <row r="622" spans="1:2">
      <c r="A622" s="10" t="s">
        <v>924</v>
      </c>
      <c r="B622" s="10">
        <v>3</v>
      </c>
    </row>
    <row r="623" spans="1:2">
      <c r="A623" s="10" t="s">
        <v>925</v>
      </c>
      <c r="B623" s="10">
        <v>3</v>
      </c>
    </row>
    <row r="624" spans="1:2">
      <c r="A624" s="10" t="s">
        <v>926</v>
      </c>
      <c r="B624" s="10">
        <v>3</v>
      </c>
    </row>
    <row r="625" spans="1:2">
      <c r="A625" s="10" t="s">
        <v>927</v>
      </c>
      <c r="B625" s="10">
        <v>3</v>
      </c>
    </row>
    <row r="626" spans="1:2">
      <c r="A626" s="10" t="s">
        <v>928</v>
      </c>
      <c r="B626" s="10">
        <v>3</v>
      </c>
    </row>
    <row r="627" spans="1:2">
      <c r="A627" s="10" t="s">
        <v>929</v>
      </c>
      <c r="B627" s="10">
        <v>3</v>
      </c>
    </row>
    <row r="628" spans="1:2">
      <c r="A628" s="10" t="s">
        <v>930</v>
      </c>
      <c r="B628" s="10">
        <v>3</v>
      </c>
    </row>
    <row r="629" spans="1:2">
      <c r="A629" s="10" t="s">
        <v>931</v>
      </c>
      <c r="B629" s="10">
        <v>3</v>
      </c>
    </row>
    <row r="630" spans="1:2">
      <c r="A630" s="10" t="s">
        <v>932</v>
      </c>
      <c r="B630" s="10">
        <v>3</v>
      </c>
    </row>
    <row r="631" spans="1:2">
      <c r="A631" s="10" t="s">
        <v>933</v>
      </c>
      <c r="B631" s="10">
        <v>3</v>
      </c>
    </row>
    <row r="632" spans="1:2">
      <c r="A632" s="10" t="s">
        <v>934</v>
      </c>
      <c r="B632" s="10">
        <v>3</v>
      </c>
    </row>
    <row r="633" spans="1:2">
      <c r="A633" s="10" t="s">
        <v>935</v>
      </c>
      <c r="B633" s="10">
        <v>3</v>
      </c>
    </row>
    <row r="634" spans="1:2">
      <c r="A634" s="10" t="s">
        <v>936</v>
      </c>
      <c r="B634" s="10">
        <v>3</v>
      </c>
    </row>
    <row r="635" spans="1:2">
      <c r="A635" s="10" t="s">
        <v>937</v>
      </c>
      <c r="B635" s="10">
        <v>3</v>
      </c>
    </row>
    <row r="636" spans="1:2">
      <c r="A636" s="10" t="s">
        <v>938</v>
      </c>
      <c r="B636" s="10">
        <v>3</v>
      </c>
    </row>
    <row r="637" spans="1:2">
      <c r="A637" s="10" t="s">
        <v>939</v>
      </c>
      <c r="B637" s="10">
        <v>3</v>
      </c>
    </row>
    <row r="638" spans="1:2">
      <c r="A638" s="10" t="s">
        <v>940</v>
      </c>
      <c r="B638" s="10">
        <v>3</v>
      </c>
    </row>
    <row r="639" spans="1:2">
      <c r="A639" s="10" t="s">
        <v>941</v>
      </c>
      <c r="B639" s="10">
        <v>3</v>
      </c>
    </row>
    <row r="640" spans="1:2">
      <c r="A640" s="10" t="s">
        <v>942</v>
      </c>
      <c r="B640" s="10">
        <v>3</v>
      </c>
    </row>
    <row r="641" spans="1:2">
      <c r="A641" s="10" t="s">
        <v>943</v>
      </c>
      <c r="B641" s="10">
        <v>3</v>
      </c>
    </row>
    <row r="642" spans="1:2">
      <c r="A642" s="10" t="s">
        <v>944</v>
      </c>
      <c r="B642" s="10">
        <v>3</v>
      </c>
    </row>
    <row r="643" spans="1:2">
      <c r="A643" s="10" t="s">
        <v>945</v>
      </c>
      <c r="B643" s="10">
        <v>3</v>
      </c>
    </row>
    <row r="644" spans="1:2">
      <c r="A644" s="10" t="s">
        <v>946</v>
      </c>
      <c r="B644" s="10">
        <v>3</v>
      </c>
    </row>
    <row r="645" spans="1:2">
      <c r="A645" s="10" t="s">
        <v>947</v>
      </c>
      <c r="B645" s="10">
        <v>3</v>
      </c>
    </row>
    <row r="646" spans="1:2">
      <c r="A646" s="10" t="s">
        <v>948</v>
      </c>
      <c r="B646" s="10">
        <v>3</v>
      </c>
    </row>
    <row r="647" spans="1:2">
      <c r="A647" s="10" t="s">
        <v>949</v>
      </c>
      <c r="B647" s="10">
        <v>3</v>
      </c>
    </row>
    <row r="648" spans="1:2">
      <c r="A648" s="10" t="s">
        <v>950</v>
      </c>
      <c r="B648" s="10">
        <v>3</v>
      </c>
    </row>
    <row r="649" spans="1:2">
      <c r="A649" s="10" t="s">
        <v>951</v>
      </c>
      <c r="B649" s="10">
        <v>3</v>
      </c>
    </row>
    <row r="650" spans="1:2">
      <c r="A650" s="10" t="s">
        <v>952</v>
      </c>
      <c r="B650" s="10">
        <v>3</v>
      </c>
    </row>
    <row r="651" spans="1:2">
      <c r="A651" s="10" t="s">
        <v>953</v>
      </c>
      <c r="B651" s="10">
        <v>3</v>
      </c>
    </row>
    <row r="652" spans="1:2">
      <c r="A652" s="10" t="s">
        <v>954</v>
      </c>
      <c r="B652" s="10">
        <v>3</v>
      </c>
    </row>
    <row r="653" spans="1:2">
      <c r="A653" s="10" t="s">
        <v>955</v>
      </c>
      <c r="B653" s="10">
        <v>3</v>
      </c>
    </row>
    <row r="654" spans="1:2">
      <c r="A654" s="10" t="s">
        <v>956</v>
      </c>
      <c r="B654" s="10">
        <v>3</v>
      </c>
    </row>
    <row r="655" spans="1:2">
      <c r="A655" s="10" t="s">
        <v>957</v>
      </c>
      <c r="B655" s="10">
        <v>3</v>
      </c>
    </row>
    <row r="656" spans="1:2">
      <c r="A656" s="10" t="s">
        <v>958</v>
      </c>
      <c r="B656" s="10">
        <v>3</v>
      </c>
    </row>
    <row r="657" spans="1:2">
      <c r="A657" s="10" t="s">
        <v>959</v>
      </c>
      <c r="B657" s="10">
        <v>3</v>
      </c>
    </row>
    <row r="658" spans="1:2">
      <c r="A658" s="10" t="s">
        <v>960</v>
      </c>
      <c r="B658" s="10">
        <v>3</v>
      </c>
    </row>
    <row r="659" spans="1:2">
      <c r="A659" s="10" t="s">
        <v>961</v>
      </c>
      <c r="B659" s="10">
        <v>3</v>
      </c>
    </row>
    <row r="660" spans="1:2">
      <c r="A660" s="10" t="s">
        <v>962</v>
      </c>
      <c r="B660" s="10">
        <v>3</v>
      </c>
    </row>
    <row r="661" spans="1:2">
      <c r="A661" s="10" t="s">
        <v>963</v>
      </c>
      <c r="B661" s="10">
        <v>3</v>
      </c>
    </row>
    <row r="662" spans="1:2">
      <c r="A662" s="10" t="s">
        <v>964</v>
      </c>
      <c r="B662" s="10">
        <v>3</v>
      </c>
    </row>
    <row r="663" spans="1:2">
      <c r="A663" s="10" t="s">
        <v>965</v>
      </c>
      <c r="B663" s="10">
        <v>3</v>
      </c>
    </row>
    <row r="664" spans="1:2">
      <c r="A664" s="10" t="s">
        <v>966</v>
      </c>
      <c r="B664" s="10">
        <v>3</v>
      </c>
    </row>
    <row r="665" spans="1:2">
      <c r="A665" s="10" t="s">
        <v>967</v>
      </c>
      <c r="B665" s="10">
        <v>3</v>
      </c>
    </row>
    <row r="666" spans="1:2">
      <c r="A666" s="10" t="s">
        <v>968</v>
      </c>
      <c r="B666" s="10">
        <v>3</v>
      </c>
    </row>
    <row r="667" spans="1:2">
      <c r="A667" s="10" t="s">
        <v>969</v>
      </c>
      <c r="B667" s="10">
        <v>3</v>
      </c>
    </row>
    <row r="668" spans="1:2">
      <c r="A668" s="10" t="s">
        <v>970</v>
      </c>
      <c r="B668" s="10">
        <v>3</v>
      </c>
    </row>
    <row r="669" spans="1:2">
      <c r="A669" s="10" t="s">
        <v>971</v>
      </c>
      <c r="B669" s="10">
        <v>3</v>
      </c>
    </row>
    <row r="670" spans="1:2">
      <c r="A670" s="10" t="s">
        <v>972</v>
      </c>
      <c r="B670" s="10">
        <v>3</v>
      </c>
    </row>
    <row r="671" spans="1:2">
      <c r="A671" s="10" t="s">
        <v>973</v>
      </c>
      <c r="B671" s="10">
        <v>3</v>
      </c>
    </row>
    <row r="672" spans="1:2">
      <c r="A672" s="10" t="s">
        <v>974</v>
      </c>
      <c r="B672" s="10">
        <v>3</v>
      </c>
    </row>
    <row r="673" spans="1:2">
      <c r="A673" s="10" t="s">
        <v>975</v>
      </c>
      <c r="B673" s="10">
        <v>3</v>
      </c>
    </row>
    <row r="674" spans="1:2">
      <c r="A674" s="10" t="s">
        <v>976</v>
      </c>
      <c r="B674" s="10">
        <v>3</v>
      </c>
    </row>
    <row r="675" spans="1:2">
      <c r="A675" s="10" t="s">
        <v>977</v>
      </c>
      <c r="B675" s="10">
        <v>3</v>
      </c>
    </row>
    <row r="676" spans="1:2">
      <c r="A676" s="10" t="s">
        <v>978</v>
      </c>
      <c r="B676" s="10">
        <v>3</v>
      </c>
    </row>
    <row r="677" spans="1:2">
      <c r="A677" s="10" t="s">
        <v>979</v>
      </c>
      <c r="B677" s="10">
        <v>3</v>
      </c>
    </row>
    <row r="678" spans="1:2">
      <c r="A678" s="10" t="s">
        <v>980</v>
      </c>
      <c r="B678" s="10">
        <v>3</v>
      </c>
    </row>
    <row r="679" spans="1:2">
      <c r="A679" s="10" t="s">
        <v>981</v>
      </c>
      <c r="B679" s="10">
        <v>3</v>
      </c>
    </row>
    <row r="680" spans="1:2">
      <c r="A680" s="10" t="s">
        <v>982</v>
      </c>
      <c r="B680" s="10">
        <v>3</v>
      </c>
    </row>
    <row r="681" spans="1:2">
      <c r="A681" s="10" t="s">
        <v>983</v>
      </c>
      <c r="B681" s="10">
        <v>3</v>
      </c>
    </row>
    <row r="682" spans="1:2">
      <c r="A682" s="10" t="s">
        <v>984</v>
      </c>
      <c r="B682" s="10">
        <v>3</v>
      </c>
    </row>
    <row r="683" spans="1:2">
      <c r="A683" s="10" t="s">
        <v>985</v>
      </c>
      <c r="B683" s="10">
        <v>3</v>
      </c>
    </row>
    <row r="684" spans="1:2">
      <c r="A684" s="10" t="s">
        <v>986</v>
      </c>
      <c r="B684" s="10">
        <v>3</v>
      </c>
    </row>
    <row r="685" spans="1:2">
      <c r="A685" s="10" t="s">
        <v>987</v>
      </c>
      <c r="B685" s="10">
        <v>3</v>
      </c>
    </row>
    <row r="686" spans="1:2">
      <c r="A686" s="10" t="s">
        <v>988</v>
      </c>
      <c r="B686" s="10">
        <v>3</v>
      </c>
    </row>
    <row r="687" spans="1:2">
      <c r="A687" s="10" t="s">
        <v>989</v>
      </c>
      <c r="B687" s="10">
        <v>3</v>
      </c>
    </row>
    <row r="688" spans="1:2">
      <c r="A688" s="10" t="s">
        <v>990</v>
      </c>
      <c r="B688" s="10">
        <v>3</v>
      </c>
    </row>
    <row r="689" spans="1:2">
      <c r="A689" s="10" t="s">
        <v>991</v>
      </c>
      <c r="B689" s="10">
        <v>3</v>
      </c>
    </row>
    <row r="690" spans="1:2">
      <c r="A690" s="10" t="s">
        <v>992</v>
      </c>
      <c r="B690" s="10">
        <v>3</v>
      </c>
    </row>
    <row r="691" spans="1:2">
      <c r="A691" s="10" t="s">
        <v>993</v>
      </c>
      <c r="B691" s="10">
        <v>3</v>
      </c>
    </row>
    <row r="692" spans="1:2">
      <c r="A692" s="10" t="s">
        <v>994</v>
      </c>
      <c r="B692" s="10">
        <v>3</v>
      </c>
    </row>
    <row r="693" spans="1:2">
      <c r="A693" s="10" t="s">
        <v>995</v>
      </c>
      <c r="B693" s="10">
        <v>3</v>
      </c>
    </row>
    <row r="694" spans="1:2">
      <c r="A694" s="10" t="s">
        <v>996</v>
      </c>
      <c r="B694" s="10">
        <v>3</v>
      </c>
    </row>
    <row r="695" spans="1:2">
      <c r="A695" s="10" t="s">
        <v>997</v>
      </c>
      <c r="B695" s="10">
        <v>3</v>
      </c>
    </row>
    <row r="696" spans="1:2">
      <c r="A696" s="10" t="s">
        <v>998</v>
      </c>
      <c r="B696" s="10">
        <v>3</v>
      </c>
    </row>
    <row r="697" spans="1:2">
      <c r="A697" s="10" t="s">
        <v>999</v>
      </c>
      <c r="B697" s="10">
        <v>3</v>
      </c>
    </row>
    <row r="698" spans="1:2">
      <c r="A698" s="10" t="s">
        <v>1000</v>
      </c>
      <c r="B698" s="10">
        <v>3</v>
      </c>
    </row>
    <row r="699" spans="1:2">
      <c r="A699" s="10" t="s">
        <v>1001</v>
      </c>
      <c r="B699" s="10">
        <v>3</v>
      </c>
    </row>
    <row r="700" spans="1:2">
      <c r="A700" s="10" t="s">
        <v>1002</v>
      </c>
      <c r="B700" s="10">
        <v>3</v>
      </c>
    </row>
    <row r="701" spans="1:2">
      <c r="A701" s="10" t="s">
        <v>1003</v>
      </c>
      <c r="B701" s="10">
        <v>3</v>
      </c>
    </row>
    <row r="702" spans="1:2">
      <c r="A702" s="10" t="s">
        <v>1004</v>
      </c>
      <c r="B702" s="10">
        <v>3</v>
      </c>
    </row>
    <row r="703" spans="1:2">
      <c r="A703" s="10" t="s">
        <v>1005</v>
      </c>
      <c r="B703" s="10">
        <v>3</v>
      </c>
    </row>
    <row r="704" spans="1:2">
      <c r="A704" s="10" t="s">
        <v>1006</v>
      </c>
      <c r="B704" s="10">
        <v>3</v>
      </c>
    </row>
    <row r="705" spans="1:2">
      <c r="A705" s="10" t="s">
        <v>1007</v>
      </c>
      <c r="B705" s="10">
        <v>3</v>
      </c>
    </row>
    <row r="706" spans="1:2">
      <c r="A706" s="10" t="s">
        <v>1008</v>
      </c>
      <c r="B706" s="10">
        <v>3</v>
      </c>
    </row>
    <row r="707" spans="1:2">
      <c r="A707" s="10" t="s">
        <v>1009</v>
      </c>
      <c r="B707" s="10">
        <v>3</v>
      </c>
    </row>
    <row r="708" spans="1:2">
      <c r="A708" s="10" t="s">
        <v>1010</v>
      </c>
      <c r="B708" s="10">
        <v>3</v>
      </c>
    </row>
    <row r="709" spans="1:2">
      <c r="A709" s="10" t="s">
        <v>1011</v>
      </c>
      <c r="B709" s="10">
        <v>3</v>
      </c>
    </row>
    <row r="710" spans="1:2">
      <c r="A710" s="10" t="s">
        <v>1012</v>
      </c>
      <c r="B710" s="10">
        <v>3</v>
      </c>
    </row>
    <row r="711" spans="1:2">
      <c r="A711" s="10" t="s">
        <v>1013</v>
      </c>
      <c r="B711" s="10">
        <v>3</v>
      </c>
    </row>
    <row r="712" spans="1:2">
      <c r="A712" s="10" t="s">
        <v>1014</v>
      </c>
      <c r="B712" s="10">
        <v>3</v>
      </c>
    </row>
    <row r="713" spans="1:2">
      <c r="A713" s="10" t="s">
        <v>1015</v>
      </c>
      <c r="B713" s="10">
        <v>3</v>
      </c>
    </row>
    <row r="714" spans="1:2">
      <c r="A714" s="10" t="s">
        <v>1016</v>
      </c>
      <c r="B714" s="10">
        <v>3</v>
      </c>
    </row>
    <row r="715" spans="1:2">
      <c r="A715" s="10" t="s">
        <v>1017</v>
      </c>
      <c r="B715" s="10">
        <v>2</v>
      </c>
    </row>
    <row r="716" spans="1:2">
      <c r="A716" s="10" t="s">
        <v>1018</v>
      </c>
      <c r="B716" s="10">
        <v>2</v>
      </c>
    </row>
    <row r="717" spans="1:2">
      <c r="A717" s="10" t="s">
        <v>1019</v>
      </c>
      <c r="B717" s="10">
        <v>2</v>
      </c>
    </row>
    <row r="718" spans="1:2">
      <c r="A718" s="10" t="s">
        <v>1020</v>
      </c>
      <c r="B718" s="10">
        <v>2</v>
      </c>
    </row>
    <row r="719" spans="1:2">
      <c r="A719" s="10" t="s">
        <v>1021</v>
      </c>
      <c r="B719" s="10">
        <v>2</v>
      </c>
    </row>
    <row r="720" spans="1:2">
      <c r="A720" s="10" t="s">
        <v>1022</v>
      </c>
      <c r="B720" s="10">
        <v>2</v>
      </c>
    </row>
    <row r="721" spans="1:2">
      <c r="A721" s="10" t="s">
        <v>1023</v>
      </c>
      <c r="B721" s="10">
        <v>2</v>
      </c>
    </row>
    <row r="722" spans="1:2">
      <c r="A722" s="10" t="s">
        <v>1024</v>
      </c>
      <c r="B722" s="10">
        <v>2</v>
      </c>
    </row>
    <row r="723" spans="1:2">
      <c r="A723" s="10" t="s">
        <v>1025</v>
      </c>
      <c r="B723" s="10">
        <v>2</v>
      </c>
    </row>
    <row r="724" spans="1:2">
      <c r="A724" s="10" t="s">
        <v>1026</v>
      </c>
      <c r="B724" s="10">
        <v>2</v>
      </c>
    </row>
    <row r="725" spans="1:2">
      <c r="A725" s="10" t="s">
        <v>1027</v>
      </c>
      <c r="B725" s="10">
        <v>2</v>
      </c>
    </row>
    <row r="726" spans="1:2">
      <c r="A726" s="10" t="s">
        <v>1028</v>
      </c>
      <c r="B726" s="10">
        <v>2</v>
      </c>
    </row>
    <row r="727" spans="1:2">
      <c r="A727" s="10" t="s">
        <v>1029</v>
      </c>
      <c r="B727" s="10">
        <v>2</v>
      </c>
    </row>
    <row r="728" spans="1:2">
      <c r="A728" s="10" t="s">
        <v>1030</v>
      </c>
      <c r="B728" s="10">
        <v>2</v>
      </c>
    </row>
    <row r="729" spans="1:2">
      <c r="A729" s="10" t="s">
        <v>1031</v>
      </c>
      <c r="B729" s="10">
        <v>2</v>
      </c>
    </row>
    <row r="730" spans="1:2">
      <c r="A730" s="10" t="s">
        <v>1032</v>
      </c>
      <c r="B730" s="10">
        <v>2</v>
      </c>
    </row>
    <row r="731" spans="1:2">
      <c r="A731" s="10" t="s">
        <v>1033</v>
      </c>
      <c r="B731" s="10">
        <v>2</v>
      </c>
    </row>
    <row r="732" spans="1:2">
      <c r="A732" s="10" t="s">
        <v>1034</v>
      </c>
      <c r="B732" s="10">
        <v>2</v>
      </c>
    </row>
    <row r="733" spans="1:2">
      <c r="A733" s="10" t="s">
        <v>1035</v>
      </c>
      <c r="B733" s="10">
        <v>2</v>
      </c>
    </row>
    <row r="734" spans="1:2">
      <c r="A734" s="10" t="s">
        <v>1036</v>
      </c>
      <c r="B734" s="10">
        <v>2</v>
      </c>
    </row>
    <row r="735" spans="1:2">
      <c r="A735" s="10" t="s">
        <v>1037</v>
      </c>
      <c r="B735" s="10">
        <v>2</v>
      </c>
    </row>
    <row r="736" spans="1:2">
      <c r="A736" s="10" t="s">
        <v>1038</v>
      </c>
      <c r="B736" s="10">
        <v>2</v>
      </c>
    </row>
    <row r="737" spans="1:2">
      <c r="A737" s="10" t="s">
        <v>1039</v>
      </c>
      <c r="B737" s="10">
        <v>2</v>
      </c>
    </row>
    <row r="738" spans="1:2">
      <c r="A738" s="10" t="s">
        <v>1040</v>
      </c>
      <c r="B738" s="10">
        <v>2</v>
      </c>
    </row>
    <row r="739" spans="1:2">
      <c r="A739" s="10" t="s">
        <v>1041</v>
      </c>
      <c r="B739" s="10">
        <v>2</v>
      </c>
    </row>
    <row r="740" spans="1:2">
      <c r="A740" s="10" t="s">
        <v>1042</v>
      </c>
      <c r="B740" s="10">
        <v>2</v>
      </c>
    </row>
    <row r="741" spans="1:2">
      <c r="A741" s="10" t="s">
        <v>1043</v>
      </c>
      <c r="B741" s="10">
        <v>2</v>
      </c>
    </row>
    <row r="742" spans="1:2">
      <c r="A742" s="10" t="s">
        <v>1044</v>
      </c>
      <c r="B742" s="10">
        <v>2</v>
      </c>
    </row>
    <row r="743" spans="1:2">
      <c r="A743" s="10" t="s">
        <v>1045</v>
      </c>
      <c r="B743" s="10">
        <v>2</v>
      </c>
    </row>
    <row r="744" spans="1:2">
      <c r="A744" s="10" t="s">
        <v>1046</v>
      </c>
      <c r="B744" s="10">
        <v>2</v>
      </c>
    </row>
    <row r="745" spans="1:2">
      <c r="A745" s="10" t="s">
        <v>1047</v>
      </c>
      <c r="B745" s="10">
        <v>2</v>
      </c>
    </row>
    <row r="746" spans="1:2">
      <c r="A746" s="10" t="s">
        <v>1048</v>
      </c>
      <c r="B746" s="10">
        <v>2</v>
      </c>
    </row>
    <row r="747" spans="1:2">
      <c r="A747" s="10" t="s">
        <v>1049</v>
      </c>
      <c r="B747" s="10">
        <v>2</v>
      </c>
    </row>
    <row r="748" spans="1:2">
      <c r="A748" s="10" t="s">
        <v>1050</v>
      </c>
      <c r="B748" s="10">
        <v>2</v>
      </c>
    </row>
    <row r="749" spans="1:2">
      <c r="A749" s="10" t="s">
        <v>1051</v>
      </c>
      <c r="B749" s="10">
        <v>2</v>
      </c>
    </row>
    <row r="750" spans="1:2">
      <c r="A750" s="10" t="s">
        <v>1052</v>
      </c>
      <c r="B750" s="10">
        <v>2</v>
      </c>
    </row>
    <row r="751" spans="1:2">
      <c r="A751" s="10" t="s">
        <v>1053</v>
      </c>
      <c r="B751" s="10">
        <v>2</v>
      </c>
    </row>
    <row r="752" spans="1:2">
      <c r="A752" s="10" t="s">
        <v>1054</v>
      </c>
      <c r="B752" s="10">
        <v>2</v>
      </c>
    </row>
    <row r="753" spans="1:2">
      <c r="A753" s="10" t="s">
        <v>1055</v>
      </c>
      <c r="B753" s="10">
        <v>2</v>
      </c>
    </row>
    <row r="754" spans="1:2">
      <c r="A754" s="10" t="s">
        <v>1056</v>
      </c>
      <c r="B754" s="10">
        <v>2</v>
      </c>
    </row>
    <row r="755" spans="1:2">
      <c r="A755" s="10" t="s">
        <v>1057</v>
      </c>
      <c r="B755" s="10">
        <v>2</v>
      </c>
    </row>
    <row r="756" spans="1:2">
      <c r="A756" s="10" t="s">
        <v>1058</v>
      </c>
      <c r="B756" s="10">
        <v>2</v>
      </c>
    </row>
    <row r="757" spans="1:2">
      <c r="A757" s="10" t="s">
        <v>1059</v>
      </c>
      <c r="B757" s="10">
        <v>2</v>
      </c>
    </row>
    <row r="758" spans="1:2">
      <c r="A758" s="10" t="s">
        <v>1060</v>
      </c>
      <c r="B758" s="10">
        <v>2</v>
      </c>
    </row>
    <row r="759" spans="1:2">
      <c r="A759" s="10" t="s">
        <v>1061</v>
      </c>
      <c r="B759" s="10">
        <v>2</v>
      </c>
    </row>
    <row r="760" spans="1:2">
      <c r="A760" s="10" t="s">
        <v>1062</v>
      </c>
      <c r="B760" s="10">
        <v>2</v>
      </c>
    </row>
    <row r="761" spans="1:2">
      <c r="A761" s="10" t="s">
        <v>1063</v>
      </c>
      <c r="B761" s="10">
        <v>2</v>
      </c>
    </row>
    <row r="762" spans="1:2">
      <c r="A762" s="10" t="s">
        <v>1064</v>
      </c>
      <c r="B762" s="10">
        <v>2</v>
      </c>
    </row>
    <row r="763" spans="1:2">
      <c r="A763" s="10" t="s">
        <v>1065</v>
      </c>
      <c r="B763" s="10">
        <v>2</v>
      </c>
    </row>
    <row r="764" spans="1:2">
      <c r="A764" s="10" t="s">
        <v>1066</v>
      </c>
      <c r="B764" s="10">
        <v>2</v>
      </c>
    </row>
    <row r="765" spans="1:2">
      <c r="A765" s="10" t="s">
        <v>1067</v>
      </c>
      <c r="B765" s="10">
        <v>2</v>
      </c>
    </row>
    <row r="766" spans="1:2">
      <c r="A766" s="10" t="s">
        <v>1068</v>
      </c>
      <c r="B766" s="10">
        <v>2</v>
      </c>
    </row>
    <row r="767" spans="1:2">
      <c r="A767" s="10" t="s">
        <v>1069</v>
      </c>
      <c r="B767" s="10">
        <v>2</v>
      </c>
    </row>
    <row r="768" spans="1:2">
      <c r="A768" s="10" t="s">
        <v>1070</v>
      </c>
      <c r="B768" s="10">
        <v>2</v>
      </c>
    </row>
    <row r="769" spans="1:2">
      <c r="A769" s="10" t="s">
        <v>1071</v>
      </c>
      <c r="B769" s="10">
        <v>2</v>
      </c>
    </row>
    <row r="770" spans="1:2">
      <c r="A770" s="10" t="s">
        <v>1072</v>
      </c>
      <c r="B770" s="10">
        <v>2</v>
      </c>
    </row>
    <row r="771" spans="1:2">
      <c r="A771" s="10" t="s">
        <v>1073</v>
      </c>
      <c r="B771" s="10">
        <v>2</v>
      </c>
    </row>
    <row r="772" spans="1:2">
      <c r="A772" s="10" t="s">
        <v>1074</v>
      </c>
      <c r="B772" s="10">
        <v>2</v>
      </c>
    </row>
    <row r="773" spans="1:2">
      <c r="A773" s="10" t="s">
        <v>1075</v>
      </c>
      <c r="B773" s="10">
        <v>2</v>
      </c>
    </row>
    <row r="774" spans="1:2">
      <c r="A774" s="10" t="s">
        <v>1076</v>
      </c>
      <c r="B774" s="10">
        <v>2</v>
      </c>
    </row>
    <row r="775" spans="1:2">
      <c r="A775" s="10" t="s">
        <v>1077</v>
      </c>
      <c r="B775" s="10">
        <v>2</v>
      </c>
    </row>
    <row r="776" spans="1:2">
      <c r="A776" s="10" t="s">
        <v>1078</v>
      </c>
      <c r="B776" s="10">
        <v>2</v>
      </c>
    </row>
    <row r="777" spans="1:2">
      <c r="A777" s="10" t="s">
        <v>1079</v>
      </c>
      <c r="B777" s="10">
        <v>2</v>
      </c>
    </row>
    <row r="778" spans="1:2">
      <c r="A778" s="10" t="s">
        <v>1080</v>
      </c>
      <c r="B778" s="10">
        <v>2</v>
      </c>
    </row>
    <row r="779" spans="1:2">
      <c r="A779" s="10" t="s">
        <v>1081</v>
      </c>
      <c r="B779" s="10">
        <v>2</v>
      </c>
    </row>
    <row r="780" spans="1:2">
      <c r="A780" s="10" t="s">
        <v>1082</v>
      </c>
      <c r="B780" s="10">
        <v>2</v>
      </c>
    </row>
    <row r="781" spans="1:2">
      <c r="A781" s="10" t="s">
        <v>1083</v>
      </c>
      <c r="B781" s="10">
        <v>2</v>
      </c>
    </row>
    <row r="782" spans="1:2">
      <c r="A782" s="10" t="s">
        <v>1084</v>
      </c>
      <c r="B782" s="10">
        <v>2</v>
      </c>
    </row>
    <row r="783" spans="1:2">
      <c r="A783" s="10" t="s">
        <v>1085</v>
      </c>
      <c r="B783" s="10">
        <v>2</v>
      </c>
    </row>
    <row r="784" spans="1:2">
      <c r="A784" s="10" t="s">
        <v>1086</v>
      </c>
      <c r="B784" s="10">
        <v>2</v>
      </c>
    </row>
    <row r="785" spans="1:2">
      <c r="A785" s="10" t="s">
        <v>1087</v>
      </c>
      <c r="B785" s="10">
        <v>2</v>
      </c>
    </row>
    <row r="786" spans="1:2">
      <c r="A786" s="10" t="s">
        <v>1088</v>
      </c>
      <c r="B786" s="10">
        <v>2</v>
      </c>
    </row>
    <row r="787" spans="1:2">
      <c r="A787" s="10" t="s">
        <v>1089</v>
      </c>
      <c r="B787" s="10">
        <v>2</v>
      </c>
    </row>
    <row r="788" spans="1:2">
      <c r="A788" s="10" t="s">
        <v>1090</v>
      </c>
      <c r="B788" s="10">
        <v>2</v>
      </c>
    </row>
    <row r="789" spans="1:2">
      <c r="A789" s="10" t="s">
        <v>1091</v>
      </c>
      <c r="B789" s="10">
        <v>2</v>
      </c>
    </row>
    <row r="790" spans="1:2">
      <c r="A790" s="10" t="s">
        <v>1092</v>
      </c>
      <c r="B790" s="10">
        <v>2</v>
      </c>
    </row>
    <row r="791" spans="1:2">
      <c r="A791" s="10" t="s">
        <v>1093</v>
      </c>
      <c r="B791" s="10">
        <v>2</v>
      </c>
    </row>
    <row r="792" spans="1:2">
      <c r="A792" s="10" t="s">
        <v>1094</v>
      </c>
      <c r="B792" s="10">
        <v>2</v>
      </c>
    </row>
    <row r="793" spans="1:2">
      <c r="A793" s="10" t="s">
        <v>1095</v>
      </c>
      <c r="B793" s="10">
        <v>2</v>
      </c>
    </row>
    <row r="794" spans="1:2">
      <c r="A794" s="10" t="s">
        <v>1096</v>
      </c>
      <c r="B794" s="10">
        <v>2</v>
      </c>
    </row>
    <row r="795" spans="1:2">
      <c r="A795" s="10" t="s">
        <v>1097</v>
      </c>
      <c r="B795" s="10">
        <v>2</v>
      </c>
    </row>
    <row r="796" spans="1:2">
      <c r="A796" s="10" t="s">
        <v>1098</v>
      </c>
      <c r="B796" s="10">
        <v>2</v>
      </c>
    </row>
    <row r="797" spans="1:2">
      <c r="A797" s="10" t="s">
        <v>1099</v>
      </c>
      <c r="B797" s="10">
        <v>2</v>
      </c>
    </row>
    <row r="798" spans="1:2">
      <c r="A798" s="10" t="s">
        <v>1100</v>
      </c>
      <c r="B798" s="10">
        <v>2</v>
      </c>
    </row>
    <row r="799" spans="1:2">
      <c r="A799" s="10" t="s">
        <v>1101</v>
      </c>
      <c r="B799" s="10">
        <v>2</v>
      </c>
    </row>
    <row r="800" spans="1:2">
      <c r="A800" s="10" t="s">
        <v>1102</v>
      </c>
      <c r="B800" s="10">
        <v>2</v>
      </c>
    </row>
    <row r="801" spans="1:2">
      <c r="A801" s="10" t="s">
        <v>1103</v>
      </c>
      <c r="B801" s="10">
        <v>2</v>
      </c>
    </row>
    <row r="802" spans="1:2">
      <c r="A802" s="10" t="s">
        <v>1104</v>
      </c>
      <c r="B802" s="10">
        <v>2</v>
      </c>
    </row>
    <row r="803" spans="1:2">
      <c r="A803" s="10" t="s">
        <v>1105</v>
      </c>
      <c r="B803" s="10">
        <v>2</v>
      </c>
    </row>
    <row r="804" spans="1:2">
      <c r="A804" s="10" t="s">
        <v>1106</v>
      </c>
      <c r="B804" s="10">
        <v>2</v>
      </c>
    </row>
    <row r="805" spans="1:2">
      <c r="A805" s="10" t="s">
        <v>1107</v>
      </c>
      <c r="B805" s="10">
        <v>2</v>
      </c>
    </row>
    <row r="806" spans="1:2">
      <c r="A806" s="10" t="s">
        <v>1108</v>
      </c>
      <c r="B806" s="10">
        <v>2</v>
      </c>
    </row>
    <row r="807" spans="1:2">
      <c r="A807" s="10" t="s">
        <v>1109</v>
      </c>
      <c r="B807" s="10">
        <v>2</v>
      </c>
    </row>
    <row r="808" spans="1:2">
      <c r="A808" s="10" t="s">
        <v>1110</v>
      </c>
      <c r="B808" s="10">
        <v>2</v>
      </c>
    </row>
    <row r="809" spans="1:2">
      <c r="A809" s="10" t="s">
        <v>1111</v>
      </c>
      <c r="B809" s="10">
        <v>2</v>
      </c>
    </row>
    <row r="810" spans="1:2">
      <c r="A810" s="10" t="s">
        <v>1112</v>
      </c>
      <c r="B810" s="10">
        <v>2</v>
      </c>
    </row>
    <row r="811" spans="1:2">
      <c r="A811" s="10" t="s">
        <v>1113</v>
      </c>
      <c r="B811" s="10">
        <v>2</v>
      </c>
    </row>
    <row r="812" spans="1:2">
      <c r="A812" s="10" t="s">
        <v>1114</v>
      </c>
      <c r="B812" s="10">
        <v>2</v>
      </c>
    </row>
    <row r="813" spans="1:2">
      <c r="A813" s="10" t="s">
        <v>1115</v>
      </c>
      <c r="B813" s="10">
        <v>2</v>
      </c>
    </row>
    <row r="814" spans="1:2">
      <c r="A814" s="10" t="s">
        <v>1116</v>
      </c>
      <c r="B814" s="10">
        <v>2</v>
      </c>
    </row>
    <row r="815" spans="1:2">
      <c r="A815" s="10" t="s">
        <v>1117</v>
      </c>
      <c r="B815" s="10">
        <v>2</v>
      </c>
    </row>
    <row r="816" spans="1:2">
      <c r="A816" s="10" t="s">
        <v>1118</v>
      </c>
      <c r="B816" s="10">
        <v>2</v>
      </c>
    </row>
    <row r="817" spans="1:2">
      <c r="A817" s="10" t="s">
        <v>1119</v>
      </c>
      <c r="B817" s="10">
        <v>2</v>
      </c>
    </row>
    <row r="818" spans="1:2">
      <c r="A818" s="10" t="s">
        <v>1120</v>
      </c>
      <c r="B818" s="10">
        <v>2</v>
      </c>
    </row>
    <row r="819" spans="1:2">
      <c r="A819" s="10" t="s">
        <v>1121</v>
      </c>
      <c r="B819" s="10">
        <v>2</v>
      </c>
    </row>
    <row r="820" spans="1:2">
      <c r="A820" s="10" t="s">
        <v>1122</v>
      </c>
      <c r="B820" s="10">
        <v>2</v>
      </c>
    </row>
    <row r="821" spans="1:2">
      <c r="A821" s="10" t="s">
        <v>1123</v>
      </c>
      <c r="B821" s="10">
        <v>2</v>
      </c>
    </row>
    <row r="822" spans="1:2">
      <c r="A822" s="10" t="s">
        <v>1124</v>
      </c>
      <c r="B822" s="10">
        <v>2</v>
      </c>
    </row>
    <row r="823" spans="1:2">
      <c r="A823" s="10" t="s">
        <v>1125</v>
      </c>
      <c r="B823" s="10">
        <v>2</v>
      </c>
    </row>
    <row r="824" spans="1:2">
      <c r="A824" s="10" t="s">
        <v>1126</v>
      </c>
      <c r="B824" s="10">
        <v>2</v>
      </c>
    </row>
    <row r="825" spans="1:2">
      <c r="A825" s="10" t="s">
        <v>1127</v>
      </c>
      <c r="B825" s="10">
        <v>2</v>
      </c>
    </row>
    <row r="826" spans="1:2">
      <c r="A826" s="10" t="s">
        <v>1128</v>
      </c>
      <c r="B826" s="10">
        <v>2</v>
      </c>
    </row>
    <row r="827" spans="1:2">
      <c r="A827" s="10" t="s">
        <v>1129</v>
      </c>
      <c r="B827" s="10">
        <v>2</v>
      </c>
    </row>
    <row r="828" spans="1:2">
      <c r="A828" s="10" t="s">
        <v>1130</v>
      </c>
      <c r="B828" s="10">
        <v>2</v>
      </c>
    </row>
    <row r="829" spans="1:2">
      <c r="A829" s="10" t="s">
        <v>1131</v>
      </c>
      <c r="B829" s="10">
        <v>2</v>
      </c>
    </row>
    <row r="830" spans="1:2">
      <c r="A830" s="10" t="s">
        <v>1132</v>
      </c>
      <c r="B830" s="10">
        <v>2</v>
      </c>
    </row>
    <row r="831" spans="1:2">
      <c r="A831" s="10" t="s">
        <v>1133</v>
      </c>
      <c r="B831" s="10">
        <v>2</v>
      </c>
    </row>
    <row r="832" spans="1:2">
      <c r="A832" s="10" t="s">
        <v>1134</v>
      </c>
      <c r="B832" s="10">
        <v>2</v>
      </c>
    </row>
    <row r="833" spans="1:2">
      <c r="A833" s="10" t="s">
        <v>1135</v>
      </c>
      <c r="B833" s="10">
        <v>2</v>
      </c>
    </row>
    <row r="834" spans="1:2">
      <c r="A834" s="10" t="s">
        <v>1136</v>
      </c>
      <c r="B834" s="10">
        <v>2</v>
      </c>
    </row>
    <row r="835" spans="1:2">
      <c r="A835" s="10" t="s">
        <v>1137</v>
      </c>
      <c r="B835" s="10">
        <v>2</v>
      </c>
    </row>
    <row r="836" spans="1:2">
      <c r="A836" s="10" t="s">
        <v>1138</v>
      </c>
      <c r="B836" s="10">
        <v>2</v>
      </c>
    </row>
    <row r="837" spans="1:2">
      <c r="A837" s="10" t="s">
        <v>1139</v>
      </c>
      <c r="B837" s="10">
        <v>2</v>
      </c>
    </row>
    <row r="838" spans="1:2">
      <c r="A838" s="10" t="s">
        <v>1140</v>
      </c>
      <c r="B838" s="10">
        <v>2</v>
      </c>
    </row>
    <row r="839" spans="1:2">
      <c r="A839" s="10" t="s">
        <v>1141</v>
      </c>
      <c r="B839" s="10">
        <v>2</v>
      </c>
    </row>
    <row r="840" spans="1:2">
      <c r="A840" s="10" t="s">
        <v>1142</v>
      </c>
      <c r="B840" s="10">
        <v>2</v>
      </c>
    </row>
    <row r="841" spans="1:2">
      <c r="A841" s="10" t="s">
        <v>1143</v>
      </c>
      <c r="B841" s="10">
        <v>2</v>
      </c>
    </row>
    <row r="842" spans="1:2">
      <c r="A842" s="10" t="s">
        <v>1144</v>
      </c>
      <c r="B842" s="10">
        <v>2</v>
      </c>
    </row>
    <row r="843" spans="1:2">
      <c r="A843" s="10" t="s">
        <v>1145</v>
      </c>
      <c r="B843" s="10">
        <v>2</v>
      </c>
    </row>
    <row r="844" spans="1:2">
      <c r="A844" s="10" t="s">
        <v>1146</v>
      </c>
      <c r="B844" s="10">
        <v>2</v>
      </c>
    </row>
    <row r="845" spans="1:2">
      <c r="A845" s="10" t="s">
        <v>1147</v>
      </c>
      <c r="B845" s="10">
        <v>2</v>
      </c>
    </row>
    <row r="846" spans="1:2">
      <c r="A846" s="10" t="s">
        <v>1148</v>
      </c>
      <c r="B846" s="10">
        <v>2</v>
      </c>
    </row>
    <row r="847" spans="1:2">
      <c r="A847" s="10" t="s">
        <v>1149</v>
      </c>
      <c r="B847" s="10">
        <v>2</v>
      </c>
    </row>
    <row r="848" spans="1:2">
      <c r="A848" s="10" t="s">
        <v>1150</v>
      </c>
      <c r="B848" s="10">
        <v>2</v>
      </c>
    </row>
    <row r="849" spans="1:2">
      <c r="A849" s="10" t="s">
        <v>1151</v>
      </c>
      <c r="B849" s="10">
        <v>2</v>
      </c>
    </row>
    <row r="850" spans="1:2">
      <c r="A850" s="10" t="s">
        <v>1152</v>
      </c>
      <c r="B850" s="10">
        <v>2</v>
      </c>
    </row>
    <row r="851" spans="1:2">
      <c r="A851" s="10" t="s">
        <v>1153</v>
      </c>
      <c r="B851" s="10">
        <v>2</v>
      </c>
    </row>
    <row r="852" spans="1:2">
      <c r="A852" s="10" t="s">
        <v>1154</v>
      </c>
      <c r="B852" s="10">
        <v>2</v>
      </c>
    </row>
    <row r="853" spans="1:2">
      <c r="A853" s="10" t="s">
        <v>1155</v>
      </c>
      <c r="B853" s="10">
        <v>2</v>
      </c>
    </row>
    <row r="854" spans="1:2">
      <c r="A854" s="10" t="s">
        <v>1156</v>
      </c>
      <c r="B854" s="10">
        <v>2</v>
      </c>
    </row>
    <row r="855" spans="1:2">
      <c r="A855" s="10" t="s">
        <v>1157</v>
      </c>
      <c r="B855" s="10">
        <v>1</v>
      </c>
    </row>
    <row r="856" spans="1:2">
      <c r="A856" s="10" t="s">
        <v>1158</v>
      </c>
      <c r="B856" s="10">
        <v>1</v>
      </c>
    </row>
    <row r="857" spans="1:2">
      <c r="A857" s="10" t="s">
        <v>1159</v>
      </c>
      <c r="B857" s="10">
        <v>1</v>
      </c>
    </row>
    <row r="858" spans="1:2">
      <c r="A858" s="10" t="s">
        <v>1160</v>
      </c>
      <c r="B858" s="10">
        <v>1</v>
      </c>
    </row>
    <row r="859" spans="1:2">
      <c r="A859" s="10" t="s">
        <v>1161</v>
      </c>
      <c r="B859" s="10">
        <v>1</v>
      </c>
    </row>
    <row r="860" spans="1:2">
      <c r="A860" s="10" t="s">
        <v>1162</v>
      </c>
      <c r="B860" s="10">
        <v>1</v>
      </c>
    </row>
    <row r="861" spans="1:2">
      <c r="A861" s="10" t="s">
        <v>1163</v>
      </c>
      <c r="B861" s="10">
        <v>1</v>
      </c>
    </row>
    <row r="862" spans="1:2">
      <c r="A862" s="10" t="s">
        <v>1164</v>
      </c>
      <c r="B862" s="10">
        <v>1</v>
      </c>
    </row>
    <row r="863" spans="1:2">
      <c r="A863" s="10" t="s">
        <v>1165</v>
      </c>
      <c r="B863" s="10">
        <v>1</v>
      </c>
    </row>
    <row r="864" spans="1:2">
      <c r="A864" s="10" t="s">
        <v>1166</v>
      </c>
      <c r="B864" s="10">
        <v>1</v>
      </c>
    </row>
    <row r="865" spans="1:2">
      <c r="A865" s="10" t="s">
        <v>1167</v>
      </c>
      <c r="B865" s="10">
        <v>1</v>
      </c>
    </row>
    <row r="866" spans="1:2">
      <c r="A866" s="10" t="s">
        <v>1168</v>
      </c>
      <c r="B866" s="10">
        <v>1</v>
      </c>
    </row>
    <row r="867" spans="1:2">
      <c r="A867" s="10" t="s">
        <v>1169</v>
      </c>
      <c r="B867" s="10">
        <v>1</v>
      </c>
    </row>
    <row r="868" spans="1:2">
      <c r="A868" s="10" t="s">
        <v>1170</v>
      </c>
      <c r="B868" s="10">
        <v>1</v>
      </c>
    </row>
    <row r="869" spans="1:2">
      <c r="A869" s="10" t="s">
        <v>1171</v>
      </c>
      <c r="B869" s="10">
        <v>1</v>
      </c>
    </row>
    <row r="870" spans="1:2">
      <c r="A870" s="10" t="s">
        <v>1172</v>
      </c>
      <c r="B870" s="10">
        <v>1</v>
      </c>
    </row>
    <row r="871" spans="1:2">
      <c r="A871" s="10" t="s">
        <v>1173</v>
      </c>
      <c r="B871" s="10">
        <v>1</v>
      </c>
    </row>
    <row r="872" spans="1:2">
      <c r="A872" s="10" t="s">
        <v>1174</v>
      </c>
      <c r="B872" s="10">
        <v>1</v>
      </c>
    </row>
    <row r="873" spans="1:2">
      <c r="A873" s="10" t="s">
        <v>1175</v>
      </c>
      <c r="B873" s="10">
        <v>1</v>
      </c>
    </row>
    <row r="874" spans="1:2">
      <c r="A874" s="10" t="s">
        <v>1176</v>
      </c>
      <c r="B874" s="10">
        <v>1</v>
      </c>
    </row>
    <row r="875" spans="1:2">
      <c r="A875" s="10" t="s">
        <v>1177</v>
      </c>
      <c r="B875" s="10">
        <v>1</v>
      </c>
    </row>
    <row r="876" spans="1:2">
      <c r="A876" s="10" t="s">
        <v>1178</v>
      </c>
      <c r="B876" s="10">
        <v>1</v>
      </c>
    </row>
    <row r="877" spans="1:2">
      <c r="A877" s="10" t="s">
        <v>1179</v>
      </c>
      <c r="B877" s="10">
        <v>1</v>
      </c>
    </row>
    <row r="878" spans="1:2">
      <c r="A878" s="10" t="s">
        <v>1180</v>
      </c>
      <c r="B878" s="10">
        <v>1</v>
      </c>
    </row>
    <row r="879" spans="1:2">
      <c r="A879" s="10" t="s">
        <v>1181</v>
      </c>
      <c r="B879" s="10">
        <v>1</v>
      </c>
    </row>
    <row r="880" spans="1:2">
      <c r="A880" s="10" t="s">
        <v>1182</v>
      </c>
      <c r="B880" s="10">
        <v>1</v>
      </c>
    </row>
    <row r="881" spans="1:2">
      <c r="A881" s="10" t="s">
        <v>1183</v>
      </c>
      <c r="B881" s="10">
        <v>1</v>
      </c>
    </row>
    <row r="882" spans="1:2">
      <c r="A882" s="10" t="s">
        <v>1184</v>
      </c>
      <c r="B882" s="10">
        <v>1</v>
      </c>
    </row>
    <row r="883" spans="1:2">
      <c r="A883" s="10" t="s">
        <v>1185</v>
      </c>
      <c r="B883" s="10">
        <v>1</v>
      </c>
    </row>
    <row r="884" spans="1:2">
      <c r="A884" s="10" t="s">
        <v>1186</v>
      </c>
      <c r="B884" s="10">
        <v>1</v>
      </c>
    </row>
    <row r="885" spans="1:2">
      <c r="A885" s="10" t="s">
        <v>1187</v>
      </c>
      <c r="B885" s="10">
        <v>1</v>
      </c>
    </row>
    <row r="886" spans="1:2">
      <c r="A886" s="10" t="s">
        <v>1188</v>
      </c>
      <c r="B886" s="10">
        <v>1</v>
      </c>
    </row>
    <row r="887" spans="1:2">
      <c r="A887" s="10" t="s">
        <v>1189</v>
      </c>
      <c r="B887" s="10">
        <v>1</v>
      </c>
    </row>
    <row r="888" spans="1:2">
      <c r="A888" s="10" t="s">
        <v>1190</v>
      </c>
      <c r="B888" s="10">
        <v>1</v>
      </c>
    </row>
    <row r="889" spans="1:2">
      <c r="A889" s="10" t="s">
        <v>1191</v>
      </c>
      <c r="B889" s="10">
        <v>1</v>
      </c>
    </row>
    <row r="890" spans="1:2">
      <c r="A890" s="10" t="s">
        <v>1192</v>
      </c>
      <c r="B890" s="10">
        <v>1</v>
      </c>
    </row>
    <row r="891" spans="1:2">
      <c r="A891" s="10" t="s">
        <v>1193</v>
      </c>
      <c r="B891" s="10">
        <v>1</v>
      </c>
    </row>
    <row r="892" spans="1:2">
      <c r="A892" s="10" t="s">
        <v>1194</v>
      </c>
      <c r="B892" s="10">
        <v>1</v>
      </c>
    </row>
    <row r="893" spans="1:2">
      <c r="A893" s="10" t="s">
        <v>1195</v>
      </c>
      <c r="B893" s="10">
        <v>1</v>
      </c>
    </row>
    <row r="894" spans="1:2">
      <c r="A894" s="10" t="s">
        <v>1196</v>
      </c>
      <c r="B894" s="10">
        <v>1</v>
      </c>
    </row>
    <row r="895" spans="1:2">
      <c r="A895" s="10" t="s">
        <v>1197</v>
      </c>
      <c r="B895" s="10">
        <v>1</v>
      </c>
    </row>
    <row r="896" spans="1:2">
      <c r="A896" s="10" t="s">
        <v>1198</v>
      </c>
      <c r="B896" s="10">
        <v>1</v>
      </c>
    </row>
    <row r="897" spans="1:2">
      <c r="A897" s="10" t="s">
        <v>1199</v>
      </c>
      <c r="B897" s="10">
        <v>1</v>
      </c>
    </row>
    <row r="898" spans="1:2">
      <c r="A898" s="10" t="s">
        <v>1200</v>
      </c>
      <c r="B898" s="10">
        <v>1</v>
      </c>
    </row>
    <row r="899" spans="1:2">
      <c r="A899" s="10" t="s">
        <v>1201</v>
      </c>
      <c r="B899" s="10">
        <v>1</v>
      </c>
    </row>
    <row r="900" spans="1:2">
      <c r="A900" s="10" t="s">
        <v>1202</v>
      </c>
      <c r="B900" s="10">
        <v>1</v>
      </c>
    </row>
    <row r="901" spans="1:2">
      <c r="A901" s="10" t="s">
        <v>1203</v>
      </c>
      <c r="B901" s="10">
        <v>1</v>
      </c>
    </row>
    <row r="902" spans="1:2">
      <c r="A902" s="10" t="s">
        <v>1204</v>
      </c>
      <c r="B902" s="10">
        <v>1</v>
      </c>
    </row>
    <row r="903" spans="1:2">
      <c r="A903" s="10" t="s">
        <v>1205</v>
      </c>
      <c r="B903" s="10">
        <v>1</v>
      </c>
    </row>
    <row r="904" spans="1:2">
      <c r="A904" s="10" t="s">
        <v>1206</v>
      </c>
      <c r="B904" s="10">
        <v>1</v>
      </c>
    </row>
    <row r="905" spans="1:2">
      <c r="A905" s="10" t="s">
        <v>1207</v>
      </c>
      <c r="B905" s="10">
        <v>1</v>
      </c>
    </row>
    <row r="906" spans="1:2">
      <c r="A906" s="10" t="s">
        <v>1208</v>
      </c>
      <c r="B906" s="10">
        <v>1</v>
      </c>
    </row>
    <row r="907" spans="1:2">
      <c r="A907" s="10" t="s">
        <v>1209</v>
      </c>
      <c r="B907" s="10">
        <v>1</v>
      </c>
    </row>
    <row r="908" spans="1:2">
      <c r="A908" s="10" t="s">
        <v>1210</v>
      </c>
      <c r="B908" s="10">
        <v>1</v>
      </c>
    </row>
    <row r="909" spans="1:2">
      <c r="A909" s="10" t="s">
        <v>1211</v>
      </c>
      <c r="B909" s="10">
        <v>1</v>
      </c>
    </row>
    <row r="910" spans="1:2">
      <c r="A910" s="10" t="s">
        <v>1212</v>
      </c>
      <c r="B910" s="10">
        <v>1</v>
      </c>
    </row>
    <row r="911" spans="1:2">
      <c r="A911" s="10" t="s">
        <v>1213</v>
      </c>
      <c r="B911" s="10">
        <v>1</v>
      </c>
    </row>
    <row r="912" spans="1:2">
      <c r="A912" s="10" t="s">
        <v>1214</v>
      </c>
      <c r="B912" s="10">
        <v>1</v>
      </c>
    </row>
    <row r="913" spans="1:2">
      <c r="A913" s="10" t="s">
        <v>1215</v>
      </c>
      <c r="B913" s="10">
        <v>1</v>
      </c>
    </row>
    <row r="914" spans="1:2">
      <c r="A914" s="10" t="s">
        <v>1216</v>
      </c>
      <c r="B914" s="10">
        <v>1</v>
      </c>
    </row>
    <row r="915" spans="1:2">
      <c r="A915" s="10" t="s">
        <v>1217</v>
      </c>
      <c r="B915" s="10">
        <v>1</v>
      </c>
    </row>
    <row r="916" spans="1:2">
      <c r="A916" s="10" t="s">
        <v>1218</v>
      </c>
      <c r="B916" s="10">
        <v>1</v>
      </c>
    </row>
    <row r="917" spans="1:2">
      <c r="A917" s="10" t="s">
        <v>1219</v>
      </c>
      <c r="B917" s="10">
        <v>1</v>
      </c>
    </row>
    <row r="918" spans="1:2">
      <c r="A918" s="10" t="s">
        <v>1220</v>
      </c>
      <c r="B918" s="10">
        <v>1</v>
      </c>
    </row>
    <row r="919" spans="1:2">
      <c r="A919" s="10" t="s">
        <v>1221</v>
      </c>
      <c r="B919" s="10">
        <v>1</v>
      </c>
    </row>
    <row r="920" spans="1:2">
      <c r="A920" s="10" t="s">
        <v>1222</v>
      </c>
      <c r="B920" s="10">
        <v>1</v>
      </c>
    </row>
    <row r="921" spans="1:2">
      <c r="A921" s="10" t="s">
        <v>1223</v>
      </c>
      <c r="B921" s="10">
        <v>1</v>
      </c>
    </row>
    <row r="922" spans="1:2">
      <c r="A922" s="10" t="s">
        <v>1224</v>
      </c>
      <c r="B922" s="10">
        <v>1</v>
      </c>
    </row>
    <row r="923" spans="1:2">
      <c r="A923" s="10" t="s">
        <v>1225</v>
      </c>
      <c r="B923" s="10">
        <v>1</v>
      </c>
    </row>
    <row r="924" spans="1:2">
      <c r="A924" s="10" t="s">
        <v>1226</v>
      </c>
      <c r="B924" s="10">
        <v>1</v>
      </c>
    </row>
    <row r="925" spans="1:2">
      <c r="A925" s="10" t="s">
        <v>1227</v>
      </c>
      <c r="B925" s="10">
        <v>1</v>
      </c>
    </row>
    <row r="926" spans="1:2">
      <c r="A926" s="10" t="s">
        <v>1228</v>
      </c>
      <c r="B926" s="10">
        <v>1</v>
      </c>
    </row>
    <row r="927" spans="1:2">
      <c r="A927" s="10" t="s">
        <v>1229</v>
      </c>
      <c r="B927" s="10">
        <v>1</v>
      </c>
    </row>
    <row r="928" spans="1:2">
      <c r="A928" s="10" t="s">
        <v>1230</v>
      </c>
      <c r="B928" s="10">
        <v>1</v>
      </c>
    </row>
    <row r="929" spans="1:2">
      <c r="A929" s="10" t="s">
        <v>1231</v>
      </c>
      <c r="B929" s="10">
        <v>1</v>
      </c>
    </row>
    <row r="930" spans="1:2">
      <c r="A930" s="10" t="s">
        <v>1232</v>
      </c>
      <c r="B930" s="10">
        <v>1</v>
      </c>
    </row>
    <row r="931" spans="1:2">
      <c r="A931" s="10" t="s">
        <v>1233</v>
      </c>
      <c r="B931" s="10">
        <v>1</v>
      </c>
    </row>
    <row r="932" spans="1:2">
      <c r="A932" s="10" t="s">
        <v>1234</v>
      </c>
      <c r="B932" s="10">
        <v>1</v>
      </c>
    </row>
    <row r="933" spans="1:2">
      <c r="A933" s="10" t="s">
        <v>1235</v>
      </c>
      <c r="B933" s="10">
        <v>1</v>
      </c>
    </row>
    <row r="934" spans="1:2">
      <c r="A934" s="10" t="s">
        <v>1236</v>
      </c>
      <c r="B934" s="10">
        <v>1</v>
      </c>
    </row>
    <row r="935" spans="1:2">
      <c r="A935" s="10" t="s">
        <v>1237</v>
      </c>
      <c r="B935" s="10">
        <v>1</v>
      </c>
    </row>
    <row r="936" spans="1:2">
      <c r="A936" s="10" t="s">
        <v>1238</v>
      </c>
      <c r="B936" s="10">
        <v>1</v>
      </c>
    </row>
    <row r="937" spans="1:2">
      <c r="A937" s="10" t="s">
        <v>1239</v>
      </c>
      <c r="B937" s="10">
        <v>1</v>
      </c>
    </row>
    <row r="938" spans="1:2">
      <c r="A938" s="10" t="s">
        <v>1240</v>
      </c>
      <c r="B938" s="10">
        <v>1</v>
      </c>
    </row>
    <row r="939" spans="1:2">
      <c r="A939" s="10" t="s">
        <v>1241</v>
      </c>
      <c r="B939" s="10">
        <v>1</v>
      </c>
    </row>
    <row r="940" spans="1:2">
      <c r="A940" s="10" t="s">
        <v>1242</v>
      </c>
      <c r="B940" s="10">
        <v>1</v>
      </c>
    </row>
    <row r="941" spans="1:2">
      <c r="A941" s="10" t="s">
        <v>1243</v>
      </c>
      <c r="B941" s="10">
        <v>1</v>
      </c>
    </row>
    <row r="942" spans="1:2">
      <c r="A942" s="10" t="s">
        <v>1244</v>
      </c>
      <c r="B942" s="10">
        <v>1</v>
      </c>
    </row>
    <row r="943" spans="1:2">
      <c r="A943" s="10" t="s">
        <v>1245</v>
      </c>
      <c r="B943" s="10">
        <v>1</v>
      </c>
    </row>
    <row r="944" spans="1:2">
      <c r="A944" s="10" t="s">
        <v>1246</v>
      </c>
      <c r="B944" s="10">
        <v>1</v>
      </c>
    </row>
    <row r="945" spans="1:2">
      <c r="A945" s="10" t="s">
        <v>1247</v>
      </c>
      <c r="B945" s="10">
        <v>1</v>
      </c>
    </row>
    <row r="946" spans="1:2">
      <c r="A946" s="10" t="s">
        <v>1248</v>
      </c>
      <c r="B946" s="10">
        <v>1</v>
      </c>
    </row>
    <row r="947" spans="1:2">
      <c r="A947" s="10" t="s">
        <v>1249</v>
      </c>
      <c r="B947" s="10">
        <v>1</v>
      </c>
    </row>
    <row r="948" spans="1:2">
      <c r="A948" s="10" t="s">
        <v>1250</v>
      </c>
      <c r="B948" s="10">
        <v>1</v>
      </c>
    </row>
    <row r="949" spans="1:2">
      <c r="A949" s="10" t="s">
        <v>1251</v>
      </c>
      <c r="B949" s="10">
        <v>1</v>
      </c>
    </row>
    <row r="950" spans="1:2">
      <c r="A950" s="10" t="s">
        <v>1252</v>
      </c>
      <c r="B950" s="10">
        <v>1</v>
      </c>
    </row>
    <row r="951" spans="1:2">
      <c r="A951" s="10" t="s">
        <v>1253</v>
      </c>
      <c r="B951" s="10">
        <v>1</v>
      </c>
    </row>
    <row r="952" spans="1:2">
      <c r="A952" s="10" t="s">
        <v>1254</v>
      </c>
      <c r="B952" s="10">
        <v>1</v>
      </c>
    </row>
    <row r="953" spans="1:2">
      <c r="A953" s="10" t="s">
        <v>1255</v>
      </c>
      <c r="B953" s="10">
        <v>1</v>
      </c>
    </row>
    <row r="954" spans="1:2">
      <c r="A954" s="10" t="s">
        <v>1256</v>
      </c>
      <c r="B954" s="10">
        <v>1</v>
      </c>
    </row>
    <row r="955" spans="1:2">
      <c r="A955" s="10" t="s">
        <v>1257</v>
      </c>
      <c r="B955" s="10">
        <v>1</v>
      </c>
    </row>
    <row r="956" spans="1:2">
      <c r="A956" s="10" t="s">
        <v>1258</v>
      </c>
      <c r="B956" s="10">
        <v>1</v>
      </c>
    </row>
    <row r="957" spans="1:2">
      <c r="A957" s="10" t="s">
        <v>1259</v>
      </c>
      <c r="B957" s="10">
        <v>1</v>
      </c>
    </row>
    <row r="958" spans="1:2">
      <c r="A958" s="10" t="s">
        <v>1260</v>
      </c>
      <c r="B958" s="10">
        <v>1</v>
      </c>
    </row>
    <row r="959" spans="1:2">
      <c r="A959" s="10" t="s">
        <v>1261</v>
      </c>
      <c r="B959" s="10">
        <v>1</v>
      </c>
    </row>
    <row r="960" spans="1:2">
      <c r="A960" s="10" t="s">
        <v>1262</v>
      </c>
      <c r="B960" s="10">
        <v>1</v>
      </c>
    </row>
    <row r="961" spans="1:2">
      <c r="A961" s="10" t="s">
        <v>1263</v>
      </c>
      <c r="B961" s="10">
        <v>1</v>
      </c>
    </row>
    <row r="962" spans="1:2">
      <c r="A962" s="10" t="s">
        <v>1264</v>
      </c>
      <c r="B962" s="10">
        <v>1</v>
      </c>
    </row>
    <row r="963" spans="1:2">
      <c r="A963" s="10" t="s">
        <v>1265</v>
      </c>
      <c r="B963" s="10">
        <v>1</v>
      </c>
    </row>
    <row r="964" spans="1:2">
      <c r="A964" s="10" t="s">
        <v>1266</v>
      </c>
      <c r="B964" s="10">
        <v>1</v>
      </c>
    </row>
    <row r="965" spans="1:2">
      <c r="A965" s="10" t="s">
        <v>1267</v>
      </c>
      <c r="B965" s="10">
        <v>1</v>
      </c>
    </row>
    <row r="966" spans="1:2">
      <c r="A966" s="10" t="s">
        <v>1268</v>
      </c>
      <c r="B966" s="10">
        <v>1</v>
      </c>
    </row>
    <row r="967" spans="1:2">
      <c r="A967" s="10" t="s">
        <v>1269</v>
      </c>
      <c r="B967" s="10">
        <v>1</v>
      </c>
    </row>
    <row r="968" spans="1:2">
      <c r="A968" s="10" t="s">
        <v>1270</v>
      </c>
      <c r="B968" s="10">
        <v>1</v>
      </c>
    </row>
    <row r="969" spans="1:2">
      <c r="A969" s="10" t="s">
        <v>1271</v>
      </c>
      <c r="B969" s="10">
        <v>1</v>
      </c>
    </row>
    <row r="970" spans="1:2">
      <c r="A970" s="10" t="s">
        <v>1272</v>
      </c>
      <c r="B970" s="10">
        <v>1</v>
      </c>
    </row>
    <row r="971" spans="1:2">
      <c r="A971" s="10" t="s">
        <v>1273</v>
      </c>
      <c r="B971" s="10">
        <v>1</v>
      </c>
    </row>
    <row r="972" spans="1:2">
      <c r="A972" s="10" t="s">
        <v>1274</v>
      </c>
      <c r="B972" s="10">
        <v>1</v>
      </c>
    </row>
    <row r="973" spans="1:2">
      <c r="A973" s="10" t="s">
        <v>1275</v>
      </c>
      <c r="B973" s="10">
        <v>1</v>
      </c>
    </row>
    <row r="974" spans="1:2">
      <c r="A974" s="10" t="s">
        <v>1276</v>
      </c>
      <c r="B974" s="10">
        <v>1</v>
      </c>
    </row>
    <row r="975" spans="1:2">
      <c r="A975" s="10" t="s">
        <v>1277</v>
      </c>
      <c r="B975" s="10">
        <v>1</v>
      </c>
    </row>
    <row r="976" spans="1:2">
      <c r="A976" s="10" t="s">
        <v>1278</v>
      </c>
      <c r="B976" s="10">
        <v>1</v>
      </c>
    </row>
    <row r="977" spans="1:2">
      <c r="A977" s="10" t="s">
        <v>1279</v>
      </c>
      <c r="B977" s="10">
        <v>1</v>
      </c>
    </row>
    <row r="978" spans="1:2">
      <c r="A978" s="10" t="s">
        <v>1280</v>
      </c>
      <c r="B978" s="10">
        <v>1</v>
      </c>
    </row>
    <row r="979" spans="1:2">
      <c r="A979" s="10" t="s">
        <v>1281</v>
      </c>
      <c r="B979" s="10">
        <v>1</v>
      </c>
    </row>
    <row r="980" spans="1:2">
      <c r="A980" s="10" t="s">
        <v>1282</v>
      </c>
      <c r="B980" s="10">
        <v>1</v>
      </c>
    </row>
    <row r="981" spans="1:2">
      <c r="A981" s="10" t="s">
        <v>1283</v>
      </c>
      <c r="B981" s="10">
        <v>1</v>
      </c>
    </row>
    <row r="982" spans="1:2">
      <c r="A982" s="10" t="s">
        <v>1284</v>
      </c>
      <c r="B982" s="10">
        <v>1</v>
      </c>
    </row>
    <row r="983" spans="1:2">
      <c r="A983" s="10" t="s">
        <v>1285</v>
      </c>
      <c r="B983" s="10">
        <v>1</v>
      </c>
    </row>
    <row r="984" spans="1:2">
      <c r="A984" s="10" t="s">
        <v>1286</v>
      </c>
      <c r="B984" s="10">
        <v>1</v>
      </c>
    </row>
    <row r="985" spans="1:2">
      <c r="A985" s="10" t="s">
        <v>1287</v>
      </c>
      <c r="B985" s="10">
        <v>1</v>
      </c>
    </row>
    <row r="986" spans="1:2">
      <c r="A986" s="10" t="s">
        <v>1288</v>
      </c>
      <c r="B986" s="10">
        <v>1</v>
      </c>
    </row>
    <row r="987" spans="1:2">
      <c r="A987" s="10" t="s">
        <v>1289</v>
      </c>
      <c r="B987" s="10">
        <v>1</v>
      </c>
    </row>
    <row r="988" spans="1:2">
      <c r="A988" s="10" t="s">
        <v>1290</v>
      </c>
      <c r="B988" s="10">
        <v>1</v>
      </c>
    </row>
    <row r="989" spans="1:2">
      <c r="A989" s="10" t="s">
        <v>1291</v>
      </c>
      <c r="B989" s="10">
        <v>1</v>
      </c>
    </row>
    <row r="990" spans="1:2">
      <c r="A990" s="10" t="s">
        <v>1292</v>
      </c>
      <c r="B990" s="10">
        <v>1</v>
      </c>
    </row>
    <row r="991" spans="1:2">
      <c r="A991" s="10" t="s">
        <v>1293</v>
      </c>
      <c r="B991" s="10">
        <v>1</v>
      </c>
    </row>
    <row r="992" spans="1:2">
      <c r="A992" s="10" t="s">
        <v>1294</v>
      </c>
      <c r="B992" s="10">
        <v>1</v>
      </c>
    </row>
    <row r="993" spans="1:2">
      <c r="A993" s="10" t="s">
        <v>1295</v>
      </c>
      <c r="B993" s="10">
        <v>1</v>
      </c>
    </row>
    <row r="994" spans="1:2">
      <c r="A994" s="10" t="s">
        <v>1296</v>
      </c>
      <c r="B994" s="10">
        <v>1</v>
      </c>
    </row>
    <row r="995" spans="1:2">
      <c r="A995" s="10" t="s">
        <v>1297</v>
      </c>
      <c r="B995" s="10">
        <v>1</v>
      </c>
    </row>
    <row r="996" spans="1:2">
      <c r="A996" s="10" t="s">
        <v>1298</v>
      </c>
      <c r="B996" s="10">
        <v>1</v>
      </c>
    </row>
    <row r="997" spans="1:2">
      <c r="A997" s="10" t="s">
        <v>1299</v>
      </c>
      <c r="B997" s="10">
        <v>1</v>
      </c>
    </row>
    <row r="998" spans="1:2">
      <c r="A998" s="10" t="s">
        <v>1300</v>
      </c>
      <c r="B998" s="10">
        <v>1</v>
      </c>
    </row>
    <row r="999" spans="1:2">
      <c r="A999" s="10" t="s">
        <v>1301</v>
      </c>
      <c r="B999" s="10">
        <v>1</v>
      </c>
    </row>
    <row r="1000" spans="1:2">
      <c r="A1000" s="10" t="s">
        <v>1302</v>
      </c>
      <c r="B1000" s="10">
        <v>1</v>
      </c>
    </row>
    <row r="1001" spans="1:2">
      <c r="A1001" s="10" t="s">
        <v>1303</v>
      </c>
      <c r="B1001" s="10">
        <v>1</v>
      </c>
    </row>
    <row r="1002" spans="1:2">
      <c r="A1002" s="10" t="s">
        <v>1304</v>
      </c>
      <c r="B1002" s="10">
        <v>1</v>
      </c>
    </row>
    <row r="1003" spans="1:2">
      <c r="A1003" s="10" t="s">
        <v>1305</v>
      </c>
      <c r="B1003" s="10">
        <v>1</v>
      </c>
    </row>
    <row r="1004" spans="1:2">
      <c r="A1004" s="10" t="s">
        <v>1306</v>
      </c>
      <c r="B1004" s="10">
        <v>1</v>
      </c>
    </row>
    <row r="1005" spans="1:2">
      <c r="A1005" s="10" t="s">
        <v>1307</v>
      </c>
      <c r="B1005" s="10">
        <v>1</v>
      </c>
    </row>
    <row r="1006" spans="1:2">
      <c r="A1006" s="10" t="s">
        <v>1308</v>
      </c>
      <c r="B1006" s="10">
        <v>1</v>
      </c>
    </row>
    <row r="1007" spans="1:2">
      <c r="A1007" s="10" t="s">
        <v>1309</v>
      </c>
      <c r="B1007" s="10">
        <v>1</v>
      </c>
    </row>
    <row r="1008" spans="1:2">
      <c r="A1008" s="10" t="s">
        <v>1310</v>
      </c>
      <c r="B1008" s="10">
        <v>1</v>
      </c>
    </row>
    <row r="1009" spans="1:2">
      <c r="A1009" s="10" t="s">
        <v>1311</v>
      </c>
      <c r="B1009" s="10">
        <v>1</v>
      </c>
    </row>
    <row r="1010" spans="1:2">
      <c r="A1010" s="10" t="s">
        <v>1312</v>
      </c>
      <c r="B1010" s="10">
        <v>1</v>
      </c>
    </row>
    <row r="1011" spans="1:2">
      <c r="A1011" s="10" t="s">
        <v>1313</v>
      </c>
      <c r="B1011" s="10">
        <v>1</v>
      </c>
    </row>
    <row r="1012" spans="1:2">
      <c r="A1012" s="10" t="s">
        <v>1314</v>
      </c>
      <c r="B1012" s="10">
        <v>1</v>
      </c>
    </row>
    <row r="1013" spans="1:2">
      <c r="A1013" s="10" t="s">
        <v>1315</v>
      </c>
      <c r="B1013" s="10">
        <v>1</v>
      </c>
    </row>
    <row r="1014" spans="1:2">
      <c r="A1014" s="10" t="s">
        <v>1316</v>
      </c>
      <c r="B1014" s="10">
        <v>1</v>
      </c>
    </row>
    <row r="1015" spans="1:2">
      <c r="A1015" s="10" t="s">
        <v>1317</v>
      </c>
      <c r="B1015" s="10">
        <v>1</v>
      </c>
    </row>
    <row r="1016" spans="1:2">
      <c r="A1016" s="10" t="s">
        <v>1318</v>
      </c>
      <c r="B1016" s="10">
        <v>1</v>
      </c>
    </row>
    <row r="1017" spans="1:2">
      <c r="A1017" s="10" t="s">
        <v>1319</v>
      </c>
      <c r="B1017" s="10">
        <v>1</v>
      </c>
    </row>
    <row r="1018" spans="1:2">
      <c r="A1018" s="10" t="s">
        <v>1320</v>
      </c>
      <c r="B1018" s="10">
        <v>1</v>
      </c>
    </row>
    <row r="1019" spans="1:2">
      <c r="A1019" s="10" t="s">
        <v>1321</v>
      </c>
      <c r="B1019" s="10">
        <v>1</v>
      </c>
    </row>
    <row r="1020" spans="1:2">
      <c r="A1020" s="10" t="s">
        <v>1322</v>
      </c>
      <c r="B1020" s="10">
        <v>1</v>
      </c>
    </row>
    <row r="1021" spans="1:2">
      <c r="A1021" s="10" t="s">
        <v>1323</v>
      </c>
      <c r="B1021" s="10">
        <v>1</v>
      </c>
    </row>
    <row r="1022" spans="1:2">
      <c r="A1022" s="10" t="s">
        <v>1324</v>
      </c>
      <c r="B1022" s="10">
        <v>1</v>
      </c>
    </row>
    <row r="1023" spans="1:2">
      <c r="A1023" s="10" t="s">
        <v>1325</v>
      </c>
      <c r="B1023" s="10">
        <v>1</v>
      </c>
    </row>
    <row r="1024" spans="1:2">
      <c r="A1024" s="10" t="s">
        <v>1326</v>
      </c>
      <c r="B1024" s="10">
        <v>1</v>
      </c>
    </row>
    <row r="1025" spans="1:2">
      <c r="A1025" s="10" t="s">
        <v>1327</v>
      </c>
      <c r="B1025" s="10">
        <v>1</v>
      </c>
    </row>
    <row r="1026" spans="1:2">
      <c r="A1026" s="10" t="s">
        <v>1328</v>
      </c>
      <c r="B1026" s="10">
        <v>1</v>
      </c>
    </row>
    <row r="1027" spans="1:2">
      <c r="A1027" s="10" t="s">
        <v>1329</v>
      </c>
      <c r="B1027" s="10">
        <v>1</v>
      </c>
    </row>
    <row r="1028" spans="1:2">
      <c r="A1028" s="10" t="s">
        <v>1330</v>
      </c>
      <c r="B1028" s="10">
        <v>1</v>
      </c>
    </row>
    <row r="1029" spans="1:2">
      <c r="A1029" s="10" t="s">
        <v>1331</v>
      </c>
      <c r="B1029" s="10">
        <v>1</v>
      </c>
    </row>
    <row r="1030" spans="1:2">
      <c r="A1030" s="10" t="s">
        <v>1332</v>
      </c>
      <c r="B1030" s="10">
        <v>1</v>
      </c>
    </row>
    <row r="1031" spans="1:2">
      <c r="A1031" s="10" t="s">
        <v>1333</v>
      </c>
      <c r="B1031" s="10">
        <v>1</v>
      </c>
    </row>
    <row r="1032" spans="1:2">
      <c r="A1032" s="10" t="s">
        <v>1334</v>
      </c>
      <c r="B1032" s="10">
        <v>1</v>
      </c>
    </row>
    <row r="1033" spans="1:2">
      <c r="A1033" s="10" t="s">
        <v>1335</v>
      </c>
      <c r="B1033" s="10">
        <v>1</v>
      </c>
    </row>
    <row r="1034" spans="1:2">
      <c r="A1034" s="10" t="s">
        <v>1336</v>
      </c>
      <c r="B1034" s="10">
        <v>1</v>
      </c>
    </row>
    <row r="1035" spans="1:2">
      <c r="A1035" s="10" t="s">
        <v>1337</v>
      </c>
      <c r="B1035" s="10">
        <v>1</v>
      </c>
    </row>
    <row r="1036" spans="1:2">
      <c r="A1036" s="10" t="s">
        <v>1338</v>
      </c>
      <c r="B1036" s="10">
        <v>1</v>
      </c>
    </row>
    <row r="1037" spans="1:2">
      <c r="A1037" s="10" t="s">
        <v>1339</v>
      </c>
      <c r="B1037" s="10">
        <v>1</v>
      </c>
    </row>
    <row r="1038" spans="1:2">
      <c r="A1038" s="10" t="s">
        <v>1340</v>
      </c>
      <c r="B1038" s="10">
        <v>1</v>
      </c>
    </row>
    <row r="1039" spans="1:2">
      <c r="A1039" s="10" t="s">
        <v>1341</v>
      </c>
      <c r="B1039" s="10">
        <v>1</v>
      </c>
    </row>
    <row r="1040" spans="1:2">
      <c r="A1040" s="10" t="s">
        <v>1342</v>
      </c>
      <c r="B1040" s="10">
        <v>1</v>
      </c>
    </row>
    <row r="1041" spans="1:2">
      <c r="A1041" s="10" t="s">
        <v>1343</v>
      </c>
      <c r="B1041" s="10">
        <v>1</v>
      </c>
    </row>
    <row r="1042" spans="1:2">
      <c r="A1042" s="10" t="s">
        <v>1344</v>
      </c>
      <c r="B1042" s="10">
        <v>1</v>
      </c>
    </row>
    <row r="1043" spans="1:2">
      <c r="A1043" s="10" t="s">
        <v>1345</v>
      </c>
      <c r="B1043" s="10">
        <v>1</v>
      </c>
    </row>
    <row r="1044" spans="1:2">
      <c r="A1044" s="10" t="s">
        <v>1346</v>
      </c>
      <c r="B1044" s="10">
        <v>1</v>
      </c>
    </row>
    <row r="1045" spans="1:2">
      <c r="A1045" s="10" t="s">
        <v>1347</v>
      </c>
      <c r="B1045" s="10">
        <v>1</v>
      </c>
    </row>
    <row r="1046" spans="1:2">
      <c r="A1046" s="10" t="s">
        <v>1348</v>
      </c>
      <c r="B1046" s="10">
        <v>1</v>
      </c>
    </row>
    <row r="1047" spans="1:2">
      <c r="A1047" s="10" t="s">
        <v>1349</v>
      </c>
      <c r="B1047" s="10">
        <v>1</v>
      </c>
    </row>
    <row r="1048" spans="1:2">
      <c r="A1048" s="10" t="s">
        <v>1350</v>
      </c>
      <c r="B1048" s="10">
        <v>1</v>
      </c>
    </row>
    <row r="1049" spans="1:2">
      <c r="A1049" s="10" t="s">
        <v>1351</v>
      </c>
      <c r="B1049" s="10">
        <v>1</v>
      </c>
    </row>
    <row r="1050" spans="1:2">
      <c r="A1050" s="10" t="s">
        <v>1352</v>
      </c>
      <c r="B1050" s="10">
        <v>1</v>
      </c>
    </row>
    <row r="1051" spans="1:2">
      <c r="A1051" s="10" t="s">
        <v>1353</v>
      </c>
      <c r="B1051" s="10">
        <v>1</v>
      </c>
    </row>
    <row r="1052" spans="1:2">
      <c r="A1052" s="10" t="s">
        <v>1354</v>
      </c>
      <c r="B1052" s="10">
        <v>1</v>
      </c>
    </row>
    <row r="1053" spans="1:2">
      <c r="A1053" s="10" t="s">
        <v>1355</v>
      </c>
      <c r="B1053" s="10">
        <v>1</v>
      </c>
    </row>
    <row r="1054" spans="1:2">
      <c r="A1054" s="10" t="s">
        <v>1356</v>
      </c>
      <c r="B1054" s="10">
        <v>1</v>
      </c>
    </row>
    <row r="1055" spans="1:2">
      <c r="A1055" s="10" t="s">
        <v>1357</v>
      </c>
      <c r="B1055" s="10">
        <v>1</v>
      </c>
    </row>
    <row r="1056" spans="1:2">
      <c r="A1056" s="10" t="s">
        <v>1358</v>
      </c>
      <c r="B1056" s="10">
        <v>1</v>
      </c>
    </row>
    <row r="1057" spans="1:2">
      <c r="A1057" s="10" t="s">
        <v>1359</v>
      </c>
      <c r="B1057" s="10">
        <v>1</v>
      </c>
    </row>
    <row r="1058" spans="1:2">
      <c r="A1058" s="10" t="s">
        <v>1360</v>
      </c>
      <c r="B1058" s="10">
        <v>1</v>
      </c>
    </row>
    <row r="1059" spans="1:2">
      <c r="A1059" s="10" t="s">
        <v>1361</v>
      </c>
      <c r="B1059" s="10">
        <v>1</v>
      </c>
    </row>
    <row r="1060" spans="1:2">
      <c r="A1060" s="10" t="s">
        <v>1362</v>
      </c>
      <c r="B1060" s="10">
        <v>1</v>
      </c>
    </row>
    <row r="1061" spans="1:2">
      <c r="A1061" s="10" t="s">
        <v>1363</v>
      </c>
      <c r="B1061" s="10">
        <v>1</v>
      </c>
    </row>
    <row r="1062" spans="1:2">
      <c r="A1062" s="10" t="s">
        <v>1364</v>
      </c>
      <c r="B1062" s="10">
        <v>1</v>
      </c>
    </row>
    <row r="1063" spans="1:2">
      <c r="A1063" s="10" t="s">
        <v>1365</v>
      </c>
      <c r="B1063" s="10">
        <v>1</v>
      </c>
    </row>
    <row r="1064" spans="1:2">
      <c r="A1064" s="10" t="s">
        <v>1366</v>
      </c>
      <c r="B1064" s="10">
        <v>1</v>
      </c>
    </row>
    <row r="1065" spans="1:2">
      <c r="A1065" s="10" t="s">
        <v>1367</v>
      </c>
      <c r="B1065" s="10">
        <v>1</v>
      </c>
    </row>
    <row r="1066" spans="1:2">
      <c r="A1066" s="10" t="s">
        <v>1368</v>
      </c>
      <c r="B1066" s="10">
        <v>1</v>
      </c>
    </row>
    <row r="1067" spans="1:2">
      <c r="A1067" s="10" t="s">
        <v>1369</v>
      </c>
      <c r="B1067" s="10">
        <v>1</v>
      </c>
    </row>
    <row r="1068" spans="1:2">
      <c r="A1068" s="10" t="s">
        <v>1370</v>
      </c>
      <c r="B1068" s="10">
        <v>1</v>
      </c>
    </row>
    <row r="1069" spans="1:2">
      <c r="A1069" s="10" t="s">
        <v>1371</v>
      </c>
      <c r="B1069" s="10">
        <v>1</v>
      </c>
    </row>
    <row r="1070" spans="1:2">
      <c r="A1070" s="10" t="s">
        <v>1372</v>
      </c>
      <c r="B1070" s="10">
        <v>1</v>
      </c>
    </row>
    <row r="1071" spans="1:2">
      <c r="A1071" s="10" t="s">
        <v>1373</v>
      </c>
      <c r="B1071" s="10">
        <v>1</v>
      </c>
    </row>
    <row r="1072" spans="1:2">
      <c r="A1072" s="10" t="s">
        <v>1374</v>
      </c>
      <c r="B1072" s="10">
        <v>1</v>
      </c>
    </row>
    <row r="1073" spans="1:2">
      <c r="A1073" s="10" t="s">
        <v>1375</v>
      </c>
      <c r="B1073" s="10">
        <v>1</v>
      </c>
    </row>
    <row r="1074" spans="1:2">
      <c r="A1074" s="10" t="s">
        <v>1376</v>
      </c>
      <c r="B1074" s="10">
        <v>1</v>
      </c>
    </row>
    <row r="1075" spans="1:2">
      <c r="A1075" s="10" t="s">
        <v>1377</v>
      </c>
      <c r="B1075" s="10">
        <v>1</v>
      </c>
    </row>
    <row r="1076" spans="1:2">
      <c r="A1076" s="10" t="s">
        <v>1378</v>
      </c>
      <c r="B1076" s="10">
        <v>1</v>
      </c>
    </row>
    <row r="1077" spans="1:2">
      <c r="A1077" s="10" t="s">
        <v>1379</v>
      </c>
      <c r="B1077" s="10">
        <v>1</v>
      </c>
    </row>
    <row r="1078" spans="1:2">
      <c r="A1078" s="10" t="s">
        <v>1380</v>
      </c>
      <c r="B1078" s="10">
        <v>1</v>
      </c>
    </row>
    <row r="1079" spans="1:2">
      <c r="A1079" s="10" t="s">
        <v>1381</v>
      </c>
      <c r="B1079" s="10">
        <v>1</v>
      </c>
    </row>
    <row r="1080" spans="1:2">
      <c r="A1080" s="10" t="s">
        <v>1382</v>
      </c>
      <c r="B1080" s="10">
        <v>1</v>
      </c>
    </row>
    <row r="1081" spans="1:2">
      <c r="A1081" s="10" t="s">
        <v>1383</v>
      </c>
      <c r="B1081" s="10">
        <v>1</v>
      </c>
    </row>
    <row r="1082" spans="1:2">
      <c r="A1082" s="10" t="s">
        <v>1384</v>
      </c>
      <c r="B1082" s="10">
        <v>1</v>
      </c>
    </row>
    <row r="1083" spans="1:2">
      <c r="A1083" s="10" t="s">
        <v>1385</v>
      </c>
      <c r="B1083" s="10">
        <v>1</v>
      </c>
    </row>
    <row r="1084" spans="1:2">
      <c r="A1084" s="10" t="s">
        <v>1386</v>
      </c>
      <c r="B1084" s="10">
        <v>1</v>
      </c>
    </row>
    <row r="1085" spans="1:2">
      <c r="A1085" s="10" t="s">
        <v>1387</v>
      </c>
      <c r="B1085" s="10">
        <v>1</v>
      </c>
    </row>
    <row r="1086" spans="1:2">
      <c r="A1086" s="10" t="s">
        <v>1388</v>
      </c>
      <c r="B1086" s="10">
        <v>1</v>
      </c>
    </row>
    <row r="1087" spans="1:2">
      <c r="A1087" s="10" t="s">
        <v>1389</v>
      </c>
      <c r="B1087" s="10">
        <v>1</v>
      </c>
    </row>
    <row r="1088" spans="1:2">
      <c r="A1088" s="10" t="s">
        <v>1390</v>
      </c>
      <c r="B1088" s="10">
        <v>1</v>
      </c>
    </row>
    <row r="1089" spans="1:2">
      <c r="A1089" s="10" t="s">
        <v>1391</v>
      </c>
      <c r="B1089" s="10">
        <v>1</v>
      </c>
    </row>
    <row r="1090" spans="1:2">
      <c r="A1090" s="10" t="s">
        <v>1392</v>
      </c>
      <c r="B1090" s="10">
        <v>1</v>
      </c>
    </row>
    <row r="1091" spans="1:2">
      <c r="A1091" s="10" t="s">
        <v>1393</v>
      </c>
      <c r="B1091" s="10">
        <v>1</v>
      </c>
    </row>
    <row r="1092" spans="1:2">
      <c r="A1092" s="10" t="s">
        <v>1394</v>
      </c>
      <c r="B1092" s="10">
        <v>1</v>
      </c>
    </row>
    <row r="1093" spans="1:2">
      <c r="A1093" s="10" t="s">
        <v>1395</v>
      </c>
      <c r="B1093" s="10">
        <v>1</v>
      </c>
    </row>
    <row r="1094" spans="1:2">
      <c r="A1094" s="10" t="s">
        <v>1396</v>
      </c>
      <c r="B1094" s="10">
        <v>1</v>
      </c>
    </row>
    <row r="1095" spans="1:2">
      <c r="A1095" s="10" t="s">
        <v>1397</v>
      </c>
      <c r="B1095" s="10">
        <v>1</v>
      </c>
    </row>
    <row r="1096" spans="1:2">
      <c r="A1096" s="10" t="s">
        <v>1398</v>
      </c>
      <c r="B1096" s="10">
        <v>1</v>
      </c>
    </row>
    <row r="1097" spans="1:2">
      <c r="A1097" s="10" t="s">
        <v>1399</v>
      </c>
      <c r="B1097" s="10">
        <v>1</v>
      </c>
    </row>
    <row r="1098" spans="1:2">
      <c r="A1098" s="10" t="s">
        <v>1400</v>
      </c>
      <c r="B1098" s="10">
        <v>1</v>
      </c>
    </row>
    <row r="1099" spans="1:2">
      <c r="A1099" s="10" t="s">
        <v>1401</v>
      </c>
      <c r="B1099" s="10">
        <v>1</v>
      </c>
    </row>
    <row r="1100" spans="1:2">
      <c r="A1100" s="10" t="s">
        <v>1402</v>
      </c>
      <c r="B1100" s="10">
        <v>1</v>
      </c>
    </row>
    <row r="1101" spans="1:2">
      <c r="A1101" s="10" t="s">
        <v>1403</v>
      </c>
      <c r="B1101" s="10">
        <v>1</v>
      </c>
    </row>
    <row r="1102" spans="1:2">
      <c r="A1102" s="10" t="s">
        <v>1404</v>
      </c>
      <c r="B1102" s="10">
        <v>1</v>
      </c>
    </row>
    <row r="1103" spans="1:2">
      <c r="A1103" s="10" t="s">
        <v>1405</v>
      </c>
      <c r="B1103" s="10">
        <v>1</v>
      </c>
    </row>
    <row r="1104" spans="1:2">
      <c r="A1104" s="10" t="s">
        <v>1406</v>
      </c>
      <c r="B1104" s="10">
        <v>1</v>
      </c>
    </row>
    <row r="1105" spans="1:2">
      <c r="A1105" s="10" t="s">
        <v>1407</v>
      </c>
      <c r="B1105" s="10">
        <v>1</v>
      </c>
    </row>
    <row r="1106" spans="1:2">
      <c r="A1106" s="10" t="s">
        <v>1408</v>
      </c>
      <c r="B1106" s="10">
        <v>1</v>
      </c>
    </row>
    <row r="1107" spans="1:2">
      <c r="A1107" s="10" t="s">
        <v>1409</v>
      </c>
      <c r="B1107" s="10">
        <v>1</v>
      </c>
    </row>
    <row r="1108" spans="1:2">
      <c r="A1108" s="10" t="s">
        <v>1410</v>
      </c>
      <c r="B1108" s="10">
        <v>1</v>
      </c>
    </row>
    <row r="1109" spans="1:2">
      <c r="A1109" s="10" t="s">
        <v>1411</v>
      </c>
      <c r="B1109" s="10">
        <v>1</v>
      </c>
    </row>
    <row r="1110" spans="1:2">
      <c r="A1110" s="10" t="s">
        <v>1412</v>
      </c>
      <c r="B1110" s="10">
        <v>1</v>
      </c>
    </row>
    <row r="1111" spans="1:2">
      <c r="A1111" s="10" t="s">
        <v>1413</v>
      </c>
      <c r="B1111" s="10">
        <v>1</v>
      </c>
    </row>
    <row r="1112" spans="1:2">
      <c r="A1112" s="10" t="s">
        <v>1414</v>
      </c>
      <c r="B1112" s="10">
        <v>1</v>
      </c>
    </row>
    <row r="1113" spans="1:2">
      <c r="A1113" s="10" t="s">
        <v>1415</v>
      </c>
      <c r="B1113" s="10">
        <v>1</v>
      </c>
    </row>
    <row r="1114" spans="1:2">
      <c r="A1114" s="10" t="s">
        <v>1416</v>
      </c>
      <c r="B1114" s="10">
        <v>1</v>
      </c>
    </row>
    <row r="1115" spans="1:2">
      <c r="A1115" s="10" t="s">
        <v>1417</v>
      </c>
      <c r="B1115" s="10">
        <v>1</v>
      </c>
    </row>
    <row r="1116" spans="1:2">
      <c r="A1116" s="10" t="s">
        <v>1418</v>
      </c>
      <c r="B1116" s="10">
        <v>1</v>
      </c>
    </row>
    <row r="1117" spans="1:2">
      <c r="A1117" s="10" t="s">
        <v>1419</v>
      </c>
      <c r="B1117" s="10">
        <v>1</v>
      </c>
    </row>
    <row r="1118" spans="1:2">
      <c r="A1118" s="10" t="s">
        <v>1420</v>
      </c>
      <c r="B1118" s="10">
        <v>1</v>
      </c>
    </row>
    <row r="1119" spans="1:2">
      <c r="A1119" s="10" t="s">
        <v>1421</v>
      </c>
      <c r="B1119" s="10">
        <v>1</v>
      </c>
    </row>
    <row r="1120" spans="1:2">
      <c r="A1120" s="10" t="s">
        <v>1422</v>
      </c>
      <c r="B1120" s="10">
        <v>1</v>
      </c>
    </row>
    <row r="1121" spans="1:2">
      <c r="A1121" s="10" t="s">
        <v>1423</v>
      </c>
      <c r="B1121" s="10">
        <v>1</v>
      </c>
    </row>
    <row r="1122" spans="1:2">
      <c r="A1122" s="10" t="s">
        <v>1424</v>
      </c>
      <c r="B1122" s="10">
        <v>1</v>
      </c>
    </row>
    <row r="1123" spans="1:2">
      <c r="A1123" s="10" t="s">
        <v>1425</v>
      </c>
      <c r="B1123" s="10">
        <v>1</v>
      </c>
    </row>
    <row r="1124" spans="1:2">
      <c r="A1124" s="10" t="s">
        <v>1426</v>
      </c>
      <c r="B1124" s="10">
        <v>1</v>
      </c>
    </row>
    <row r="1125" spans="1:2">
      <c r="A1125" s="10" t="s">
        <v>1427</v>
      </c>
      <c r="B1125" s="10">
        <v>1</v>
      </c>
    </row>
    <row r="1126" spans="1:2">
      <c r="A1126" s="10" t="s">
        <v>1428</v>
      </c>
      <c r="B1126" s="10">
        <v>1</v>
      </c>
    </row>
    <row r="1127" spans="1:2">
      <c r="A1127" s="10" t="s">
        <v>1429</v>
      </c>
      <c r="B1127" s="10">
        <v>1</v>
      </c>
    </row>
    <row r="1128" spans="1:2">
      <c r="A1128" s="10" t="s">
        <v>1430</v>
      </c>
      <c r="B1128" s="10">
        <v>1</v>
      </c>
    </row>
    <row r="1129" spans="1:2">
      <c r="A1129" s="10" t="s">
        <v>1431</v>
      </c>
      <c r="B1129" s="10">
        <v>1</v>
      </c>
    </row>
    <row r="1130" spans="1:2">
      <c r="A1130" s="10" t="s">
        <v>1432</v>
      </c>
      <c r="B1130" s="10">
        <v>1</v>
      </c>
    </row>
    <row r="1131" spans="1:2">
      <c r="A1131" s="10" t="s">
        <v>1433</v>
      </c>
      <c r="B1131" s="10">
        <v>1</v>
      </c>
    </row>
    <row r="1132" spans="1:2">
      <c r="A1132" s="10" t="s">
        <v>1434</v>
      </c>
      <c r="B1132" s="10">
        <v>1</v>
      </c>
    </row>
    <row r="1133" spans="1:2">
      <c r="A1133" s="10" t="s">
        <v>1435</v>
      </c>
      <c r="B1133" s="10">
        <v>1</v>
      </c>
    </row>
    <row r="1134" spans="1:2">
      <c r="A1134" s="10" t="s">
        <v>1436</v>
      </c>
      <c r="B1134" s="10">
        <v>1</v>
      </c>
    </row>
    <row r="1135" spans="1:2">
      <c r="A1135" s="10" t="s">
        <v>1437</v>
      </c>
      <c r="B1135" s="10">
        <v>1</v>
      </c>
    </row>
    <row r="1136" spans="1:2">
      <c r="A1136" s="10" t="s">
        <v>1438</v>
      </c>
      <c r="B1136" s="10">
        <v>1</v>
      </c>
    </row>
    <row r="1137" spans="1:2">
      <c r="A1137" s="10" t="s">
        <v>1439</v>
      </c>
      <c r="B1137" s="10">
        <v>1</v>
      </c>
    </row>
    <row r="1138" spans="1:2">
      <c r="A1138" s="10" t="s">
        <v>1440</v>
      </c>
      <c r="B1138" s="10">
        <v>1</v>
      </c>
    </row>
    <row r="1139" spans="1:2">
      <c r="A1139" s="10" t="s">
        <v>1441</v>
      </c>
      <c r="B1139" s="10">
        <v>1</v>
      </c>
    </row>
    <row r="1140" spans="1:2">
      <c r="A1140" s="10" t="s">
        <v>1442</v>
      </c>
      <c r="B1140" s="10">
        <v>1</v>
      </c>
    </row>
    <row r="1141" spans="1:2">
      <c r="A1141" s="10" t="s">
        <v>1443</v>
      </c>
      <c r="B1141" s="10">
        <v>1</v>
      </c>
    </row>
    <row r="1142" spans="1:2">
      <c r="A1142" s="10" t="s">
        <v>1444</v>
      </c>
      <c r="B1142" s="10">
        <v>1</v>
      </c>
    </row>
    <row r="1143" spans="1:2">
      <c r="A1143" s="10" t="s">
        <v>1445</v>
      </c>
      <c r="B1143" s="10">
        <v>1</v>
      </c>
    </row>
    <row r="1144" spans="1:2">
      <c r="A1144" s="10" t="s">
        <v>1446</v>
      </c>
      <c r="B1144" s="10">
        <v>1</v>
      </c>
    </row>
    <row r="1145" spans="1:2">
      <c r="A1145" s="10" t="s">
        <v>1447</v>
      </c>
      <c r="B1145" s="10">
        <v>1</v>
      </c>
    </row>
    <row r="1146" spans="1:2">
      <c r="A1146" s="10" t="s">
        <v>1448</v>
      </c>
      <c r="B1146" s="10">
        <v>1</v>
      </c>
    </row>
    <row r="1147" spans="1:2">
      <c r="A1147" s="10" t="s">
        <v>1449</v>
      </c>
      <c r="B1147" s="10">
        <v>1</v>
      </c>
    </row>
    <row r="1148" spans="1:2">
      <c r="A1148" s="10" t="s">
        <v>1450</v>
      </c>
      <c r="B1148" s="10">
        <v>1</v>
      </c>
    </row>
    <row r="1149" spans="1:2">
      <c r="A1149" s="10" t="s">
        <v>1451</v>
      </c>
      <c r="B1149" s="10">
        <v>1</v>
      </c>
    </row>
    <row r="1150" spans="1:2">
      <c r="A1150" s="10" t="s">
        <v>1452</v>
      </c>
      <c r="B1150" s="10">
        <v>1</v>
      </c>
    </row>
    <row r="1151" spans="1:2">
      <c r="A1151" s="10" t="s">
        <v>1453</v>
      </c>
      <c r="B1151" s="10">
        <v>1</v>
      </c>
    </row>
    <row r="1152" spans="1:2">
      <c r="A1152" s="10" t="s">
        <v>1454</v>
      </c>
      <c r="B1152" s="10">
        <v>1</v>
      </c>
    </row>
    <row r="1153" spans="1:2">
      <c r="A1153" s="10" t="s">
        <v>1455</v>
      </c>
      <c r="B1153" s="10">
        <v>1</v>
      </c>
    </row>
    <row r="1154" spans="1:2">
      <c r="A1154" s="10" t="s">
        <v>1456</v>
      </c>
      <c r="B1154" s="10">
        <v>1</v>
      </c>
    </row>
    <row r="1155" spans="1:2">
      <c r="A1155" s="10" t="s">
        <v>1457</v>
      </c>
      <c r="B1155" s="10">
        <v>1</v>
      </c>
    </row>
    <row r="1156" spans="1:2">
      <c r="A1156" s="10" t="s">
        <v>1458</v>
      </c>
      <c r="B1156" s="10">
        <v>1</v>
      </c>
    </row>
    <row r="1157" spans="1:2">
      <c r="A1157" s="10" t="s">
        <v>1459</v>
      </c>
      <c r="B1157" s="10">
        <v>1</v>
      </c>
    </row>
    <row r="1158" spans="1:2">
      <c r="A1158" s="10" t="s">
        <v>1460</v>
      </c>
      <c r="B1158" s="10">
        <v>1</v>
      </c>
    </row>
    <row r="1159" spans="1:2">
      <c r="A1159" s="10" t="s">
        <v>1461</v>
      </c>
      <c r="B1159" s="10">
        <v>1</v>
      </c>
    </row>
    <row r="1160" spans="1:2">
      <c r="A1160" s="10" t="s">
        <v>1462</v>
      </c>
      <c r="B1160" s="10">
        <v>1</v>
      </c>
    </row>
    <row r="1161" spans="1:2">
      <c r="A1161" s="10" t="s">
        <v>1463</v>
      </c>
      <c r="B1161" s="10">
        <v>1</v>
      </c>
    </row>
    <row r="1162" spans="1:2">
      <c r="A1162" s="10" t="s">
        <v>1464</v>
      </c>
      <c r="B1162" s="10">
        <v>1</v>
      </c>
    </row>
    <row r="1163" spans="1:2">
      <c r="A1163" s="10" t="s">
        <v>1465</v>
      </c>
      <c r="B1163" s="10">
        <v>1</v>
      </c>
    </row>
    <row r="1164" spans="1:2">
      <c r="A1164" s="10" t="s">
        <v>1466</v>
      </c>
      <c r="B1164" s="10">
        <v>1</v>
      </c>
    </row>
    <row r="1165" spans="1:2">
      <c r="A1165" s="10" t="s">
        <v>1467</v>
      </c>
      <c r="B1165" s="10">
        <v>1</v>
      </c>
    </row>
    <row r="1166" spans="1:2">
      <c r="A1166" s="10" t="s">
        <v>1468</v>
      </c>
      <c r="B1166" s="10">
        <v>1</v>
      </c>
    </row>
    <row r="1167" spans="1:2">
      <c r="A1167" s="10" t="s">
        <v>1469</v>
      </c>
      <c r="B1167" s="10">
        <v>1</v>
      </c>
    </row>
    <row r="1168" spans="1:2">
      <c r="A1168" s="10" t="s">
        <v>1470</v>
      </c>
      <c r="B1168" s="10">
        <v>1</v>
      </c>
    </row>
    <row r="1169" spans="1:2">
      <c r="A1169" s="10" t="s">
        <v>1471</v>
      </c>
      <c r="B1169" s="10">
        <v>1</v>
      </c>
    </row>
    <row r="1170" spans="1:2">
      <c r="A1170" s="10" t="s">
        <v>1472</v>
      </c>
      <c r="B1170" s="10">
        <v>1</v>
      </c>
    </row>
    <row r="1171" spans="1:2">
      <c r="A1171" s="10" t="s">
        <v>1473</v>
      </c>
      <c r="B1171" s="10">
        <v>1</v>
      </c>
    </row>
    <row r="1172" spans="1:2">
      <c r="A1172" s="10" t="s">
        <v>1474</v>
      </c>
      <c r="B1172" s="10">
        <v>1</v>
      </c>
    </row>
    <row r="1173" spans="1:2">
      <c r="A1173" s="10" t="s">
        <v>1475</v>
      </c>
      <c r="B1173" s="10">
        <v>1</v>
      </c>
    </row>
    <row r="1174" spans="1:2">
      <c r="A1174" s="10" t="s">
        <v>1476</v>
      </c>
      <c r="B1174" s="10">
        <v>1</v>
      </c>
    </row>
    <row r="1175" spans="1:2">
      <c r="A1175" s="10" t="s">
        <v>1477</v>
      </c>
      <c r="B1175" s="10">
        <v>1</v>
      </c>
    </row>
    <row r="1176" spans="1:2">
      <c r="A1176" s="10" t="s">
        <v>1478</v>
      </c>
      <c r="B1176" s="10">
        <v>1</v>
      </c>
    </row>
    <row r="1177" spans="1:2">
      <c r="A1177" s="10" t="s">
        <v>1479</v>
      </c>
      <c r="B1177" s="10">
        <v>1</v>
      </c>
    </row>
    <row r="1178" spans="1:2">
      <c r="A1178" s="10" t="s">
        <v>1480</v>
      </c>
      <c r="B1178" s="10">
        <v>1</v>
      </c>
    </row>
    <row r="1179" spans="1:2">
      <c r="A1179" s="10" t="s">
        <v>1481</v>
      </c>
      <c r="B1179" s="10">
        <v>1</v>
      </c>
    </row>
    <row r="1180" spans="1:2">
      <c r="A1180" s="10" t="s">
        <v>1482</v>
      </c>
      <c r="B1180" s="10">
        <v>1</v>
      </c>
    </row>
    <row r="1181" spans="1:2">
      <c r="A1181" s="10" t="s">
        <v>1483</v>
      </c>
      <c r="B1181" s="10">
        <v>1</v>
      </c>
    </row>
    <row r="1182" spans="1:2">
      <c r="A1182" s="10" t="s">
        <v>1484</v>
      </c>
      <c r="B1182" s="10">
        <v>1</v>
      </c>
    </row>
    <row r="1183" spans="1:2">
      <c r="A1183" s="10" t="s">
        <v>1485</v>
      </c>
      <c r="B1183" s="10">
        <v>1</v>
      </c>
    </row>
    <row r="1184" spans="1:2">
      <c r="A1184" s="10" t="s">
        <v>1486</v>
      </c>
      <c r="B1184" s="10">
        <v>1</v>
      </c>
    </row>
    <row r="1185" spans="1:2">
      <c r="A1185" s="10" t="s">
        <v>1487</v>
      </c>
      <c r="B1185" s="10">
        <v>1</v>
      </c>
    </row>
    <row r="1186" spans="1:2">
      <c r="A1186" s="10" t="s">
        <v>1488</v>
      </c>
      <c r="B1186" s="10">
        <v>1</v>
      </c>
    </row>
    <row r="1187" spans="1:2">
      <c r="A1187" s="10" t="s">
        <v>1489</v>
      </c>
      <c r="B1187" s="10">
        <v>1</v>
      </c>
    </row>
    <row r="1188" spans="1:2">
      <c r="A1188" s="10" t="s">
        <v>1490</v>
      </c>
      <c r="B1188" s="10">
        <v>1</v>
      </c>
    </row>
    <row r="1189" spans="1:2">
      <c r="A1189" s="10" t="s">
        <v>1491</v>
      </c>
      <c r="B1189" s="10">
        <v>1</v>
      </c>
    </row>
    <row r="1190" spans="1:2">
      <c r="A1190" s="10" t="s">
        <v>1492</v>
      </c>
      <c r="B1190" s="10">
        <v>1</v>
      </c>
    </row>
    <row r="1191" spans="1:2">
      <c r="A1191" s="10" t="s">
        <v>1493</v>
      </c>
      <c r="B1191" s="10">
        <v>1</v>
      </c>
    </row>
    <row r="1192" spans="1:2">
      <c r="A1192" s="10" t="s">
        <v>1494</v>
      </c>
      <c r="B1192" s="10">
        <v>1</v>
      </c>
    </row>
    <row r="1193" spans="1:2">
      <c r="A1193" s="10" t="s">
        <v>1495</v>
      </c>
      <c r="B1193" s="10">
        <v>1</v>
      </c>
    </row>
    <row r="1194" spans="1:2">
      <c r="A1194" s="10" t="s">
        <v>1496</v>
      </c>
      <c r="B1194" s="10">
        <v>1</v>
      </c>
    </row>
    <row r="1195" spans="1:2">
      <c r="A1195" s="10" t="s">
        <v>1497</v>
      </c>
      <c r="B1195" s="10">
        <v>1</v>
      </c>
    </row>
    <row r="1196" spans="1:2">
      <c r="A1196" s="10" t="s">
        <v>1498</v>
      </c>
      <c r="B1196" s="10">
        <v>1</v>
      </c>
    </row>
    <row r="1197" spans="1:2">
      <c r="A1197" s="10" t="s">
        <v>1499</v>
      </c>
      <c r="B1197" s="10">
        <v>1</v>
      </c>
    </row>
    <row r="1198" spans="1:2">
      <c r="A1198" s="10" t="s">
        <v>1500</v>
      </c>
      <c r="B1198" s="10">
        <v>1</v>
      </c>
    </row>
    <row r="1199" spans="1:2">
      <c r="A1199" s="10" t="s">
        <v>1501</v>
      </c>
      <c r="B1199" s="10">
        <v>1</v>
      </c>
    </row>
    <row r="1200" spans="1:2">
      <c r="A1200" s="10" t="s">
        <v>1502</v>
      </c>
      <c r="B1200" s="10">
        <v>1</v>
      </c>
    </row>
    <row r="1201" spans="1:2">
      <c r="A1201" s="10" t="s">
        <v>1503</v>
      </c>
      <c r="B1201" s="10">
        <v>1</v>
      </c>
    </row>
    <row r="1202" spans="1:2">
      <c r="A1202" s="10" t="s">
        <v>1504</v>
      </c>
      <c r="B1202" s="10">
        <v>1</v>
      </c>
    </row>
    <row r="1203" spans="1:2">
      <c r="A1203" s="10" t="s">
        <v>1505</v>
      </c>
      <c r="B1203" s="10">
        <v>1</v>
      </c>
    </row>
    <row r="1204" spans="1:2">
      <c r="A1204" s="10" t="s">
        <v>1506</v>
      </c>
      <c r="B1204" s="10">
        <v>1</v>
      </c>
    </row>
    <row r="1205" spans="1:2">
      <c r="A1205" s="10" t="s">
        <v>1507</v>
      </c>
      <c r="B1205" s="10">
        <v>1</v>
      </c>
    </row>
    <row r="1206" spans="1:2">
      <c r="A1206" s="10" t="s">
        <v>1508</v>
      </c>
      <c r="B1206" s="10">
        <v>1</v>
      </c>
    </row>
    <row r="1207" spans="1:2">
      <c r="A1207" s="10" t="s">
        <v>1509</v>
      </c>
      <c r="B1207" s="10">
        <v>1</v>
      </c>
    </row>
    <row r="1208" spans="1:2">
      <c r="A1208" s="10" t="s">
        <v>1510</v>
      </c>
      <c r="B1208" s="10">
        <v>1</v>
      </c>
    </row>
    <row r="1209" spans="1:2">
      <c r="A1209" s="10" t="s">
        <v>1511</v>
      </c>
      <c r="B1209" s="10">
        <v>1</v>
      </c>
    </row>
    <row r="1210" spans="1:2">
      <c r="A1210" s="10" t="s">
        <v>1512</v>
      </c>
      <c r="B1210" s="10">
        <v>1</v>
      </c>
    </row>
    <row r="1211" spans="1:2">
      <c r="A1211" s="10" t="s">
        <v>1513</v>
      </c>
      <c r="B1211" s="10">
        <v>1</v>
      </c>
    </row>
    <row r="1212" spans="1:2">
      <c r="A1212" s="10" t="s">
        <v>1514</v>
      </c>
      <c r="B1212" s="10">
        <v>1</v>
      </c>
    </row>
    <row r="1213" spans="1:2">
      <c r="A1213" s="10" t="s">
        <v>1515</v>
      </c>
      <c r="B1213" s="10">
        <v>1</v>
      </c>
    </row>
    <row r="1214" spans="1:2">
      <c r="A1214" s="10" t="s">
        <v>1516</v>
      </c>
      <c r="B1214" s="10">
        <v>1</v>
      </c>
    </row>
    <row r="1215" spans="1:2">
      <c r="A1215" s="10" t="s">
        <v>1517</v>
      </c>
      <c r="B1215" s="10">
        <v>1</v>
      </c>
    </row>
    <row r="1216" spans="1:2">
      <c r="A1216" s="10" t="s">
        <v>1518</v>
      </c>
      <c r="B1216" s="10">
        <v>1</v>
      </c>
    </row>
    <row r="1217" spans="1:2">
      <c r="A1217" s="10" t="s">
        <v>1519</v>
      </c>
      <c r="B1217" s="10">
        <v>1</v>
      </c>
    </row>
    <row r="1218" spans="1:2">
      <c r="A1218" s="10" t="s">
        <v>1520</v>
      </c>
      <c r="B1218" s="10">
        <v>1</v>
      </c>
    </row>
    <row r="1219" spans="1:2">
      <c r="A1219" s="10" t="s">
        <v>1521</v>
      </c>
      <c r="B1219" s="10">
        <v>1</v>
      </c>
    </row>
    <row r="1220" spans="1:2">
      <c r="A1220" s="10" t="s">
        <v>1522</v>
      </c>
      <c r="B1220" s="10">
        <v>1</v>
      </c>
    </row>
    <row r="1221" spans="1:2">
      <c r="A1221" s="10" t="s">
        <v>1523</v>
      </c>
      <c r="B1221" s="10">
        <v>1</v>
      </c>
    </row>
    <row r="1222" spans="1:2">
      <c r="A1222" s="10" t="s">
        <v>1524</v>
      </c>
      <c r="B1222" s="10">
        <v>1</v>
      </c>
    </row>
    <row r="1223" spans="1:2">
      <c r="A1223" s="10" t="s">
        <v>1525</v>
      </c>
      <c r="B1223" s="10">
        <v>1</v>
      </c>
    </row>
    <row r="1224" spans="1:2">
      <c r="A1224" s="10" t="s">
        <v>1526</v>
      </c>
      <c r="B1224" s="10">
        <v>1</v>
      </c>
    </row>
    <row r="1225" spans="1:2">
      <c r="A1225" s="10" t="s">
        <v>1527</v>
      </c>
      <c r="B1225" s="10">
        <v>1</v>
      </c>
    </row>
    <row r="1226" spans="1:2">
      <c r="A1226" s="10" t="s">
        <v>1528</v>
      </c>
      <c r="B1226" s="10">
        <v>1</v>
      </c>
    </row>
    <row r="1227" spans="1:2">
      <c r="A1227" s="10" t="s">
        <v>1529</v>
      </c>
      <c r="B1227" s="10">
        <v>1</v>
      </c>
    </row>
    <row r="1228" spans="1:2">
      <c r="A1228" s="10" t="s">
        <v>1530</v>
      </c>
      <c r="B1228" s="10">
        <v>1</v>
      </c>
    </row>
    <row r="1229" spans="1:2">
      <c r="A1229" s="10" t="s">
        <v>1531</v>
      </c>
      <c r="B1229" s="10">
        <v>1</v>
      </c>
    </row>
    <row r="1230" spans="1:2">
      <c r="A1230" s="10" t="s">
        <v>1532</v>
      </c>
      <c r="B1230" s="10">
        <v>1</v>
      </c>
    </row>
    <row r="1231" spans="1:2">
      <c r="A1231" s="10" t="s">
        <v>1533</v>
      </c>
      <c r="B1231" s="10">
        <v>1</v>
      </c>
    </row>
    <row r="1232" spans="1:2">
      <c r="A1232" s="10" t="s">
        <v>1534</v>
      </c>
      <c r="B1232" s="10">
        <v>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I17" sqref="I17"/>
    </sheetView>
  </sheetViews>
  <sheetFormatPr defaultRowHeight="15"/>
  <sheetData>
    <row r="1" spans="1:16" ht="15.75" thickBot="1">
      <c r="A1" t="s">
        <v>2137</v>
      </c>
      <c r="B1" t="s">
        <v>69</v>
      </c>
    </row>
    <row r="2" spans="1:16" ht="26.25" thickBot="1">
      <c r="A2" s="92" t="s">
        <v>2580</v>
      </c>
      <c r="B2" s="93">
        <v>63</v>
      </c>
      <c r="C2" s="93">
        <v>64</v>
      </c>
      <c r="D2" s="93">
        <v>65</v>
      </c>
      <c r="E2" s="93">
        <v>66</v>
      </c>
      <c r="F2" s="93">
        <v>67</v>
      </c>
      <c r="G2" s="93">
        <v>68</v>
      </c>
      <c r="H2" s="93">
        <v>69</v>
      </c>
      <c r="I2" s="93">
        <v>70</v>
      </c>
      <c r="J2" s="93">
        <v>71</v>
      </c>
      <c r="K2" s="93">
        <v>72</v>
      </c>
      <c r="L2" s="93">
        <v>73</v>
      </c>
      <c r="M2" s="93">
        <v>74</v>
      </c>
      <c r="N2" s="93">
        <v>75</v>
      </c>
      <c r="O2" s="93">
        <v>76</v>
      </c>
      <c r="P2" s="93">
        <v>77</v>
      </c>
    </row>
    <row r="3" spans="1:16" ht="15.75" thickBot="1">
      <c r="A3" s="94">
        <v>25</v>
      </c>
      <c r="B3" s="95">
        <v>492</v>
      </c>
      <c r="C3" s="95">
        <f>AVERAGE(B3,D3)</f>
        <v>506</v>
      </c>
      <c r="D3" s="95">
        <v>520</v>
      </c>
      <c r="E3" s="95">
        <f>AVERAGE(D3,F3)</f>
        <v>534.5</v>
      </c>
      <c r="F3" s="95">
        <v>549</v>
      </c>
      <c r="G3" s="95">
        <f>AVERAGE(F3,H3)</f>
        <v>562.5</v>
      </c>
      <c r="H3" s="95">
        <v>576</v>
      </c>
      <c r="I3" s="95">
        <f>AVERAGE(H3,J3)</f>
        <v>591</v>
      </c>
      <c r="J3" s="95">
        <v>606</v>
      </c>
      <c r="K3" s="95">
        <f>AVERAGE(J3,L3)</f>
        <v>620.5</v>
      </c>
      <c r="L3" s="95">
        <v>635</v>
      </c>
      <c r="M3" s="95">
        <f>AVERAGE(L3,N3)</f>
        <v>649.5</v>
      </c>
      <c r="N3" s="95">
        <v>664</v>
      </c>
      <c r="O3" s="95">
        <f>AVERAGE(N3,P3)</f>
        <v>678</v>
      </c>
      <c r="P3" s="95">
        <v>692</v>
      </c>
    </row>
    <row r="4" spans="1:16" ht="15.75" thickBot="1">
      <c r="A4" s="94">
        <v>30</v>
      </c>
      <c r="B4" s="95">
        <v>481</v>
      </c>
      <c r="C4" s="95">
        <f t="shared" ref="C4:C14" si="0">AVERAGE(B4,D4)</f>
        <v>495.5</v>
      </c>
      <c r="D4" s="95">
        <v>510</v>
      </c>
      <c r="E4" s="95">
        <f t="shared" ref="E4:E14" si="1">AVERAGE(D4,F4)</f>
        <v>524</v>
      </c>
      <c r="F4" s="95">
        <v>538</v>
      </c>
      <c r="G4" s="95">
        <f t="shared" ref="G4:G14" si="2">AVERAGE(F4,H4)</f>
        <v>552.5</v>
      </c>
      <c r="H4" s="95">
        <v>567</v>
      </c>
      <c r="I4" s="95">
        <f t="shared" ref="I4:I14" si="3">AVERAGE(H4,J4)</f>
        <v>581.5</v>
      </c>
      <c r="J4" s="95">
        <v>596</v>
      </c>
      <c r="K4" s="95">
        <f t="shared" ref="K4:K14" si="4">AVERAGE(J4,L4)</f>
        <v>610</v>
      </c>
      <c r="L4" s="95">
        <v>624</v>
      </c>
      <c r="M4" s="95">
        <f t="shared" ref="M4:M14" si="5">AVERAGE(L4,N4)</f>
        <v>638.5</v>
      </c>
      <c r="N4" s="95">
        <v>653</v>
      </c>
      <c r="O4" s="95">
        <f t="shared" ref="O4:O14" si="6">AVERAGE(N4,P4)</f>
        <v>667.5</v>
      </c>
      <c r="P4" s="95">
        <v>682</v>
      </c>
    </row>
    <row r="5" spans="1:16" ht="15.75" thickBot="1">
      <c r="A5" s="94">
        <v>35</v>
      </c>
      <c r="B5" s="95">
        <v>471</v>
      </c>
      <c r="C5" s="95">
        <f t="shared" si="0"/>
        <v>485</v>
      </c>
      <c r="D5" s="95">
        <v>499</v>
      </c>
      <c r="E5" s="95">
        <f t="shared" si="1"/>
        <v>513.5</v>
      </c>
      <c r="F5" s="95">
        <v>528</v>
      </c>
      <c r="G5" s="95">
        <f t="shared" si="2"/>
        <v>542.5</v>
      </c>
      <c r="H5" s="95">
        <v>557</v>
      </c>
      <c r="I5" s="95">
        <f t="shared" si="3"/>
        <v>571</v>
      </c>
      <c r="J5" s="95">
        <v>585</v>
      </c>
      <c r="K5" s="95">
        <f t="shared" si="4"/>
        <v>599.5</v>
      </c>
      <c r="L5" s="95">
        <v>614</v>
      </c>
      <c r="M5" s="95">
        <f t="shared" si="5"/>
        <v>628.5</v>
      </c>
      <c r="N5" s="95">
        <v>643</v>
      </c>
      <c r="O5" s="95">
        <f t="shared" si="6"/>
        <v>657</v>
      </c>
      <c r="P5" s="95">
        <v>671</v>
      </c>
    </row>
    <row r="6" spans="1:16" ht="15.75" thickBot="1">
      <c r="A6" s="94">
        <v>40</v>
      </c>
      <c r="B6" s="95">
        <v>460</v>
      </c>
      <c r="C6" s="95">
        <f t="shared" si="0"/>
        <v>474.5</v>
      </c>
      <c r="D6" s="95">
        <v>489</v>
      </c>
      <c r="E6" s="95">
        <f t="shared" si="1"/>
        <v>503</v>
      </c>
      <c r="F6" s="95">
        <v>517</v>
      </c>
      <c r="G6" s="95">
        <f t="shared" si="2"/>
        <v>531.5</v>
      </c>
      <c r="H6" s="95">
        <v>546</v>
      </c>
      <c r="I6" s="95">
        <f t="shared" si="3"/>
        <v>560.5</v>
      </c>
      <c r="J6" s="95">
        <v>575</v>
      </c>
      <c r="K6" s="95">
        <f t="shared" si="4"/>
        <v>589</v>
      </c>
      <c r="L6" s="95">
        <v>603</v>
      </c>
      <c r="M6" s="95">
        <f t="shared" si="5"/>
        <v>617.5</v>
      </c>
      <c r="N6" s="95">
        <v>632</v>
      </c>
      <c r="O6" s="95">
        <f t="shared" si="6"/>
        <v>646.5</v>
      </c>
      <c r="P6" s="95">
        <v>661</v>
      </c>
    </row>
    <row r="7" spans="1:16" ht="15.75" thickBot="1">
      <c r="A7" s="94">
        <v>45</v>
      </c>
      <c r="B7" s="95">
        <v>450</v>
      </c>
      <c r="C7" s="95">
        <f t="shared" si="0"/>
        <v>464</v>
      </c>
      <c r="D7" s="95">
        <v>478</v>
      </c>
      <c r="E7" s="95">
        <f t="shared" si="1"/>
        <v>492.5</v>
      </c>
      <c r="F7" s="95">
        <v>507</v>
      </c>
      <c r="G7" s="95">
        <f t="shared" si="2"/>
        <v>521.5</v>
      </c>
      <c r="H7" s="95">
        <v>536</v>
      </c>
      <c r="I7" s="95">
        <f t="shared" si="3"/>
        <v>550</v>
      </c>
      <c r="J7" s="95">
        <v>564</v>
      </c>
      <c r="K7" s="95">
        <f t="shared" si="4"/>
        <v>578.5</v>
      </c>
      <c r="L7" s="95">
        <v>593</v>
      </c>
      <c r="M7" s="95">
        <f t="shared" si="5"/>
        <v>607.5</v>
      </c>
      <c r="N7" s="95">
        <v>622</v>
      </c>
      <c r="O7" s="95">
        <f t="shared" si="6"/>
        <v>636</v>
      </c>
      <c r="P7" s="95">
        <v>650</v>
      </c>
    </row>
    <row r="8" spans="1:16" ht="15.75" thickBot="1">
      <c r="A8" s="94">
        <v>50</v>
      </c>
      <c r="B8" s="95">
        <v>439</v>
      </c>
      <c r="C8" s="95">
        <f t="shared" si="0"/>
        <v>452</v>
      </c>
      <c r="D8" s="95">
        <v>465</v>
      </c>
      <c r="E8" s="95">
        <f t="shared" si="1"/>
        <v>480.5</v>
      </c>
      <c r="F8" s="95">
        <v>496</v>
      </c>
      <c r="G8" s="95">
        <f t="shared" si="2"/>
        <v>510.5</v>
      </c>
      <c r="H8" s="95">
        <v>525</v>
      </c>
      <c r="I8" s="95">
        <f t="shared" si="3"/>
        <v>539.5</v>
      </c>
      <c r="J8" s="95">
        <v>554</v>
      </c>
      <c r="K8" s="95">
        <f t="shared" si="4"/>
        <v>568</v>
      </c>
      <c r="L8" s="95">
        <v>582</v>
      </c>
      <c r="M8" s="95">
        <f t="shared" si="5"/>
        <v>596.5</v>
      </c>
      <c r="N8" s="95">
        <v>611</v>
      </c>
      <c r="O8" s="95">
        <f t="shared" si="6"/>
        <v>625.5</v>
      </c>
      <c r="P8" s="95">
        <v>640</v>
      </c>
    </row>
    <row r="9" spans="1:16" ht="15.75" thickBot="1">
      <c r="A9" s="94">
        <v>55</v>
      </c>
      <c r="B9" s="95">
        <v>429</v>
      </c>
      <c r="C9" s="95">
        <f t="shared" si="0"/>
        <v>443</v>
      </c>
      <c r="D9" s="95">
        <v>457</v>
      </c>
      <c r="E9" s="95">
        <f t="shared" si="1"/>
        <v>471.5</v>
      </c>
      <c r="F9" s="95">
        <v>486</v>
      </c>
      <c r="G9" s="95">
        <f t="shared" si="2"/>
        <v>500.5</v>
      </c>
      <c r="H9" s="95">
        <v>515</v>
      </c>
      <c r="I9" s="95">
        <f t="shared" si="3"/>
        <v>529</v>
      </c>
      <c r="J9" s="95">
        <v>543</v>
      </c>
      <c r="K9" s="95">
        <f t="shared" si="4"/>
        <v>557.5</v>
      </c>
      <c r="L9" s="95">
        <v>572</v>
      </c>
      <c r="M9" s="95">
        <f t="shared" si="5"/>
        <v>586.5</v>
      </c>
      <c r="N9" s="95">
        <v>601</v>
      </c>
      <c r="O9" s="95">
        <f t="shared" si="6"/>
        <v>615</v>
      </c>
      <c r="P9" s="95">
        <v>629</v>
      </c>
    </row>
    <row r="10" spans="1:16" ht="15.75" thickBot="1">
      <c r="A10" s="94">
        <v>60</v>
      </c>
      <c r="B10" s="95">
        <v>418</v>
      </c>
      <c r="C10" s="95">
        <f t="shared" si="0"/>
        <v>432.5</v>
      </c>
      <c r="D10" s="95">
        <v>447</v>
      </c>
      <c r="E10" s="95">
        <f t="shared" si="1"/>
        <v>461</v>
      </c>
      <c r="F10" s="95">
        <v>475</v>
      </c>
      <c r="G10" s="95">
        <f t="shared" si="2"/>
        <v>489.5</v>
      </c>
      <c r="H10" s="95">
        <v>504</v>
      </c>
      <c r="I10" s="95">
        <f t="shared" si="3"/>
        <v>518.5</v>
      </c>
      <c r="J10" s="95">
        <v>533</v>
      </c>
      <c r="K10" s="95">
        <f t="shared" si="4"/>
        <v>547</v>
      </c>
      <c r="L10" s="95">
        <v>561</v>
      </c>
      <c r="M10" s="95">
        <f t="shared" si="5"/>
        <v>575.5</v>
      </c>
      <c r="N10" s="95">
        <v>590</v>
      </c>
      <c r="O10" s="95">
        <f t="shared" si="6"/>
        <v>604.5</v>
      </c>
      <c r="P10" s="95">
        <v>619</v>
      </c>
    </row>
    <row r="11" spans="1:16" ht="15.75" thickBot="1">
      <c r="A11" s="94">
        <v>65</v>
      </c>
      <c r="B11" s="95">
        <v>408</v>
      </c>
      <c r="C11" s="95">
        <f t="shared" si="0"/>
        <v>422</v>
      </c>
      <c r="D11" s="95">
        <v>436</v>
      </c>
      <c r="E11" s="95">
        <f t="shared" si="1"/>
        <v>450.5</v>
      </c>
      <c r="F11" s="95">
        <v>465</v>
      </c>
      <c r="G11" s="95">
        <f t="shared" si="2"/>
        <v>479.5</v>
      </c>
      <c r="H11" s="95">
        <v>494</v>
      </c>
      <c r="I11" s="95">
        <f t="shared" si="3"/>
        <v>508</v>
      </c>
      <c r="J11" s="95">
        <v>522</v>
      </c>
      <c r="K11" s="95">
        <f t="shared" si="4"/>
        <v>536.5</v>
      </c>
      <c r="L11" s="95">
        <v>551</v>
      </c>
      <c r="M11" s="95">
        <f t="shared" si="5"/>
        <v>565.5</v>
      </c>
      <c r="N11" s="95">
        <v>580</v>
      </c>
      <c r="O11" s="95">
        <f t="shared" si="6"/>
        <v>594</v>
      </c>
      <c r="P11" s="95">
        <v>608</v>
      </c>
    </row>
    <row r="12" spans="1:16" ht="15.75" thickBot="1">
      <c r="A12" s="94">
        <v>70</v>
      </c>
      <c r="B12" s="95">
        <v>397</v>
      </c>
      <c r="C12" s="95">
        <f t="shared" si="0"/>
        <v>411</v>
      </c>
      <c r="D12" s="95">
        <v>425</v>
      </c>
      <c r="E12" s="95">
        <f t="shared" si="1"/>
        <v>439.5</v>
      </c>
      <c r="F12" s="95">
        <v>454</v>
      </c>
      <c r="G12" s="95">
        <f t="shared" si="2"/>
        <v>468.5</v>
      </c>
      <c r="H12" s="95">
        <v>483</v>
      </c>
      <c r="I12" s="95">
        <f t="shared" si="3"/>
        <v>497.5</v>
      </c>
      <c r="J12" s="95">
        <v>512</v>
      </c>
      <c r="K12" s="95">
        <f t="shared" si="4"/>
        <v>526</v>
      </c>
      <c r="L12" s="95">
        <v>540</v>
      </c>
      <c r="M12" s="95">
        <f t="shared" si="5"/>
        <v>554.5</v>
      </c>
      <c r="N12" s="95">
        <v>569</v>
      </c>
      <c r="O12" s="95">
        <f t="shared" si="6"/>
        <v>583.5</v>
      </c>
      <c r="P12" s="95">
        <v>598</v>
      </c>
    </row>
    <row r="13" spans="1:16" ht="15.75" thickBot="1">
      <c r="A13" s="94">
        <v>75</v>
      </c>
      <c r="B13" s="95">
        <v>387</v>
      </c>
      <c r="C13" s="95">
        <f t="shared" si="0"/>
        <v>401</v>
      </c>
      <c r="D13" s="95">
        <v>415</v>
      </c>
      <c r="E13" s="95">
        <f t="shared" si="1"/>
        <v>429.5</v>
      </c>
      <c r="F13" s="95">
        <v>444</v>
      </c>
      <c r="G13" s="95">
        <f t="shared" si="2"/>
        <v>458.5</v>
      </c>
      <c r="H13" s="95">
        <v>473</v>
      </c>
      <c r="I13" s="95">
        <f t="shared" si="3"/>
        <v>487</v>
      </c>
      <c r="J13" s="95">
        <v>501</v>
      </c>
      <c r="K13" s="95">
        <f t="shared" si="4"/>
        <v>515.5</v>
      </c>
      <c r="L13" s="95">
        <v>530</v>
      </c>
      <c r="M13" s="95">
        <f t="shared" si="5"/>
        <v>544.5</v>
      </c>
      <c r="N13" s="95">
        <v>559</v>
      </c>
      <c r="O13" s="95">
        <f t="shared" si="6"/>
        <v>573</v>
      </c>
      <c r="P13" s="95">
        <v>587</v>
      </c>
    </row>
    <row r="14" spans="1:16" ht="15.75" thickBot="1">
      <c r="A14" s="94">
        <v>80</v>
      </c>
      <c r="B14" s="95">
        <v>376</v>
      </c>
      <c r="C14" s="95">
        <f t="shared" si="0"/>
        <v>390.5</v>
      </c>
      <c r="D14" s="95">
        <v>405</v>
      </c>
      <c r="E14" s="95">
        <f t="shared" si="1"/>
        <v>419</v>
      </c>
      <c r="F14" s="95">
        <v>433</v>
      </c>
      <c r="G14" s="95">
        <f t="shared" si="2"/>
        <v>447.5</v>
      </c>
      <c r="H14" s="95">
        <v>462</v>
      </c>
      <c r="I14" s="95">
        <f t="shared" si="3"/>
        <v>476.5</v>
      </c>
      <c r="J14" s="95">
        <v>491</v>
      </c>
      <c r="K14" s="95">
        <f t="shared" si="4"/>
        <v>505</v>
      </c>
      <c r="L14" s="95">
        <v>519</v>
      </c>
      <c r="M14" s="95">
        <f t="shared" si="5"/>
        <v>533.5</v>
      </c>
      <c r="N14" s="95">
        <v>548</v>
      </c>
      <c r="O14" s="95">
        <f t="shared" si="6"/>
        <v>562.5</v>
      </c>
      <c r="P14" s="95">
        <v>577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49</vt:i4>
      </vt:variant>
    </vt:vector>
  </HeadingPairs>
  <TitlesOfParts>
    <vt:vector size="67" baseType="lpstr">
      <vt:lpstr>Documentation</vt:lpstr>
      <vt:lpstr>Vitals and Labs</vt:lpstr>
      <vt:lpstr>Calculations</vt:lpstr>
      <vt:lpstr>Diagnoses</vt:lpstr>
      <vt:lpstr>Vaccines</vt:lpstr>
      <vt:lpstr>Framingham Men</vt:lpstr>
      <vt:lpstr>Framingham Women</vt:lpstr>
      <vt:lpstr>Drug List</vt:lpstr>
      <vt:lpstr>Adult Male Peak Flow</vt:lpstr>
      <vt:lpstr>Adult Female Peak Flow</vt:lpstr>
      <vt:lpstr>Adolescent Female Peak Flow</vt:lpstr>
      <vt:lpstr>Adolescent Male Peak Flow</vt:lpstr>
      <vt:lpstr>Key Terms</vt:lpstr>
      <vt:lpstr>Abbreviations</vt:lpstr>
      <vt:lpstr>Disease State Table</vt:lpstr>
      <vt:lpstr>10-Year ASCVD</vt:lpstr>
      <vt:lpstr>Lifetime Risk Data</vt:lpstr>
      <vt:lpstr>Omnibus</vt:lpstr>
      <vt:lpstr>A1C</vt:lpstr>
      <vt:lpstr>ABI</vt:lpstr>
      <vt:lpstr>ACEI</vt:lpstr>
      <vt:lpstr>Age</vt:lpstr>
      <vt:lpstr>Antihypertensives</vt:lpstr>
      <vt:lpstr>Bicarb</vt:lpstr>
      <vt:lpstr>BMI</vt:lpstr>
      <vt:lpstr>BSA</vt:lpstr>
      <vt:lpstr>BUN</vt:lpstr>
      <vt:lpstr>CD4_count</vt:lpstr>
      <vt:lpstr>Cl</vt:lpstr>
      <vt:lpstr>Corrected_Sodium</vt:lpstr>
      <vt:lpstr>CrCl</vt:lpstr>
      <vt:lpstr>DBP</vt:lpstr>
      <vt:lpstr>FeNa</vt:lpstr>
      <vt:lpstr>FPG</vt:lpstr>
      <vt:lpstr>Glucose</vt:lpstr>
      <vt:lpstr>Hct</vt:lpstr>
      <vt:lpstr>HDL</vt:lpstr>
      <vt:lpstr>Hgb</vt:lpstr>
      <vt:lpstr>HIV_RNA</vt:lpstr>
      <vt:lpstr>HR</vt:lpstr>
      <vt:lpstr>HTN_Therapy</vt:lpstr>
      <vt:lpstr>HTN_treated?</vt:lpstr>
      <vt:lpstr>IBW</vt:lpstr>
      <vt:lpstr>K</vt:lpstr>
      <vt:lpstr>LDL</vt:lpstr>
      <vt:lpstr>MAP</vt:lpstr>
      <vt:lpstr>MCV</vt:lpstr>
      <vt:lpstr>Na</vt:lpstr>
      <vt:lpstr>Peritoneal_PMNs</vt:lpstr>
      <vt:lpstr>pH</vt:lpstr>
      <vt:lpstr>Random_PG</vt:lpstr>
      <vt:lpstr>RDW</vt:lpstr>
      <vt:lpstr>Retic</vt:lpstr>
      <vt:lpstr>RPI</vt:lpstr>
      <vt:lpstr>RR</vt:lpstr>
      <vt:lpstr>SAAG</vt:lpstr>
      <vt:lpstr>SBP</vt:lpstr>
      <vt:lpstr>SCr</vt:lpstr>
      <vt:lpstr>Serum_ANC</vt:lpstr>
      <vt:lpstr>Serum_Osmolality</vt:lpstr>
      <vt:lpstr>Sex</vt:lpstr>
      <vt:lpstr>Smoker?</vt:lpstr>
      <vt:lpstr>TC</vt:lpstr>
      <vt:lpstr>Temp</vt:lpstr>
      <vt:lpstr>TIBC</vt:lpstr>
      <vt:lpstr>TSAT</vt:lpstr>
      <vt:lpstr>Weight</vt:lpstr>
    </vt:vector>
  </TitlesOfParts>
  <Company>St. Louis College of Pharmacy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oslo;Benjamin.Jolley@stlcop.edu</dc:creator>
  <cp:lastModifiedBy>oslo</cp:lastModifiedBy>
  <cp:lastPrinted>2016-01-27T17:29:03Z</cp:lastPrinted>
  <dcterms:created xsi:type="dcterms:W3CDTF">2015-03-25T04:19:02Z</dcterms:created>
  <dcterms:modified xsi:type="dcterms:W3CDTF">2016-09-01T23:49:11Z</dcterms:modified>
</cp:coreProperties>
</file>