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dominguez\Desktop\"/>
    </mc:Choice>
  </mc:AlternateContent>
  <workbookProtection lockStructure="1"/>
  <bookViews>
    <workbookView xWindow="0" yWindow="0" windowWidth="16815" windowHeight="7620" tabRatio="891" activeTab="9"/>
  </bookViews>
  <sheets>
    <sheet name="Inicio" sheetId="15" r:id="rId1"/>
    <sheet name="GRUPO A" sheetId="1" r:id="rId2"/>
    <sheet name="GRUPO B" sheetId="2" r:id="rId3"/>
    <sheet name="GRUPO C" sheetId="3" r:id="rId4"/>
    <sheet name="GRUPO D" sheetId="4" r:id="rId5"/>
    <sheet name="GRUPO E" sheetId="5" r:id="rId6"/>
    <sheet name="GRUPO F" sheetId="6" r:id="rId7"/>
    <sheet name="GRUPO G" sheetId="7" r:id="rId8"/>
    <sheet name="GRUPO H" sheetId="8" r:id="rId9"/>
    <sheet name="Primera Ronda" sheetId="9" r:id="rId10"/>
    <sheet name="Horario" sheetId="11" state="hidden" r:id="rId11"/>
    <sheet name="Hoja1" sheetId="12" state="hidden" r:id="rId12"/>
    <sheet name="equipos" sheetId="13" state="hidden" r:id="rId13"/>
    <sheet name="tabla posiciones auxiliar" sheetId="14" state="hidden" r:id="rId14"/>
    <sheet name="Hoja2" sheetId="16" state="hidden" r:id="rId15"/>
    <sheet name="Cuadro Final" sheetId="10" r:id="rId16"/>
  </sheets>
  <definedNames>
    <definedName name="_xlnm._FilterDatabase" localSheetId="10" hidden="1">Horario!$B$19:$D$19</definedName>
    <definedName name="paises">Inicio!$AA$5:$AA$17</definedName>
    <definedName name="Turno1">Horario!$N$4</definedName>
    <definedName name="Turno2">Horario!$N$5</definedName>
    <definedName name="Turno3">Horario!$N$6</definedName>
    <definedName name="Turno4">Horario!$N$7</definedName>
    <definedName name="Turno5">Horario!$N$8</definedName>
    <definedName name="Turno6">Horario!$N$9</definedName>
    <definedName name="Turno7">Horario!$N$10</definedName>
  </definedNames>
  <calcPr calcId="162913"/>
</workbook>
</file>

<file path=xl/calcChain.xml><?xml version="1.0" encoding="utf-8"?>
<calcChain xmlns="http://schemas.openxmlformats.org/spreadsheetml/2006/main">
  <c r="F17" i="8" l="1"/>
  <c r="N27" i="10"/>
  <c r="D16" i="9" l="1"/>
  <c r="N10" i="11"/>
  <c r="B4" i="8"/>
  <c r="B2" i="8"/>
  <c r="E17" i="8" s="1"/>
  <c r="B4" i="7"/>
  <c r="P23" i="7" s="1"/>
  <c r="B2" i="7"/>
  <c r="P24" i="7" l="1"/>
  <c r="P22" i="7" s="1"/>
  <c r="I54" i="9"/>
  <c r="I55" i="9"/>
  <c r="I56" i="9"/>
  <c r="I57" i="9"/>
  <c r="I58" i="9"/>
  <c r="I53" i="9"/>
  <c r="I47" i="9"/>
  <c r="I48" i="9"/>
  <c r="I49" i="9"/>
  <c r="I50" i="9"/>
  <c r="I51" i="9"/>
  <c r="I46" i="9"/>
  <c r="I40" i="9"/>
  <c r="I41" i="9"/>
  <c r="I42" i="9"/>
  <c r="I43" i="9"/>
  <c r="I44" i="9"/>
  <c r="I39" i="9"/>
  <c r="I33" i="9"/>
  <c r="I34" i="9"/>
  <c r="I35" i="9"/>
  <c r="I36" i="9"/>
  <c r="I37" i="9"/>
  <c r="I32" i="9"/>
  <c r="I26" i="9"/>
  <c r="I27" i="9"/>
  <c r="I28" i="9"/>
  <c r="I29" i="9"/>
  <c r="I30" i="9"/>
  <c r="I25" i="9"/>
  <c r="I19" i="9"/>
  <c r="I20" i="9"/>
  <c r="I21" i="9"/>
  <c r="I22" i="9"/>
  <c r="I23" i="9"/>
  <c r="I18" i="9"/>
  <c r="I12" i="9"/>
  <c r="I13" i="9"/>
  <c r="I14" i="9"/>
  <c r="I15" i="9"/>
  <c r="I16" i="9"/>
  <c r="I11" i="9"/>
  <c r="G54" i="9"/>
  <c r="G55" i="9"/>
  <c r="G56" i="9"/>
  <c r="G57" i="9"/>
  <c r="G58" i="9"/>
  <c r="G47" i="9"/>
  <c r="G48" i="9"/>
  <c r="G49" i="9"/>
  <c r="G50" i="9"/>
  <c r="G51" i="9"/>
  <c r="G53" i="9"/>
  <c r="G46" i="9"/>
  <c r="G40" i="9"/>
  <c r="G41" i="9"/>
  <c r="G42" i="9"/>
  <c r="G43" i="9"/>
  <c r="G44" i="9"/>
  <c r="G39" i="9"/>
  <c r="G33" i="9"/>
  <c r="G34" i="9"/>
  <c r="G35" i="9"/>
  <c r="G36" i="9"/>
  <c r="G37" i="9"/>
  <c r="G32" i="9"/>
  <c r="G26" i="9"/>
  <c r="G27" i="9"/>
  <c r="G28" i="9"/>
  <c r="G29" i="9"/>
  <c r="G30" i="9"/>
  <c r="G25" i="9"/>
  <c r="G19" i="9"/>
  <c r="G20" i="9"/>
  <c r="G21" i="9"/>
  <c r="G22" i="9"/>
  <c r="G23" i="9"/>
  <c r="G18" i="9"/>
  <c r="G12" i="9"/>
  <c r="G13" i="9"/>
  <c r="G14" i="9"/>
  <c r="G15" i="9"/>
  <c r="G16" i="9"/>
  <c r="G11" i="9"/>
  <c r="G4" i="9"/>
  <c r="I5" i="9"/>
  <c r="I6" i="9"/>
  <c r="I7" i="9"/>
  <c r="I8" i="9"/>
  <c r="I9" i="9"/>
  <c r="I4" i="9"/>
  <c r="G5" i="9"/>
  <c r="G6" i="9"/>
  <c r="G7" i="9"/>
  <c r="G8" i="9"/>
  <c r="G9" i="9"/>
  <c r="C62" i="9"/>
  <c r="C52" i="9" l="1"/>
  <c r="D52" i="9"/>
  <c r="E52" i="9"/>
  <c r="F52" i="9"/>
  <c r="G52" i="9"/>
  <c r="H52" i="9"/>
  <c r="I52" i="9"/>
  <c r="B53" i="9"/>
  <c r="B54" i="9"/>
  <c r="B55" i="9"/>
  <c r="B56" i="9"/>
  <c r="B57" i="9"/>
  <c r="B58" i="9"/>
  <c r="B52" i="9"/>
  <c r="C45" i="9"/>
  <c r="D45" i="9"/>
  <c r="E45" i="9"/>
  <c r="F45" i="9"/>
  <c r="G45" i="9"/>
  <c r="H45" i="9"/>
  <c r="I45" i="9"/>
  <c r="B46" i="9"/>
  <c r="B47" i="9"/>
  <c r="B48" i="9"/>
  <c r="B49" i="9"/>
  <c r="B50" i="9"/>
  <c r="B51" i="9"/>
  <c r="B45" i="9"/>
  <c r="C38" i="9"/>
  <c r="D38" i="9"/>
  <c r="E38" i="9"/>
  <c r="F38" i="9"/>
  <c r="G38" i="9"/>
  <c r="H38" i="9"/>
  <c r="I38" i="9"/>
  <c r="B39" i="9"/>
  <c r="B40" i="9"/>
  <c r="B41" i="9"/>
  <c r="B42" i="9"/>
  <c r="B43" i="9"/>
  <c r="B44" i="9"/>
  <c r="B38" i="9"/>
  <c r="C31" i="9"/>
  <c r="D31" i="9"/>
  <c r="E31" i="9"/>
  <c r="F31" i="9"/>
  <c r="G31" i="9"/>
  <c r="H31" i="9"/>
  <c r="I31" i="9"/>
  <c r="B32" i="9"/>
  <c r="B33" i="9"/>
  <c r="B34" i="9"/>
  <c r="B35" i="9"/>
  <c r="B36" i="9"/>
  <c r="B37" i="9"/>
  <c r="B31" i="9"/>
  <c r="C24" i="9"/>
  <c r="D24" i="9"/>
  <c r="E24" i="9"/>
  <c r="F24" i="9"/>
  <c r="G24" i="9"/>
  <c r="H24" i="9"/>
  <c r="I24" i="9"/>
  <c r="B25" i="9"/>
  <c r="B26" i="9"/>
  <c r="B27" i="9"/>
  <c r="B28" i="9"/>
  <c r="B29" i="9"/>
  <c r="B30" i="9"/>
  <c r="B24" i="9"/>
  <c r="C17" i="9"/>
  <c r="D17" i="9"/>
  <c r="E17" i="9"/>
  <c r="F17" i="9"/>
  <c r="G17" i="9"/>
  <c r="H17" i="9"/>
  <c r="I17" i="9"/>
  <c r="B18" i="9"/>
  <c r="B19" i="9"/>
  <c r="B20" i="9"/>
  <c r="B21" i="9"/>
  <c r="B22" i="9"/>
  <c r="B23" i="9"/>
  <c r="B17" i="9"/>
  <c r="C10" i="9"/>
  <c r="D10" i="9"/>
  <c r="E10" i="9"/>
  <c r="F10" i="9"/>
  <c r="G10" i="9"/>
  <c r="H10" i="9"/>
  <c r="I10" i="9"/>
  <c r="B11" i="9"/>
  <c r="B12" i="9"/>
  <c r="B13" i="9"/>
  <c r="B14" i="9"/>
  <c r="B15" i="9"/>
  <c r="B16" i="9"/>
  <c r="B10" i="9"/>
  <c r="B9" i="9"/>
  <c r="I3" i="9"/>
  <c r="B4" i="9"/>
  <c r="B5" i="9"/>
  <c r="B6" i="9"/>
  <c r="B7" i="9"/>
  <c r="B8" i="9"/>
  <c r="C3" i="9"/>
  <c r="D3" i="9"/>
  <c r="E3" i="9"/>
  <c r="F3" i="9"/>
  <c r="G3" i="9"/>
  <c r="H3" i="9"/>
  <c r="B3" i="9"/>
  <c r="K3" i="9"/>
  <c r="L3" i="9"/>
  <c r="M3" i="9"/>
  <c r="N3" i="9"/>
  <c r="O3" i="9"/>
  <c r="P3" i="9"/>
  <c r="Q3" i="9"/>
  <c r="R3" i="9"/>
  <c r="B19" i="11" l="1"/>
  <c r="D19" i="11" s="1"/>
  <c r="H18" i="8" l="1"/>
  <c r="H54" i="9" s="1"/>
  <c r="H17" i="8"/>
  <c r="H53" i="9" s="1"/>
  <c r="F53" i="9"/>
  <c r="F18" i="8"/>
  <c r="F54" i="9" s="1"/>
  <c r="H18" i="7"/>
  <c r="H47" i="9" s="1"/>
  <c r="H17" i="7"/>
  <c r="H46" i="9" s="1"/>
  <c r="F18" i="7"/>
  <c r="F47" i="9" s="1"/>
  <c r="F17" i="7"/>
  <c r="F46" i="9" s="1"/>
  <c r="D58" i="9"/>
  <c r="D57" i="9"/>
  <c r="D56" i="9"/>
  <c r="D55" i="9"/>
  <c r="D54" i="9"/>
  <c r="D53" i="9"/>
  <c r="D51" i="9"/>
  <c r="D50" i="9"/>
  <c r="D49" i="9"/>
  <c r="D48" i="9"/>
  <c r="D47" i="9"/>
  <c r="D46" i="9"/>
  <c r="D44" i="9"/>
  <c r="D43" i="9"/>
  <c r="D42" i="9"/>
  <c r="D41" i="9"/>
  <c r="D40" i="9"/>
  <c r="D39" i="9"/>
  <c r="D37" i="9"/>
  <c r="D36" i="9"/>
  <c r="D35" i="9"/>
  <c r="D34" i="9"/>
  <c r="D33" i="9"/>
  <c r="D32" i="9"/>
  <c r="D30" i="9"/>
  <c r="D29" i="9"/>
  <c r="D28" i="9"/>
  <c r="D27" i="9"/>
  <c r="D26" i="9"/>
  <c r="D25" i="9"/>
  <c r="D23" i="9"/>
  <c r="D22" i="9"/>
  <c r="D21" i="9"/>
  <c r="D20" i="9"/>
  <c r="D19" i="9"/>
  <c r="D18" i="9"/>
  <c r="D15" i="9"/>
  <c r="D14" i="9"/>
  <c r="D13" i="9"/>
  <c r="D12" i="9"/>
  <c r="D11" i="9"/>
  <c r="D9" i="9"/>
  <c r="D8" i="9"/>
  <c r="D7" i="9"/>
  <c r="D6" i="9"/>
  <c r="D5" i="9"/>
  <c r="D4" i="9"/>
  <c r="A8" i="14"/>
  <c r="A7" i="14"/>
  <c r="J7" i="14"/>
  <c r="J8" i="14"/>
  <c r="E8" i="14"/>
  <c r="E7" i="14"/>
  <c r="G8" i="14"/>
  <c r="G7" i="14"/>
  <c r="L53" i="14"/>
  <c r="L54" i="14"/>
  <c r="L55" i="14"/>
  <c r="L52" i="14"/>
  <c r="L46" i="14"/>
  <c r="L47" i="14"/>
  <c r="L48" i="14"/>
  <c r="L45" i="14"/>
  <c r="L39" i="14"/>
  <c r="L40" i="14"/>
  <c r="L41" i="14"/>
  <c r="L38" i="14"/>
  <c r="L32" i="14"/>
  <c r="L33" i="14"/>
  <c r="L34" i="14"/>
  <c r="L31" i="14"/>
  <c r="L25" i="14"/>
  <c r="L26" i="14"/>
  <c r="L27" i="14"/>
  <c r="L24" i="14"/>
  <c r="L18" i="14"/>
  <c r="L19" i="14"/>
  <c r="L20" i="14"/>
  <c r="L17" i="14"/>
  <c r="L4" i="14"/>
  <c r="L5" i="14"/>
  <c r="L6" i="14"/>
  <c r="L3" i="14"/>
  <c r="L11" i="14"/>
  <c r="L12" i="14"/>
  <c r="L13" i="14"/>
  <c r="L10" i="14"/>
  <c r="F55" i="14"/>
  <c r="F54" i="14"/>
  <c r="D55" i="14"/>
  <c r="D54" i="14"/>
  <c r="F53" i="14"/>
  <c r="F52" i="14"/>
  <c r="D53" i="14"/>
  <c r="D52" i="14"/>
  <c r="F46" i="14"/>
  <c r="F45" i="14"/>
  <c r="D46" i="14"/>
  <c r="D45" i="14"/>
  <c r="F41" i="14"/>
  <c r="F40" i="14"/>
  <c r="D41" i="14"/>
  <c r="D40" i="14"/>
  <c r="F36" i="14"/>
  <c r="F35" i="14"/>
  <c r="D36" i="14"/>
  <c r="D35" i="14"/>
  <c r="F20" i="14"/>
  <c r="F19" i="14"/>
  <c r="D20" i="14"/>
  <c r="D19" i="14"/>
  <c r="F14" i="14"/>
  <c r="F15" i="14"/>
  <c r="D15" i="14"/>
  <c r="D14" i="14"/>
  <c r="F13" i="14"/>
  <c r="F12" i="14"/>
  <c r="D13" i="14"/>
  <c r="D12" i="14"/>
  <c r="F8" i="14"/>
  <c r="F7" i="14"/>
  <c r="D8" i="14"/>
  <c r="D7" i="14"/>
  <c r="H20" i="8"/>
  <c r="H56" i="9" s="1"/>
  <c r="H19" i="8"/>
  <c r="H55" i="9" s="1"/>
  <c r="F20" i="8"/>
  <c r="F56" i="9" s="1"/>
  <c r="F21" i="8"/>
  <c r="F57" i="9" s="1"/>
  <c r="F19" i="8"/>
  <c r="F55" i="9" s="1"/>
  <c r="H20" i="6"/>
  <c r="H42" i="9" s="1"/>
  <c r="H19" i="6"/>
  <c r="H41" i="9" s="1"/>
  <c r="F19" i="6"/>
  <c r="F41" i="9" s="1"/>
  <c r="F20" i="6"/>
  <c r="F42" i="9" s="1"/>
  <c r="H22" i="5"/>
  <c r="H37" i="9" s="1"/>
  <c r="F22" i="5"/>
  <c r="F37" i="9" s="1"/>
  <c r="H21" i="5"/>
  <c r="H36" i="9" s="1"/>
  <c r="F21" i="5"/>
  <c r="F36" i="9" s="1"/>
  <c r="H20" i="3"/>
  <c r="H21" i="9" s="1"/>
  <c r="H19" i="3"/>
  <c r="H20" i="9" s="1"/>
  <c r="F20" i="3"/>
  <c r="F21" i="9" s="1"/>
  <c r="F19" i="3"/>
  <c r="F20" i="9" s="1"/>
  <c r="F21" i="3"/>
  <c r="F22" i="9" s="1"/>
  <c r="H18" i="2"/>
  <c r="H12" i="9" s="1"/>
  <c r="F18" i="2"/>
  <c r="F12" i="9" s="1"/>
  <c r="H22" i="2"/>
  <c r="H16" i="9" s="1"/>
  <c r="H21" i="2"/>
  <c r="H15" i="9" s="1"/>
  <c r="F22" i="2"/>
  <c r="F16" i="9" s="1"/>
  <c r="F21" i="2"/>
  <c r="F15" i="9" s="1"/>
  <c r="F19" i="2"/>
  <c r="F13" i="9" s="1"/>
  <c r="F20" i="2"/>
  <c r="F14" i="9" s="1"/>
  <c r="H19" i="2"/>
  <c r="H13" i="9" s="1"/>
  <c r="H20" i="2"/>
  <c r="H14" i="9" s="1"/>
  <c r="H17" i="2"/>
  <c r="H11" i="9" s="1"/>
  <c r="F17" i="2"/>
  <c r="F11" i="9" s="1"/>
  <c r="H22" i="1" l="1"/>
  <c r="H9" i="9" s="1"/>
  <c r="H21" i="1"/>
  <c r="H8" i="9" s="1"/>
  <c r="F22" i="1"/>
  <c r="F9" i="9" s="1"/>
  <c r="F21" i="1"/>
  <c r="F8" i="9" s="1"/>
  <c r="A3" i="14"/>
  <c r="D3" i="14"/>
  <c r="E3" i="14"/>
  <c r="F3" i="14"/>
  <c r="G3" i="14"/>
  <c r="J3" i="14"/>
  <c r="A4" i="14"/>
  <c r="D4" i="14"/>
  <c r="E4" i="14"/>
  <c r="F4" i="14"/>
  <c r="G4" i="14"/>
  <c r="J4" i="14"/>
  <c r="A5" i="14"/>
  <c r="D5" i="14"/>
  <c r="E5" i="14"/>
  <c r="F5" i="14"/>
  <c r="G5" i="14"/>
  <c r="J5" i="14"/>
  <c r="A6" i="14"/>
  <c r="D6" i="14"/>
  <c r="E6" i="14"/>
  <c r="F6" i="14"/>
  <c r="G6" i="14"/>
  <c r="J6" i="14"/>
  <c r="B8" i="14"/>
  <c r="A10" i="14"/>
  <c r="D10" i="14"/>
  <c r="E10" i="14"/>
  <c r="F10" i="14"/>
  <c r="G10" i="14"/>
  <c r="J10" i="14"/>
  <c r="A11" i="14"/>
  <c r="D11" i="14"/>
  <c r="E11" i="14"/>
  <c r="F11" i="14"/>
  <c r="G11" i="14"/>
  <c r="J11" i="14"/>
  <c r="A12" i="14"/>
  <c r="E12" i="14"/>
  <c r="G12" i="14"/>
  <c r="J12" i="14"/>
  <c r="A13" i="14"/>
  <c r="E13" i="14"/>
  <c r="G13" i="14"/>
  <c r="J13" i="14"/>
  <c r="A14" i="14"/>
  <c r="E14" i="14"/>
  <c r="G14" i="14"/>
  <c r="J14" i="14"/>
  <c r="A15" i="14"/>
  <c r="E15" i="14"/>
  <c r="G15" i="14"/>
  <c r="J15" i="14"/>
  <c r="A17" i="14"/>
  <c r="D17" i="14"/>
  <c r="E17" i="14"/>
  <c r="F17" i="14"/>
  <c r="G17" i="14"/>
  <c r="J17" i="14"/>
  <c r="A18" i="14"/>
  <c r="D18" i="14"/>
  <c r="E18" i="14"/>
  <c r="F18" i="14"/>
  <c r="G18" i="14"/>
  <c r="I18" i="14" s="1"/>
  <c r="J18" i="14"/>
  <c r="A19" i="14"/>
  <c r="E19" i="14"/>
  <c r="G19" i="14"/>
  <c r="J19" i="14"/>
  <c r="A20" i="14"/>
  <c r="E20" i="14"/>
  <c r="G20" i="14"/>
  <c r="J20" i="14"/>
  <c r="A21" i="14"/>
  <c r="D21" i="14"/>
  <c r="E21" i="14"/>
  <c r="F21" i="14"/>
  <c r="G21" i="14"/>
  <c r="J21" i="14"/>
  <c r="A22" i="14"/>
  <c r="D22" i="14"/>
  <c r="E22" i="14"/>
  <c r="F22" i="14"/>
  <c r="G22" i="14"/>
  <c r="B22" i="14" s="1"/>
  <c r="J22" i="14"/>
  <c r="A24" i="14"/>
  <c r="D24" i="14"/>
  <c r="E24" i="14"/>
  <c r="F24" i="14"/>
  <c r="G24" i="14"/>
  <c r="J24" i="14"/>
  <c r="A25" i="14"/>
  <c r="D25" i="14"/>
  <c r="E25" i="14"/>
  <c r="F25" i="14"/>
  <c r="G25" i="14"/>
  <c r="J25" i="14"/>
  <c r="A26" i="14"/>
  <c r="D26" i="14"/>
  <c r="E26" i="14"/>
  <c r="F26" i="14"/>
  <c r="G26" i="14"/>
  <c r="J26" i="14"/>
  <c r="A27" i="14"/>
  <c r="D27" i="14"/>
  <c r="E27" i="14"/>
  <c r="F27" i="14"/>
  <c r="G27" i="14"/>
  <c r="J27" i="14"/>
  <c r="A28" i="14"/>
  <c r="D28" i="14"/>
  <c r="E28" i="14"/>
  <c r="F28" i="14"/>
  <c r="G28" i="14"/>
  <c r="J28" i="14"/>
  <c r="A29" i="14"/>
  <c r="D29" i="14"/>
  <c r="E29" i="14"/>
  <c r="F29" i="14"/>
  <c r="G29" i="14"/>
  <c r="J29" i="14"/>
  <c r="A31" i="14"/>
  <c r="D31" i="14"/>
  <c r="E31" i="14"/>
  <c r="F31" i="14"/>
  <c r="G31" i="14"/>
  <c r="J31" i="14"/>
  <c r="A32" i="14"/>
  <c r="D32" i="14"/>
  <c r="E32" i="14"/>
  <c r="F32" i="14"/>
  <c r="G32" i="14"/>
  <c r="J32" i="14"/>
  <c r="A33" i="14"/>
  <c r="D33" i="14"/>
  <c r="E33" i="14"/>
  <c r="F33" i="14"/>
  <c r="G33" i="14"/>
  <c r="J33" i="14"/>
  <c r="A34" i="14"/>
  <c r="D34" i="14"/>
  <c r="E34" i="14"/>
  <c r="F34" i="14"/>
  <c r="G34" i="14"/>
  <c r="J34" i="14"/>
  <c r="A35" i="14"/>
  <c r="E35" i="14"/>
  <c r="G35" i="14"/>
  <c r="J35" i="14"/>
  <c r="A36" i="14"/>
  <c r="E36" i="14"/>
  <c r="G36" i="14"/>
  <c r="J36" i="14"/>
  <c r="A38" i="14"/>
  <c r="D38" i="14"/>
  <c r="E38" i="14"/>
  <c r="F38" i="14"/>
  <c r="G38" i="14"/>
  <c r="J38" i="14"/>
  <c r="A39" i="14"/>
  <c r="D39" i="14"/>
  <c r="E39" i="14"/>
  <c r="F39" i="14"/>
  <c r="G39" i="14"/>
  <c r="J39" i="14"/>
  <c r="A40" i="14"/>
  <c r="E40" i="14"/>
  <c r="G40" i="14"/>
  <c r="J40" i="14"/>
  <c r="A41" i="14"/>
  <c r="E41" i="14"/>
  <c r="G41" i="14"/>
  <c r="J41" i="14"/>
  <c r="A42" i="14"/>
  <c r="D42" i="14"/>
  <c r="E42" i="14"/>
  <c r="F42" i="14"/>
  <c r="G42" i="14"/>
  <c r="J42" i="14"/>
  <c r="A43" i="14"/>
  <c r="D43" i="14"/>
  <c r="E43" i="14"/>
  <c r="F43" i="14"/>
  <c r="G43" i="14"/>
  <c r="J43" i="14"/>
  <c r="A45" i="14"/>
  <c r="E45" i="14"/>
  <c r="G45" i="14"/>
  <c r="J45" i="14"/>
  <c r="A46" i="14"/>
  <c r="E46" i="14"/>
  <c r="G46" i="14"/>
  <c r="J46" i="14"/>
  <c r="A47" i="14"/>
  <c r="D47" i="14"/>
  <c r="E47" i="14"/>
  <c r="F47" i="14"/>
  <c r="G47" i="14"/>
  <c r="J47" i="14"/>
  <c r="A48" i="14"/>
  <c r="D48" i="14"/>
  <c r="E48" i="14"/>
  <c r="F48" i="14"/>
  <c r="G48" i="14"/>
  <c r="J48" i="14"/>
  <c r="A49" i="14"/>
  <c r="D49" i="14"/>
  <c r="E49" i="14"/>
  <c r="F49" i="14"/>
  <c r="G49" i="14"/>
  <c r="J49" i="14"/>
  <c r="A50" i="14"/>
  <c r="D50" i="14"/>
  <c r="E50" i="14"/>
  <c r="F50" i="14"/>
  <c r="G50" i="14"/>
  <c r="H50" i="14" s="1"/>
  <c r="J50" i="14"/>
  <c r="A52" i="14"/>
  <c r="E52" i="14"/>
  <c r="G52" i="14"/>
  <c r="J52" i="14"/>
  <c r="A53" i="14"/>
  <c r="E53" i="14"/>
  <c r="G53" i="14"/>
  <c r="J53" i="14"/>
  <c r="A54" i="14"/>
  <c r="E54" i="14"/>
  <c r="G54" i="14"/>
  <c r="H54" i="14" s="1"/>
  <c r="J54" i="14"/>
  <c r="A55" i="14"/>
  <c r="E55" i="14"/>
  <c r="G55" i="14"/>
  <c r="I55" i="14" s="1"/>
  <c r="J55" i="14"/>
  <c r="A56" i="14"/>
  <c r="D56" i="14"/>
  <c r="E56" i="14"/>
  <c r="F56" i="14"/>
  <c r="G56" i="14"/>
  <c r="J56" i="14"/>
  <c r="A57" i="14"/>
  <c r="D57" i="14"/>
  <c r="E57" i="14"/>
  <c r="F57" i="14"/>
  <c r="G57" i="14"/>
  <c r="B57" i="14" s="1"/>
  <c r="J57" i="14"/>
  <c r="K7" i="12"/>
  <c r="K8" i="12"/>
  <c r="K9" i="12"/>
  <c r="K10" i="12"/>
  <c r="K14" i="12"/>
  <c r="K15" i="12"/>
  <c r="K16" i="12"/>
  <c r="K17" i="12"/>
  <c r="K21" i="12"/>
  <c r="K22" i="12"/>
  <c r="K23" i="12"/>
  <c r="K24" i="12"/>
  <c r="K28" i="12"/>
  <c r="K29" i="12"/>
  <c r="K30" i="12"/>
  <c r="K31" i="12"/>
  <c r="K35" i="12"/>
  <c r="K36" i="12"/>
  <c r="K37" i="12"/>
  <c r="K38" i="12"/>
  <c r="K42" i="12"/>
  <c r="K43" i="12"/>
  <c r="K44" i="12"/>
  <c r="K45" i="12"/>
  <c r="K49" i="12"/>
  <c r="K50" i="12"/>
  <c r="K51" i="12"/>
  <c r="K52" i="12"/>
  <c r="K56" i="12"/>
  <c r="K57" i="12"/>
  <c r="K58" i="12"/>
  <c r="K59" i="12"/>
  <c r="K2" i="11"/>
  <c r="H6" i="11"/>
  <c r="H7" i="11"/>
  <c r="D14" i="11"/>
  <c r="C19" i="11"/>
  <c r="C1" i="9"/>
  <c r="K16" i="1"/>
  <c r="M16" i="1"/>
  <c r="O16" i="1"/>
  <c r="Q16" i="1"/>
  <c r="K10" i="9"/>
  <c r="K16" i="2" s="1"/>
  <c r="L10" i="9"/>
  <c r="M10" i="9"/>
  <c r="M16" i="2" s="1"/>
  <c r="N10" i="9"/>
  <c r="O10" i="9"/>
  <c r="O16" i="2"/>
  <c r="P10" i="9"/>
  <c r="P16" i="2" s="1"/>
  <c r="Q10" i="9"/>
  <c r="Q16" i="2" s="1"/>
  <c r="R10" i="9"/>
  <c r="R16" i="2" s="1"/>
  <c r="K17" i="9"/>
  <c r="K16" i="3" s="1"/>
  <c r="L17" i="9"/>
  <c r="M17" i="9"/>
  <c r="N17" i="9"/>
  <c r="O17" i="9"/>
  <c r="O16" i="3" s="1"/>
  <c r="P17" i="9"/>
  <c r="Q17" i="9"/>
  <c r="R17" i="9"/>
  <c r="K24" i="9"/>
  <c r="L24" i="9"/>
  <c r="L16" i="4"/>
  <c r="M24" i="9"/>
  <c r="M16" i="4" s="1"/>
  <c r="N24" i="9"/>
  <c r="N16" i="4" s="1"/>
  <c r="O24" i="9"/>
  <c r="O16" i="4" s="1"/>
  <c r="P24" i="9"/>
  <c r="P16" i="4" s="1"/>
  <c r="Q24" i="9"/>
  <c r="Q16" i="4" s="1"/>
  <c r="R24" i="9"/>
  <c r="R16" i="4" s="1"/>
  <c r="K31" i="9"/>
  <c r="L31" i="9"/>
  <c r="L16" i="5" s="1"/>
  <c r="M31" i="9"/>
  <c r="N31" i="9"/>
  <c r="O31" i="9"/>
  <c r="P31" i="9"/>
  <c r="P16" i="5" s="1"/>
  <c r="Q31" i="9"/>
  <c r="R31" i="9"/>
  <c r="K38" i="9"/>
  <c r="L38" i="9"/>
  <c r="L16" i="6" s="1"/>
  <c r="M38" i="9"/>
  <c r="M16" i="6"/>
  <c r="N38" i="9"/>
  <c r="N16" i="6" s="1"/>
  <c r="O38" i="9"/>
  <c r="P38" i="9"/>
  <c r="P16" i="6"/>
  <c r="Q38" i="9"/>
  <c r="Q16" i="6" s="1"/>
  <c r="R38" i="9"/>
  <c r="R16" i="6" s="1"/>
  <c r="K45" i="9"/>
  <c r="K16" i="7" s="1"/>
  <c r="L45" i="9"/>
  <c r="M45" i="9"/>
  <c r="N45" i="9"/>
  <c r="O45" i="9"/>
  <c r="O16" i="7" s="1"/>
  <c r="P45" i="9"/>
  <c r="Q45" i="9"/>
  <c r="Q16" i="7" s="1"/>
  <c r="R45" i="9"/>
  <c r="K52" i="9"/>
  <c r="K16" i="8" s="1"/>
  <c r="L52" i="9"/>
  <c r="L16" i="8"/>
  <c r="M52" i="9"/>
  <c r="M16" i="8" s="1"/>
  <c r="N52" i="9"/>
  <c r="N16" i="8" s="1"/>
  <c r="O52" i="9"/>
  <c r="O16" i="8" s="1"/>
  <c r="P52" i="9"/>
  <c r="P16" i="8" s="1"/>
  <c r="Q52" i="9"/>
  <c r="R52" i="9"/>
  <c r="R16" i="8" s="1"/>
  <c r="P23" i="8"/>
  <c r="Q16" i="8"/>
  <c r="S16" i="8"/>
  <c r="H21" i="8"/>
  <c r="H57" i="9" s="1"/>
  <c r="F22" i="8"/>
  <c r="F58" i="9" s="1"/>
  <c r="H22" i="8"/>
  <c r="H58" i="9" s="1"/>
  <c r="L16" i="7"/>
  <c r="M16" i="7"/>
  <c r="N16" i="7"/>
  <c r="P16" i="7"/>
  <c r="R16" i="7"/>
  <c r="S16" i="7"/>
  <c r="F19" i="7"/>
  <c r="F48" i="9" s="1"/>
  <c r="H19" i="7"/>
  <c r="H48" i="9" s="1"/>
  <c r="F20" i="7"/>
  <c r="F49" i="9" s="1"/>
  <c r="H20" i="7"/>
  <c r="H49" i="9" s="1"/>
  <c r="F21" i="7"/>
  <c r="F50" i="9" s="1"/>
  <c r="H21" i="7"/>
  <c r="H50" i="9" s="1"/>
  <c r="F22" i="7"/>
  <c r="F51" i="9" s="1"/>
  <c r="H22" i="7"/>
  <c r="H51" i="9" s="1"/>
  <c r="B2" i="6"/>
  <c r="B4" i="6"/>
  <c r="P23" i="6" s="1"/>
  <c r="K16" i="6"/>
  <c r="O16" i="6"/>
  <c r="S16" i="6"/>
  <c r="F17" i="6"/>
  <c r="F39" i="9" s="1"/>
  <c r="H17" i="6"/>
  <c r="H39" i="9" s="1"/>
  <c r="F18" i="6"/>
  <c r="F40" i="9" s="1"/>
  <c r="H18" i="6"/>
  <c r="H40" i="9" s="1"/>
  <c r="F21" i="6"/>
  <c r="F43" i="9" s="1"/>
  <c r="H21" i="6"/>
  <c r="H43" i="9" s="1"/>
  <c r="F22" i="6"/>
  <c r="F44" i="9" s="1"/>
  <c r="H22" i="6"/>
  <c r="H44" i="9" s="1"/>
  <c r="B2" i="5"/>
  <c r="B4" i="5"/>
  <c r="K16" i="5"/>
  <c r="M16" i="5"/>
  <c r="N16" i="5"/>
  <c r="O16" i="5"/>
  <c r="Q16" i="5"/>
  <c r="R16" i="5"/>
  <c r="S16" i="5"/>
  <c r="F17" i="5"/>
  <c r="F32" i="9" s="1"/>
  <c r="H17" i="5"/>
  <c r="H32" i="9" s="1"/>
  <c r="F18" i="5"/>
  <c r="F33" i="9" s="1"/>
  <c r="H18" i="5"/>
  <c r="H33" i="9" s="1"/>
  <c r="F19" i="5"/>
  <c r="F34" i="9" s="1"/>
  <c r="H19" i="5"/>
  <c r="H34" i="9" s="1"/>
  <c r="F20" i="5"/>
  <c r="F35" i="9" s="1"/>
  <c r="H20" i="5"/>
  <c r="H35" i="9" s="1"/>
  <c r="B2" i="4"/>
  <c r="B4" i="4"/>
  <c r="P24" i="4" s="1"/>
  <c r="K16" i="4"/>
  <c r="S16" i="4"/>
  <c r="F17" i="4"/>
  <c r="F25" i="9" s="1"/>
  <c r="H17" i="4"/>
  <c r="H25" i="9" s="1"/>
  <c r="F18" i="4"/>
  <c r="F26" i="9" s="1"/>
  <c r="H18" i="4"/>
  <c r="H26" i="9" s="1"/>
  <c r="F19" i="4"/>
  <c r="F27" i="9" s="1"/>
  <c r="H19" i="4"/>
  <c r="H27" i="9" s="1"/>
  <c r="F20" i="4"/>
  <c r="F28" i="9" s="1"/>
  <c r="H20" i="4"/>
  <c r="H28" i="9" s="1"/>
  <c r="F21" i="4"/>
  <c r="F29" i="9" s="1"/>
  <c r="H21" i="4"/>
  <c r="H29" i="9" s="1"/>
  <c r="F22" i="4"/>
  <c r="F30" i="9" s="1"/>
  <c r="H22" i="4"/>
  <c r="H30" i="9" s="1"/>
  <c r="B2" i="3"/>
  <c r="B4" i="3"/>
  <c r="L16" i="3"/>
  <c r="M16" i="3"/>
  <c r="N16" i="3"/>
  <c r="P16" i="3"/>
  <c r="Q16" i="3"/>
  <c r="R16" i="3"/>
  <c r="S16" i="3"/>
  <c r="F17" i="3"/>
  <c r="F18" i="9" s="1"/>
  <c r="H17" i="3"/>
  <c r="H18" i="9" s="1"/>
  <c r="F18" i="3"/>
  <c r="F19" i="9" s="1"/>
  <c r="H18" i="3"/>
  <c r="H19" i="9" s="1"/>
  <c r="H21" i="3"/>
  <c r="H22" i="9" s="1"/>
  <c r="F22" i="3"/>
  <c r="F23" i="9" s="1"/>
  <c r="H22" i="3"/>
  <c r="H23" i="9" s="1"/>
  <c r="B2" i="2"/>
  <c r="B4" i="2"/>
  <c r="P23" i="2" s="1"/>
  <c r="L16" i="2"/>
  <c r="N16" i="2"/>
  <c r="S16" i="2"/>
  <c r="B2" i="1"/>
  <c r="B4" i="1"/>
  <c r="L16" i="1"/>
  <c r="N16" i="1"/>
  <c r="P16" i="1"/>
  <c r="R16" i="1"/>
  <c r="F17" i="1"/>
  <c r="F4" i="9" s="1"/>
  <c r="H17" i="1"/>
  <c r="H4" i="9" s="1"/>
  <c r="F18" i="1"/>
  <c r="F5" i="9" s="1"/>
  <c r="H18" i="1"/>
  <c r="H5" i="9" s="1"/>
  <c r="F19" i="1"/>
  <c r="F6" i="9" s="1"/>
  <c r="H19" i="1"/>
  <c r="H6" i="9" s="1"/>
  <c r="F20" i="1"/>
  <c r="F7" i="9" s="1"/>
  <c r="H20" i="1"/>
  <c r="H7" i="9" s="1"/>
  <c r="I7" i="14"/>
  <c r="C7" i="14"/>
  <c r="H7" i="14"/>
  <c r="C29" i="14" l="1"/>
  <c r="B28" i="14"/>
  <c r="B27" i="14"/>
  <c r="B26" i="14"/>
  <c r="B19" i="14"/>
  <c r="H15" i="14"/>
  <c r="C15" i="14"/>
  <c r="H14" i="14"/>
  <c r="I53" i="14"/>
  <c r="C48" i="14"/>
  <c r="B47" i="14"/>
  <c r="C42" i="14"/>
  <c r="C33" i="14"/>
  <c r="H21" i="14"/>
  <c r="B21" i="14"/>
  <c r="C19" i="14"/>
  <c r="C18" i="14"/>
  <c r="C22" i="14"/>
  <c r="H18" i="14"/>
  <c r="B20" i="14"/>
  <c r="H28" i="14"/>
  <c r="H29" i="14"/>
  <c r="I33" i="14"/>
  <c r="B33" i="14"/>
  <c r="H33" i="14"/>
  <c r="C43" i="14"/>
  <c r="H41" i="14"/>
  <c r="I40" i="14"/>
  <c r="I49" i="14"/>
  <c r="I47" i="14"/>
  <c r="B50" i="14"/>
  <c r="H48" i="14"/>
  <c r="H49" i="14"/>
  <c r="C47" i="14"/>
  <c r="C55" i="14"/>
  <c r="I52" i="14"/>
  <c r="O53" i="14" s="1"/>
  <c r="N57" i="12" s="1"/>
  <c r="I54" i="14"/>
  <c r="I57" i="14"/>
  <c r="C54" i="14"/>
  <c r="H55" i="14"/>
  <c r="H47" i="14"/>
  <c r="C49" i="14"/>
  <c r="C41" i="14"/>
  <c r="H40" i="14"/>
  <c r="H35" i="14"/>
  <c r="B34" i="14"/>
  <c r="I36" i="14"/>
  <c r="C36" i="14"/>
  <c r="B35" i="14"/>
  <c r="H34" i="14"/>
  <c r="C34" i="14"/>
  <c r="I35" i="14"/>
  <c r="I28" i="14"/>
  <c r="C50" i="14"/>
  <c r="I41" i="14"/>
  <c r="B40" i="14"/>
  <c r="C40" i="14"/>
  <c r="B41" i="14"/>
  <c r="B36" i="14"/>
  <c r="H36" i="14"/>
  <c r="C35" i="14"/>
  <c r="B29" i="14"/>
  <c r="H27" i="14"/>
  <c r="M10" i="14"/>
  <c r="I5" i="14"/>
  <c r="I6" i="14"/>
  <c r="B56" i="14"/>
  <c r="C57" i="14"/>
  <c r="H43" i="14"/>
  <c r="B42" i="14"/>
  <c r="I42" i="14"/>
  <c r="H42" i="14"/>
  <c r="B43" i="14"/>
  <c r="I43" i="14"/>
  <c r="I27" i="14"/>
  <c r="H22" i="14"/>
  <c r="C20" i="14"/>
  <c r="H19" i="14"/>
  <c r="C21" i="14"/>
  <c r="I13" i="14"/>
  <c r="B15" i="14"/>
  <c r="B6" i="14"/>
  <c r="H20" i="14"/>
  <c r="I15" i="14"/>
  <c r="I21" i="14"/>
  <c r="B48" i="14"/>
  <c r="B54" i="14"/>
  <c r="B14" i="14"/>
  <c r="H26" i="14"/>
  <c r="B55" i="14"/>
  <c r="H56" i="14"/>
  <c r="C56" i="14"/>
  <c r="H52" i="14"/>
  <c r="I46" i="14"/>
  <c r="I39" i="14"/>
  <c r="I32" i="14"/>
  <c r="M13" i="14"/>
  <c r="B49" i="14"/>
  <c r="H57" i="14"/>
  <c r="I56" i="14"/>
  <c r="I19" i="14"/>
  <c r="C26" i="14"/>
  <c r="I22" i="14"/>
  <c r="I20" i="14"/>
  <c r="M55" i="14"/>
  <c r="Q5" i="14"/>
  <c r="O9" i="12" s="1"/>
  <c r="N6" i="11"/>
  <c r="N5" i="11"/>
  <c r="C16" i="11"/>
  <c r="D16" i="11" s="1"/>
  <c r="B16" i="11" s="1"/>
  <c r="Q54" i="14"/>
  <c r="O58" i="12" s="1"/>
  <c r="R55" i="14"/>
  <c r="P59" i="12" s="1"/>
  <c r="M53" i="14"/>
  <c r="Q52" i="14"/>
  <c r="O56" i="12" s="1"/>
  <c r="R53" i="14"/>
  <c r="P57" i="12" s="1"/>
  <c r="B53" i="14"/>
  <c r="Q55" i="14"/>
  <c r="O59" i="12" s="1"/>
  <c r="R54" i="14"/>
  <c r="P58" i="12" s="1"/>
  <c r="M54" i="14"/>
  <c r="B52" i="14"/>
  <c r="Q53" i="14"/>
  <c r="O57" i="12" s="1"/>
  <c r="R52" i="14"/>
  <c r="P56" i="12" s="1"/>
  <c r="M52" i="14"/>
  <c r="Q47" i="14"/>
  <c r="O51" i="12" s="1"/>
  <c r="R48" i="14"/>
  <c r="P52" i="12" s="1"/>
  <c r="M46" i="14"/>
  <c r="Q45" i="14"/>
  <c r="O49" i="12" s="1"/>
  <c r="R46" i="14"/>
  <c r="P50" i="12" s="1"/>
  <c r="M48" i="14"/>
  <c r="Q48" i="14"/>
  <c r="O52" i="12" s="1"/>
  <c r="R47" i="14"/>
  <c r="P51" i="12" s="1"/>
  <c r="M47" i="14"/>
  <c r="I45" i="14"/>
  <c r="Q46" i="14"/>
  <c r="O50" i="12" s="1"/>
  <c r="R45" i="14"/>
  <c r="P49" i="12" s="1"/>
  <c r="M45" i="14"/>
  <c r="M39" i="14"/>
  <c r="M41" i="14"/>
  <c r="Q41" i="14"/>
  <c r="O45" i="12" s="1"/>
  <c r="R40" i="14"/>
  <c r="P44" i="12" s="1"/>
  <c r="Q40" i="14"/>
  <c r="O44" i="12" s="1"/>
  <c r="R41" i="14"/>
  <c r="P45" i="12" s="1"/>
  <c r="M40" i="14"/>
  <c r="I38" i="14"/>
  <c r="Q39" i="14"/>
  <c r="O43" i="12" s="1"/>
  <c r="R38" i="14"/>
  <c r="P42" i="12" s="1"/>
  <c r="Q38" i="14"/>
  <c r="O42" i="12" s="1"/>
  <c r="R39" i="14"/>
  <c r="P43" i="12" s="1"/>
  <c r="M38" i="14"/>
  <c r="M32" i="14"/>
  <c r="M34" i="14"/>
  <c r="Q34" i="14"/>
  <c r="O38" i="12" s="1"/>
  <c r="R33" i="14"/>
  <c r="P37" i="12" s="1"/>
  <c r="Q33" i="14"/>
  <c r="O37" i="12" s="1"/>
  <c r="R34" i="14"/>
  <c r="P38" i="12" s="1"/>
  <c r="M33" i="14"/>
  <c r="I31" i="14"/>
  <c r="Q32" i="14"/>
  <c r="O36" i="12" s="1"/>
  <c r="R31" i="14"/>
  <c r="P35" i="12" s="1"/>
  <c r="Q31" i="14"/>
  <c r="O35" i="12" s="1"/>
  <c r="R32" i="14"/>
  <c r="P36" i="12" s="1"/>
  <c r="M31" i="14"/>
  <c r="M27" i="14"/>
  <c r="Q27" i="14"/>
  <c r="O31" i="12" s="1"/>
  <c r="R26" i="14"/>
  <c r="P30" i="12" s="1"/>
  <c r="Q26" i="14"/>
  <c r="O30" i="12" s="1"/>
  <c r="R27" i="14"/>
  <c r="P31" i="12" s="1"/>
  <c r="M26" i="14"/>
  <c r="I24" i="14"/>
  <c r="Q25" i="14"/>
  <c r="O29" i="12" s="1"/>
  <c r="R24" i="14"/>
  <c r="P28" i="12" s="1"/>
  <c r="Q24" i="14"/>
  <c r="O28" i="12" s="1"/>
  <c r="R25" i="14"/>
  <c r="P29" i="12" s="1"/>
  <c r="M24" i="14"/>
  <c r="I25" i="14"/>
  <c r="O27" i="14" s="1"/>
  <c r="N31" i="12" s="1"/>
  <c r="M25" i="14"/>
  <c r="O20" i="14"/>
  <c r="N24" i="12" s="1"/>
  <c r="M20" i="14"/>
  <c r="M18" i="14"/>
  <c r="Q20" i="14"/>
  <c r="O24" i="12" s="1"/>
  <c r="R19" i="14"/>
  <c r="P23" i="12" s="1"/>
  <c r="Q19" i="14"/>
  <c r="O23" i="12" s="1"/>
  <c r="R20" i="14"/>
  <c r="P24" i="12" s="1"/>
  <c r="M19" i="14"/>
  <c r="I17" i="14"/>
  <c r="Q18" i="14"/>
  <c r="O22" i="12" s="1"/>
  <c r="R17" i="14"/>
  <c r="P21" i="12" s="1"/>
  <c r="Q17" i="14"/>
  <c r="O21" i="12" s="1"/>
  <c r="R18" i="14"/>
  <c r="P22" i="12" s="1"/>
  <c r="M17" i="14"/>
  <c r="R12" i="14"/>
  <c r="P16" i="12" s="1"/>
  <c r="Q12" i="14"/>
  <c r="O16" i="12" s="1"/>
  <c r="M12" i="14"/>
  <c r="I10" i="14"/>
  <c r="Q11" i="14"/>
  <c r="O15" i="12" s="1"/>
  <c r="R11" i="14"/>
  <c r="P15" i="12" s="1"/>
  <c r="I12" i="14"/>
  <c r="I11" i="14"/>
  <c r="M11" i="14"/>
  <c r="R13" i="14"/>
  <c r="P17" i="12" s="1"/>
  <c r="Q10" i="14"/>
  <c r="O14" i="12" s="1"/>
  <c r="R10" i="14"/>
  <c r="P14" i="12" s="1"/>
  <c r="Q13" i="14"/>
  <c r="O17" i="12" s="1"/>
  <c r="N4" i="11"/>
  <c r="N7" i="11"/>
  <c r="N9" i="11"/>
  <c r="N8" i="11"/>
  <c r="Q6" i="14"/>
  <c r="O10" i="12" s="1"/>
  <c r="R4" i="14"/>
  <c r="P8" i="12" s="1"/>
  <c r="I3" i="14"/>
  <c r="R3" i="14"/>
  <c r="P7" i="12" s="1"/>
  <c r="Q4" i="14"/>
  <c r="O8" i="12" s="1"/>
  <c r="M3" i="14"/>
  <c r="M4" i="14"/>
  <c r="Q3" i="14"/>
  <c r="O7" i="12" s="1"/>
  <c r="R5" i="14"/>
  <c r="P9" i="12" s="1"/>
  <c r="M6" i="14"/>
  <c r="M5" i="14"/>
  <c r="R6" i="14"/>
  <c r="P10" i="12" s="1"/>
  <c r="H6" i="14"/>
  <c r="C6" i="14"/>
  <c r="I4" i="14"/>
  <c r="H53" i="14"/>
  <c r="C52" i="14"/>
  <c r="C53" i="14"/>
  <c r="I48" i="14"/>
  <c r="B45" i="14"/>
  <c r="O45" i="14" s="1"/>
  <c r="N49" i="12" s="1"/>
  <c r="I50" i="14"/>
  <c r="B46" i="14"/>
  <c r="C46" i="14"/>
  <c r="C45" i="14"/>
  <c r="H46" i="14"/>
  <c r="H45" i="14"/>
  <c r="C39" i="14"/>
  <c r="C38" i="14"/>
  <c r="H38" i="14"/>
  <c r="N39" i="14" s="1"/>
  <c r="L43" i="12" s="1"/>
  <c r="B38" i="14"/>
  <c r="H39" i="14"/>
  <c r="B39" i="14"/>
  <c r="I34" i="14"/>
  <c r="B31" i="14"/>
  <c r="B32" i="14"/>
  <c r="C32" i="14"/>
  <c r="C31" i="14"/>
  <c r="H32" i="14"/>
  <c r="H31" i="14"/>
  <c r="I29" i="14"/>
  <c r="C28" i="14"/>
  <c r="I26" i="14"/>
  <c r="B24" i="14"/>
  <c r="O24" i="14" s="1"/>
  <c r="N28" i="12" s="1"/>
  <c r="C27" i="14"/>
  <c r="B25" i="14"/>
  <c r="C25" i="14"/>
  <c r="C24" i="14"/>
  <c r="H25" i="14"/>
  <c r="H24" i="14"/>
  <c r="B17" i="14"/>
  <c r="B18" i="14"/>
  <c r="C17" i="14"/>
  <c r="H17" i="14"/>
  <c r="I14" i="14"/>
  <c r="B12" i="14"/>
  <c r="B10" i="14"/>
  <c r="B13" i="14"/>
  <c r="B11" i="14"/>
  <c r="C13" i="14"/>
  <c r="C12" i="14"/>
  <c r="C11" i="14"/>
  <c r="C10" i="14"/>
  <c r="C14" i="14"/>
  <c r="H13" i="14"/>
  <c r="H12" i="14"/>
  <c r="H11" i="14"/>
  <c r="H10" i="14"/>
  <c r="H8" i="14"/>
  <c r="I8" i="14"/>
  <c r="C8" i="14"/>
  <c r="B7" i="14"/>
  <c r="C4" i="14"/>
  <c r="C5" i="14"/>
  <c r="C3" i="14"/>
  <c r="H5" i="14"/>
  <c r="B5" i="14"/>
  <c r="H4" i="14"/>
  <c r="B4" i="14"/>
  <c r="H3" i="14"/>
  <c r="B3" i="14"/>
  <c r="P24" i="6"/>
  <c r="P22" i="6" s="1"/>
  <c r="P24" i="2"/>
  <c r="P22" i="2" s="1"/>
  <c r="P23" i="4"/>
  <c r="P22" i="4" s="1"/>
  <c r="P23" i="1"/>
  <c r="P24" i="3"/>
  <c r="P24" i="8"/>
  <c r="P22" i="8" s="1"/>
  <c r="P23" i="3"/>
  <c r="P24" i="1"/>
  <c r="P24" i="5"/>
  <c r="P23" i="5"/>
  <c r="N55" i="14" l="1"/>
  <c r="L59" i="12" s="1"/>
  <c r="N20" i="14"/>
  <c r="L24" i="12" s="1"/>
  <c r="Q14" i="12"/>
  <c r="N17" i="14"/>
  <c r="L21" i="12" s="1"/>
  <c r="N31" i="14"/>
  <c r="L35" i="12" s="1"/>
  <c r="N33" i="14"/>
  <c r="L37" i="12" s="1"/>
  <c r="O33" i="14"/>
  <c r="N37" i="12" s="1"/>
  <c r="N41" i="14"/>
  <c r="L45" i="12" s="1"/>
  <c r="N46" i="14"/>
  <c r="L50" i="12" s="1"/>
  <c r="O47" i="14"/>
  <c r="N51" i="12" s="1"/>
  <c r="N47" i="14"/>
  <c r="L51" i="12" s="1"/>
  <c r="N45" i="14"/>
  <c r="L49" i="12" s="1"/>
  <c r="N52" i="14"/>
  <c r="L56" i="12" s="1"/>
  <c r="O55" i="14"/>
  <c r="N59" i="12" s="1"/>
  <c r="O54" i="14"/>
  <c r="N58" i="12" s="1"/>
  <c r="N48" i="14"/>
  <c r="L52" i="12" s="1"/>
  <c r="O40" i="14"/>
  <c r="N44" i="12" s="1"/>
  <c r="O31" i="14"/>
  <c r="N35" i="12" s="1"/>
  <c r="O34" i="14"/>
  <c r="N38" i="12" s="1"/>
  <c r="N32" i="14"/>
  <c r="L36" i="12" s="1"/>
  <c r="N25" i="14"/>
  <c r="L29" i="12" s="1"/>
  <c r="O17" i="14"/>
  <c r="N21" i="12" s="1"/>
  <c r="N19" i="14"/>
  <c r="L23" i="12" s="1"/>
  <c r="Q57" i="12"/>
  <c r="N40" i="14"/>
  <c r="L44" i="12" s="1"/>
  <c r="O41" i="14"/>
  <c r="N45" i="12" s="1"/>
  <c r="N34" i="14"/>
  <c r="L38" i="12" s="1"/>
  <c r="N26" i="14"/>
  <c r="L30" i="12" s="1"/>
  <c r="O18" i="14"/>
  <c r="N22" i="12" s="1"/>
  <c r="O12" i="14"/>
  <c r="N16" i="12" s="1"/>
  <c r="O4" i="14"/>
  <c r="N8" i="12" s="1"/>
  <c r="N6" i="14"/>
  <c r="L10" i="12" s="1"/>
  <c r="Q8" i="12"/>
  <c r="O3" i="14"/>
  <c r="N7" i="12" s="1"/>
  <c r="Q9" i="12"/>
  <c r="Q7" i="12"/>
  <c r="N53" i="14"/>
  <c r="L57" i="12" s="1"/>
  <c r="Q56" i="12"/>
  <c r="O52" i="14"/>
  <c r="N56" i="12" s="1"/>
  <c r="Q59" i="12"/>
  <c r="N54" i="14"/>
  <c r="L58" i="12" s="1"/>
  <c r="O48" i="14"/>
  <c r="N52" i="12" s="1"/>
  <c r="Q42" i="12"/>
  <c r="N38" i="14"/>
  <c r="L42" i="12" s="1"/>
  <c r="O39" i="14"/>
  <c r="N43" i="12" s="1"/>
  <c r="Q35" i="12"/>
  <c r="O26" i="14"/>
  <c r="N30" i="12" s="1"/>
  <c r="O25" i="14"/>
  <c r="N29" i="12" s="1"/>
  <c r="Q28" i="12"/>
  <c r="N18" i="14"/>
  <c r="L22" i="12" s="1"/>
  <c r="O19" i="14"/>
  <c r="N23" i="12" s="1"/>
  <c r="Q23" i="12"/>
  <c r="Q17" i="12"/>
  <c r="O11" i="14"/>
  <c r="N15" i="12" s="1"/>
  <c r="Q16" i="12"/>
  <c r="N3" i="14"/>
  <c r="N11" i="14"/>
  <c r="L15" i="12" s="1"/>
  <c r="N10" i="14"/>
  <c r="L14" i="12" s="1"/>
  <c r="N24" i="14"/>
  <c r="L28" i="12" s="1"/>
  <c r="P20" i="14"/>
  <c r="M24" i="12" s="1"/>
  <c r="R24" i="12" s="1"/>
  <c r="W24" i="12" s="1"/>
  <c r="N27" i="14"/>
  <c r="L31" i="12" s="1"/>
  <c r="O6" i="14"/>
  <c r="N10" i="12" s="1"/>
  <c r="Q21" i="12"/>
  <c r="Q30" i="12"/>
  <c r="Q37" i="12"/>
  <c r="Q50" i="12"/>
  <c r="Q52" i="12"/>
  <c r="C7" i="9"/>
  <c r="C53" i="9"/>
  <c r="E19" i="6"/>
  <c r="E41" i="9" s="1"/>
  <c r="C41" i="9"/>
  <c r="E18" i="4"/>
  <c r="E26" i="9" s="1"/>
  <c r="C26" i="9"/>
  <c r="C6" i="9"/>
  <c r="O13" i="14"/>
  <c r="N17" i="12" s="1"/>
  <c r="Q29" i="12"/>
  <c r="Q31" i="12"/>
  <c r="Q36" i="12"/>
  <c r="Q43" i="12"/>
  <c r="Q45" i="12"/>
  <c r="O5" i="14"/>
  <c r="N9" i="12" s="1"/>
  <c r="Q10" i="12"/>
  <c r="Q44" i="12"/>
  <c r="P55" i="14"/>
  <c r="M59" i="12" s="1"/>
  <c r="R59" i="12" s="1"/>
  <c r="W59" i="12" s="1"/>
  <c r="P53" i="14"/>
  <c r="M57" i="12" s="1"/>
  <c r="R57" i="12" s="1"/>
  <c r="W57" i="12" s="1"/>
  <c r="Q58" i="12"/>
  <c r="O46" i="14"/>
  <c r="N50" i="12" s="1"/>
  <c r="Q49" i="12"/>
  <c r="P45" i="14"/>
  <c r="M49" i="12" s="1"/>
  <c r="R49" i="12" s="1"/>
  <c r="Q51" i="12"/>
  <c r="O38" i="14"/>
  <c r="N42" i="12" s="1"/>
  <c r="O32" i="14"/>
  <c r="N36" i="12" s="1"/>
  <c r="P31" i="14"/>
  <c r="M35" i="12" s="1"/>
  <c r="Q38" i="12"/>
  <c r="Q22" i="12"/>
  <c r="Q24" i="12"/>
  <c r="O10" i="14"/>
  <c r="N14" i="12" s="1"/>
  <c r="N13" i="14"/>
  <c r="L17" i="12" s="1"/>
  <c r="N12" i="14"/>
  <c r="L16" i="12" s="1"/>
  <c r="N4" i="14"/>
  <c r="P4" i="14" s="1"/>
  <c r="M8" i="12" s="1"/>
  <c r="N5" i="14"/>
  <c r="Q15" i="12"/>
  <c r="P22" i="5"/>
  <c r="P22" i="3"/>
  <c r="P22" i="1"/>
  <c r="E19" i="1" s="1"/>
  <c r="E6" i="9" s="1"/>
  <c r="P33" i="14" l="1"/>
  <c r="M37" i="12" s="1"/>
  <c r="P18" i="14"/>
  <c r="M22" i="12" s="1"/>
  <c r="P5" i="14"/>
  <c r="M9" i="12" s="1"/>
  <c r="P17" i="14"/>
  <c r="M21" i="12" s="1"/>
  <c r="R21" i="12" s="1"/>
  <c r="W21" i="12" s="1"/>
  <c r="P27" i="14"/>
  <c r="M31" i="12" s="1"/>
  <c r="R31" i="12" s="1"/>
  <c r="P34" i="14"/>
  <c r="M38" i="12" s="1"/>
  <c r="P40" i="14"/>
  <c r="M44" i="12" s="1"/>
  <c r="P47" i="14"/>
  <c r="M51" i="12" s="1"/>
  <c r="R51" i="12" s="1"/>
  <c r="W51" i="12" s="1"/>
  <c r="P25" i="14"/>
  <c r="M29" i="12" s="1"/>
  <c r="R29" i="12" s="1"/>
  <c r="P54" i="14"/>
  <c r="M58" i="12" s="1"/>
  <c r="R58" i="12" s="1"/>
  <c r="W58" i="12" s="1"/>
  <c r="P48" i="14"/>
  <c r="M52" i="12" s="1"/>
  <c r="R52" i="12" s="1"/>
  <c r="W52" i="12" s="1"/>
  <c r="P41" i="14"/>
  <c r="M45" i="12" s="1"/>
  <c r="R45" i="12" s="1"/>
  <c r="P39" i="14"/>
  <c r="M43" i="12" s="1"/>
  <c r="R43" i="12" s="1"/>
  <c r="W43" i="12" s="1"/>
  <c r="L9" i="12"/>
  <c r="P3" i="14"/>
  <c r="M7" i="12" s="1"/>
  <c r="P52" i="14"/>
  <c r="M56" i="12" s="1"/>
  <c r="R56" i="12" s="1"/>
  <c r="S58" i="12" s="1"/>
  <c r="P26" i="14"/>
  <c r="M30" i="12" s="1"/>
  <c r="R30" i="12" s="1"/>
  <c r="W30" i="12" s="1"/>
  <c r="P24" i="14"/>
  <c r="M28" i="12" s="1"/>
  <c r="R28" i="12" s="1"/>
  <c r="W28" i="12" s="1"/>
  <c r="P19" i="14"/>
  <c r="M23" i="12" s="1"/>
  <c r="R23" i="12" s="1"/>
  <c r="W23" i="12" s="1"/>
  <c r="P10" i="14"/>
  <c r="M14" i="12" s="1"/>
  <c r="R14" i="12" s="1"/>
  <c r="P11" i="14"/>
  <c r="M15" i="12" s="1"/>
  <c r="R15" i="12" s="1"/>
  <c r="W15" i="12" s="1"/>
  <c r="L7" i="12"/>
  <c r="P6" i="14"/>
  <c r="M10" i="12" s="1"/>
  <c r="R10" i="12" s="1"/>
  <c r="W10" i="12" s="1"/>
  <c r="P12" i="14"/>
  <c r="M16" i="12" s="1"/>
  <c r="E53" i="9"/>
  <c r="P13" i="14"/>
  <c r="M17" i="12" s="1"/>
  <c r="P32" i="14"/>
  <c r="M36" i="12" s="1"/>
  <c r="R36" i="12" s="1"/>
  <c r="W36" i="12" s="1"/>
  <c r="E20" i="1"/>
  <c r="E7" i="9" s="1"/>
  <c r="E17" i="1"/>
  <c r="E4" i="9" s="1"/>
  <c r="E21" i="2"/>
  <c r="E15" i="9" s="1"/>
  <c r="C15" i="9"/>
  <c r="E17" i="3"/>
  <c r="E18" i="9" s="1"/>
  <c r="C18" i="9"/>
  <c r="E19" i="3"/>
  <c r="E20" i="9" s="1"/>
  <c r="C20" i="9"/>
  <c r="E20" i="4"/>
  <c r="E28" i="9" s="1"/>
  <c r="C28" i="9"/>
  <c r="E22" i="4"/>
  <c r="E30" i="9" s="1"/>
  <c r="C30" i="9"/>
  <c r="E22" i="6"/>
  <c r="E44" i="9" s="1"/>
  <c r="C44" i="9"/>
  <c r="E22" i="7"/>
  <c r="E51" i="9" s="1"/>
  <c r="C51" i="9"/>
  <c r="E18" i="1"/>
  <c r="E5" i="9" s="1"/>
  <c r="C5" i="9"/>
  <c r="E22" i="2"/>
  <c r="E16" i="9" s="1"/>
  <c r="C16" i="9"/>
  <c r="E21" i="4"/>
  <c r="E29" i="9" s="1"/>
  <c r="C29" i="9"/>
  <c r="E21" i="6"/>
  <c r="E43" i="9" s="1"/>
  <c r="C43" i="9"/>
  <c r="E17" i="7"/>
  <c r="E46" i="9" s="1"/>
  <c r="C46" i="9"/>
  <c r="E21" i="7"/>
  <c r="E50" i="9" s="1"/>
  <c r="C50" i="9"/>
  <c r="E20" i="8"/>
  <c r="E56" i="9" s="1"/>
  <c r="C56" i="9"/>
  <c r="E22" i="1"/>
  <c r="E9" i="9" s="1"/>
  <c r="C9" i="9"/>
  <c r="E21" i="3"/>
  <c r="E22" i="9" s="1"/>
  <c r="C22" i="9"/>
  <c r="E21" i="5"/>
  <c r="E36" i="9" s="1"/>
  <c r="C36" i="9"/>
  <c r="E21" i="8"/>
  <c r="E57" i="9" s="1"/>
  <c r="C57" i="9"/>
  <c r="E21" i="1"/>
  <c r="E8" i="9" s="1"/>
  <c r="C8" i="9"/>
  <c r="E22" i="3"/>
  <c r="E23" i="9" s="1"/>
  <c r="C23" i="9"/>
  <c r="E22" i="5"/>
  <c r="E37" i="9" s="1"/>
  <c r="C37" i="9"/>
  <c r="E22" i="8"/>
  <c r="E58" i="9" s="1"/>
  <c r="C58" i="9"/>
  <c r="C4" i="9"/>
  <c r="E18" i="2"/>
  <c r="E12" i="9" s="1"/>
  <c r="C12" i="9"/>
  <c r="E17" i="6"/>
  <c r="E39" i="9" s="1"/>
  <c r="C39" i="9"/>
  <c r="E20" i="6"/>
  <c r="E42" i="9" s="1"/>
  <c r="C42" i="9"/>
  <c r="E18" i="7"/>
  <c r="E47" i="9" s="1"/>
  <c r="C47" i="9"/>
  <c r="E19" i="8"/>
  <c r="E55" i="9" s="1"/>
  <c r="C55" i="9"/>
  <c r="E19" i="2"/>
  <c r="E13" i="9" s="1"/>
  <c r="C13" i="9"/>
  <c r="E18" i="3"/>
  <c r="E19" i="9" s="1"/>
  <c r="C19" i="9"/>
  <c r="E20" i="3"/>
  <c r="E21" i="9" s="1"/>
  <c r="C21" i="9"/>
  <c r="E20" i="5"/>
  <c r="E35" i="9" s="1"/>
  <c r="C35" i="9"/>
  <c r="E18" i="8"/>
  <c r="E54" i="9" s="1"/>
  <c r="C54" i="9"/>
  <c r="E19" i="7"/>
  <c r="E48" i="9" s="1"/>
  <c r="C48" i="9"/>
  <c r="E18" i="5"/>
  <c r="E33" i="9" s="1"/>
  <c r="C33" i="9"/>
  <c r="E17" i="2"/>
  <c r="E11" i="9" s="1"/>
  <c r="C11" i="9"/>
  <c r="E19" i="5"/>
  <c r="E34" i="9" s="1"/>
  <c r="C34" i="9"/>
  <c r="E19" i="4"/>
  <c r="E27" i="9" s="1"/>
  <c r="C27" i="9"/>
  <c r="E17" i="4"/>
  <c r="E25" i="9" s="1"/>
  <c r="C25" i="9"/>
  <c r="E18" i="6"/>
  <c r="E40" i="9" s="1"/>
  <c r="C40" i="9"/>
  <c r="E20" i="7"/>
  <c r="E49" i="9" s="1"/>
  <c r="C49" i="9"/>
  <c r="E20" i="2"/>
  <c r="E14" i="9" s="1"/>
  <c r="C14" i="9"/>
  <c r="E17" i="5"/>
  <c r="E32" i="9" s="1"/>
  <c r="C32" i="9"/>
  <c r="L8" i="12"/>
  <c r="R8" i="12" s="1"/>
  <c r="W8" i="12" s="1"/>
  <c r="P46" i="14"/>
  <c r="M50" i="12" s="1"/>
  <c r="P38" i="14"/>
  <c r="M42" i="12" s="1"/>
  <c r="R42" i="12" s="1"/>
  <c r="W42" i="12" s="1"/>
  <c r="W49" i="12"/>
  <c r="R50" i="12"/>
  <c r="W50" i="12" s="1"/>
  <c r="R44" i="12"/>
  <c r="R37" i="12"/>
  <c r="R38" i="12"/>
  <c r="W38" i="12" s="1"/>
  <c r="R35" i="12"/>
  <c r="R22" i="12"/>
  <c r="W22" i="12" s="1"/>
  <c r="R16" i="12"/>
  <c r="W16" i="12" s="1"/>
  <c r="R17" i="12"/>
  <c r="W17" i="12" s="1"/>
  <c r="W56" i="12" l="1"/>
  <c r="S59" i="12"/>
  <c r="S44" i="12"/>
  <c r="S29" i="12"/>
  <c r="R9" i="12"/>
  <c r="W9" i="12" s="1"/>
  <c r="T59" i="12"/>
  <c r="U59" i="12" s="1"/>
  <c r="X57" i="12"/>
  <c r="S56" i="12"/>
  <c r="T58" i="12"/>
  <c r="U58" i="12" s="1"/>
  <c r="S57" i="12"/>
  <c r="T56" i="12"/>
  <c r="T57" i="12"/>
  <c r="R7" i="12"/>
  <c r="W7" i="12" s="1"/>
  <c r="X8" i="12" s="1"/>
  <c r="T23" i="12"/>
  <c r="T24" i="12"/>
  <c r="X23" i="12"/>
  <c r="T21" i="12"/>
  <c r="S45" i="12"/>
  <c r="T22" i="12"/>
  <c r="S28" i="12"/>
  <c r="S36" i="12"/>
  <c r="X52" i="12"/>
  <c r="S52" i="12"/>
  <c r="S50" i="12"/>
  <c r="S38" i="12"/>
  <c r="W37" i="12"/>
  <c r="S37" i="12"/>
  <c r="S35" i="12"/>
  <c r="S31" i="12"/>
  <c r="S30" i="12"/>
  <c r="S23" i="12"/>
  <c r="S24" i="12"/>
  <c r="S22" i="12"/>
  <c r="S21" i="12"/>
  <c r="S16" i="12"/>
  <c r="S15" i="12"/>
  <c r="S14" i="12"/>
  <c r="X22" i="12"/>
  <c r="S51" i="12"/>
  <c r="S49" i="12"/>
  <c r="S17" i="12"/>
  <c r="X56" i="12"/>
  <c r="X59" i="12"/>
  <c r="X58" i="12"/>
  <c r="X51" i="12"/>
  <c r="X50" i="12"/>
  <c r="T49" i="12"/>
  <c r="T50" i="12"/>
  <c r="U50" i="12" s="1"/>
  <c r="X49" i="12"/>
  <c r="T52" i="12"/>
  <c r="T51" i="12"/>
  <c r="W44" i="12"/>
  <c r="T44" i="12"/>
  <c r="U44" i="12" s="1"/>
  <c r="S43" i="12"/>
  <c r="S42" i="12"/>
  <c r="T43" i="12"/>
  <c r="T42" i="12"/>
  <c r="W45" i="12"/>
  <c r="T45" i="12"/>
  <c r="W35" i="12"/>
  <c r="T37" i="12"/>
  <c r="T38" i="12"/>
  <c r="T36" i="12"/>
  <c r="T35" i="12"/>
  <c r="T29" i="12"/>
  <c r="U29" i="12" s="1"/>
  <c r="W29" i="12"/>
  <c r="T31" i="12"/>
  <c r="W31" i="12"/>
  <c r="T30" i="12"/>
  <c r="T28" i="12"/>
  <c r="X24" i="12"/>
  <c r="X21" i="12"/>
  <c r="W14" i="12"/>
  <c r="X16" i="12" s="1"/>
  <c r="T15" i="12"/>
  <c r="T14" i="12"/>
  <c r="T17" i="12"/>
  <c r="T16" i="12"/>
  <c r="T10" i="12"/>
  <c r="U45" i="12" l="1"/>
  <c r="U14" i="12"/>
  <c r="U30" i="12"/>
  <c r="U57" i="12"/>
  <c r="U15" i="12"/>
  <c r="U28" i="12"/>
  <c r="X30" i="12"/>
  <c r="U56" i="12"/>
  <c r="V57" i="12" s="1"/>
  <c r="U38" i="12"/>
  <c r="X38" i="12"/>
  <c r="U16" i="12"/>
  <c r="U35" i="12"/>
  <c r="U31" i="12"/>
  <c r="U24" i="12"/>
  <c r="U17" i="12"/>
  <c r="S10" i="12"/>
  <c r="U10" i="12" s="1"/>
  <c r="S9" i="12"/>
  <c r="S7" i="12"/>
  <c r="X10" i="12"/>
  <c r="T9" i="12"/>
  <c r="X7" i="12"/>
  <c r="X9" i="12"/>
  <c r="T7" i="12"/>
  <c r="T8" i="12"/>
  <c r="S8" i="12"/>
  <c r="U49" i="12"/>
  <c r="U36" i="12"/>
  <c r="U37" i="12"/>
  <c r="U23" i="12"/>
  <c r="U22" i="12"/>
  <c r="X31" i="12"/>
  <c r="X28" i="12"/>
  <c r="U52" i="12"/>
  <c r="D59" i="12"/>
  <c r="M56" i="9" s="1"/>
  <c r="M20" i="8" s="1"/>
  <c r="U21" i="12"/>
  <c r="U51" i="12"/>
  <c r="H23" i="12"/>
  <c r="Q20" i="9" s="1"/>
  <c r="Q19" i="3" s="1"/>
  <c r="E56" i="12"/>
  <c r="N53" i="9" s="1"/>
  <c r="N17" i="8" s="1"/>
  <c r="G58" i="12"/>
  <c r="P55" i="9" s="1"/>
  <c r="P19" i="8" s="1"/>
  <c r="I58" i="12"/>
  <c r="R55" i="9" s="1"/>
  <c r="R19" i="8" s="1"/>
  <c r="D58" i="12"/>
  <c r="M55" i="9" s="1"/>
  <c r="M19" i="8" s="1"/>
  <c r="F58" i="12"/>
  <c r="O55" i="9" s="1"/>
  <c r="O19" i="8" s="1"/>
  <c r="F56" i="12"/>
  <c r="O53" i="9" s="1"/>
  <c r="O17" i="8" s="1"/>
  <c r="C56" i="12"/>
  <c r="L53" i="9" s="1"/>
  <c r="B57" i="12"/>
  <c r="K54" i="9" s="1"/>
  <c r="G59" i="12"/>
  <c r="P56" i="9" s="1"/>
  <c r="P20" i="8" s="1"/>
  <c r="B56" i="12"/>
  <c r="K53" i="9" s="1"/>
  <c r="D56" i="12"/>
  <c r="M53" i="9" s="1"/>
  <c r="M17" i="8" s="1"/>
  <c r="H56" i="12"/>
  <c r="Q53" i="9" s="1"/>
  <c r="Q17" i="8" s="1"/>
  <c r="H59" i="12"/>
  <c r="Q56" i="9" s="1"/>
  <c r="Q20" i="8" s="1"/>
  <c r="D57" i="12"/>
  <c r="M54" i="9" s="1"/>
  <c r="M18" i="8" s="1"/>
  <c r="C58" i="12"/>
  <c r="L55" i="9" s="1"/>
  <c r="E58" i="12"/>
  <c r="N55" i="9" s="1"/>
  <c r="N19" i="8" s="1"/>
  <c r="G57" i="12"/>
  <c r="P54" i="9" s="1"/>
  <c r="P18" i="8" s="1"/>
  <c r="F59" i="12"/>
  <c r="O56" i="9" s="1"/>
  <c r="O20" i="8" s="1"/>
  <c r="F57" i="12"/>
  <c r="O54" i="9" s="1"/>
  <c r="O18" i="8" s="1"/>
  <c r="B59" i="12"/>
  <c r="K56" i="9" s="1"/>
  <c r="K20" i="8" s="1"/>
  <c r="C59" i="12"/>
  <c r="L56" i="9" s="1"/>
  <c r="B58" i="12"/>
  <c r="K55" i="9" s="1"/>
  <c r="K19" i="8" s="1"/>
  <c r="E57" i="12"/>
  <c r="N54" i="9" s="1"/>
  <c r="N18" i="8" s="1"/>
  <c r="G56" i="12"/>
  <c r="P53" i="9" s="1"/>
  <c r="P17" i="8" s="1"/>
  <c r="I56" i="12"/>
  <c r="R53" i="9" s="1"/>
  <c r="R17" i="8" s="1"/>
  <c r="H58" i="12"/>
  <c r="Q55" i="9" s="1"/>
  <c r="Q19" i="8" s="1"/>
  <c r="E59" i="12"/>
  <c r="N56" i="9" s="1"/>
  <c r="N20" i="8" s="1"/>
  <c r="H57" i="12"/>
  <c r="Q54" i="9" s="1"/>
  <c r="Q18" i="8" s="1"/>
  <c r="C57" i="12"/>
  <c r="L54" i="9" s="1"/>
  <c r="I57" i="12"/>
  <c r="R54" i="9" s="1"/>
  <c r="R18" i="8" s="1"/>
  <c r="I59" i="12"/>
  <c r="R56" i="9" s="1"/>
  <c r="R20" i="8" s="1"/>
  <c r="G52" i="12"/>
  <c r="P49" i="9" s="1"/>
  <c r="P20" i="7" s="1"/>
  <c r="E51" i="12"/>
  <c r="N48" i="9" s="1"/>
  <c r="N19" i="7" s="1"/>
  <c r="H50" i="12"/>
  <c r="Q47" i="9" s="1"/>
  <c r="Q18" i="7" s="1"/>
  <c r="I50" i="12"/>
  <c r="R47" i="9" s="1"/>
  <c r="R18" i="7" s="1"/>
  <c r="D49" i="12"/>
  <c r="M46" i="9" s="1"/>
  <c r="M17" i="7" s="1"/>
  <c r="C49" i="12"/>
  <c r="L46" i="9" s="1"/>
  <c r="D51" i="12"/>
  <c r="M48" i="9" s="1"/>
  <c r="M19" i="7" s="1"/>
  <c r="G51" i="12"/>
  <c r="P48" i="9" s="1"/>
  <c r="P19" i="7" s="1"/>
  <c r="E50" i="12"/>
  <c r="N47" i="9" s="1"/>
  <c r="N18" i="7" s="1"/>
  <c r="H49" i="12"/>
  <c r="Q46" i="9" s="1"/>
  <c r="Q17" i="7" s="1"/>
  <c r="I49" i="12"/>
  <c r="R46" i="9" s="1"/>
  <c r="R17" i="7" s="1"/>
  <c r="I52" i="12"/>
  <c r="R49" i="9" s="1"/>
  <c r="R20" i="7" s="1"/>
  <c r="H52" i="12"/>
  <c r="Q49" i="9" s="1"/>
  <c r="Q20" i="7" s="1"/>
  <c r="G50" i="12"/>
  <c r="P47" i="9" s="1"/>
  <c r="P18" i="7" s="1"/>
  <c r="E49" i="12"/>
  <c r="N46" i="9" s="1"/>
  <c r="N17" i="7" s="1"/>
  <c r="F49" i="12"/>
  <c r="O46" i="9" s="1"/>
  <c r="O17" i="7" s="1"/>
  <c r="B49" i="12"/>
  <c r="K46" i="9" s="1"/>
  <c r="G49" i="12"/>
  <c r="P46" i="9" s="1"/>
  <c r="P17" i="7" s="1"/>
  <c r="F51" i="12"/>
  <c r="O48" i="9" s="1"/>
  <c r="O19" i="7" s="1"/>
  <c r="H51" i="12"/>
  <c r="Q48" i="9" s="1"/>
  <c r="Q19" i="7" s="1"/>
  <c r="I51" i="12"/>
  <c r="R48" i="9" s="1"/>
  <c r="R19" i="7" s="1"/>
  <c r="B51" i="12"/>
  <c r="K48" i="9" s="1"/>
  <c r="K19" i="7" s="1"/>
  <c r="D52" i="12"/>
  <c r="E52" i="12"/>
  <c r="N49" i="9" s="1"/>
  <c r="N20" i="7" s="1"/>
  <c r="C51" i="12"/>
  <c r="L48" i="9" s="1"/>
  <c r="F50" i="12"/>
  <c r="O47" i="9" s="1"/>
  <c r="O18" i="7" s="1"/>
  <c r="C50" i="12"/>
  <c r="L47" i="9" s="1"/>
  <c r="B52" i="12"/>
  <c r="K49" i="9" s="1"/>
  <c r="K20" i="7" s="1"/>
  <c r="C52" i="12"/>
  <c r="L49" i="9" s="1"/>
  <c r="B50" i="12"/>
  <c r="K47" i="9" s="1"/>
  <c r="F52" i="12"/>
  <c r="O49" i="9" s="1"/>
  <c r="O20" i="7" s="1"/>
  <c r="D50" i="12"/>
  <c r="M47" i="9" s="1"/>
  <c r="M18" i="7" s="1"/>
  <c r="U42" i="12"/>
  <c r="X43" i="12"/>
  <c r="X45" i="12"/>
  <c r="U43" i="12"/>
  <c r="X44" i="12"/>
  <c r="X42" i="12"/>
  <c r="X35" i="12"/>
  <c r="X37" i="12"/>
  <c r="X36" i="12"/>
  <c r="V30" i="12"/>
  <c r="X29" i="12"/>
  <c r="G21" i="12"/>
  <c r="P18" i="9" s="1"/>
  <c r="P17" i="3" s="1"/>
  <c r="G22" i="12"/>
  <c r="P19" i="9" s="1"/>
  <c r="P18" i="3" s="1"/>
  <c r="C21" i="12"/>
  <c r="L18" i="9" s="1"/>
  <c r="B21" i="12"/>
  <c r="K18" i="9" s="1"/>
  <c r="E22" i="12"/>
  <c r="N19" i="9" s="1"/>
  <c r="N18" i="3" s="1"/>
  <c r="D22" i="12"/>
  <c r="M19" i="9" s="1"/>
  <c r="M18" i="3" s="1"/>
  <c r="I24" i="12"/>
  <c r="R21" i="9" s="1"/>
  <c r="R20" i="3" s="1"/>
  <c r="G24" i="12"/>
  <c r="P21" i="9" s="1"/>
  <c r="P20" i="3" s="1"/>
  <c r="C24" i="12"/>
  <c r="L21" i="9" s="1"/>
  <c r="B24" i="12"/>
  <c r="K21" i="9" s="1"/>
  <c r="K20" i="3" s="1"/>
  <c r="E21" i="12"/>
  <c r="N18" i="9" s="1"/>
  <c r="N17" i="3" s="1"/>
  <c r="H21" i="12"/>
  <c r="Q18" i="9" s="1"/>
  <c r="Q17" i="3" s="1"/>
  <c r="I21" i="12"/>
  <c r="R18" i="9" s="1"/>
  <c r="R17" i="3" s="1"/>
  <c r="F22" i="12"/>
  <c r="O19" i="9" s="1"/>
  <c r="O18" i="3" s="1"/>
  <c r="I22" i="12"/>
  <c r="R19" i="9" s="1"/>
  <c r="R18" i="3" s="1"/>
  <c r="C22" i="12"/>
  <c r="L19" i="9" s="1"/>
  <c r="H24" i="12"/>
  <c r="Q21" i="9" s="1"/>
  <c r="Q20" i="3" s="1"/>
  <c r="F24" i="12"/>
  <c r="O21" i="9" s="1"/>
  <c r="O20" i="3" s="1"/>
  <c r="D24" i="12"/>
  <c r="M21" i="9" s="1"/>
  <c r="M20" i="3" s="1"/>
  <c r="E24" i="12"/>
  <c r="N21" i="9" s="1"/>
  <c r="N20" i="3" s="1"/>
  <c r="F21" i="12"/>
  <c r="O18" i="9" s="1"/>
  <c r="O17" i="3" s="1"/>
  <c r="D21" i="12"/>
  <c r="M18" i="9" s="1"/>
  <c r="M17" i="3" s="1"/>
  <c r="B23" i="12"/>
  <c r="K20" i="9" s="1"/>
  <c r="K19" i="3" s="1"/>
  <c r="E23" i="12"/>
  <c r="N20" i="9" s="1"/>
  <c r="N19" i="3" s="1"/>
  <c r="F23" i="12"/>
  <c r="O20" i="9" s="1"/>
  <c r="O19" i="3" s="1"/>
  <c r="C23" i="12"/>
  <c r="L20" i="9" s="1"/>
  <c r="H22" i="12"/>
  <c r="Q19" i="9" s="1"/>
  <c r="Q18" i="3" s="1"/>
  <c r="B22" i="12"/>
  <c r="K19" i="9" s="1"/>
  <c r="I23" i="12"/>
  <c r="R20" i="9" s="1"/>
  <c r="R19" i="3" s="1"/>
  <c r="D23" i="12"/>
  <c r="M20" i="9" s="1"/>
  <c r="M19" i="3" s="1"/>
  <c r="G23" i="12"/>
  <c r="P20" i="9" s="1"/>
  <c r="P19" i="3" s="1"/>
  <c r="V14" i="12"/>
  <c r="X14" i="12"/>
  <c r="X15" i="12"/>
  <c r="X17" i="12"/>
  <c r="V56" i="12" l="1"/>
  <c r="V59" i="12"/>
  <c r="V31" i="12"/>
  <c r="V21" i="12"/>
  <c r="V58" i="12"/>
  <c r="V17" i="12"/>
  <c r="V24" i="12"/>
  <c r="V29" i="12"/>
  <c r="V28" i="12"/>
  <c r="H29" i="12"/>
  <c r="Q26" i="9" s="1"/>
  <c r="Q18" i="4" s="1"/>
  <c r="V37" i="12"/>
  <c r="V38" i="12"/>
  <c r="V22" i="12"/>
  <c r="V16" i="12"/>
  <c r="V15" i="12"/>
  <c r="V52" i="12"/>
  <c r="M49" i="9"/>
  <c r="S49" i="9" s="1"/>
  <c r="S20" i="7" s="1"/>
  <c r="U9" i="12"/>
  <c r="U7" i="12"/>
  <c r="C7" i="12"/>
  <c r="L4" i="9" s="1"/>
  <c r="L17" i="1" s="1"/>
  <c r="F9" i="12"/>
  <c r="O6" i="9" s="1"/>
  <c r="O19" i="1" s="1"/>
  <c r="F7" i="12"/>
  <c r="O4" i="9" s="1"/>
  <c r="O17" i="1" s="1"/>
  <c r="B7" i="12"/>
  <c r="K4" i="9" s="1"/>
  <c r="K17" i="1" s="1"/>
  <c r="H7" i="12"/>
  <c r="Q4" i="9" s="1"/>
  <c r="Q17" i="1" s="1"/>
  <c r="I7" i="12"/>
  <c r="R4" i="9" s="1"/>
  <c r="R17" i="1" s="1"/>
  <c r="D7" i="12"/>
  <c r="M4" i="9" s="1"/>
  <c r="M17" i="1" s="1"/>
  <c r="I10" i="12"/>
  <c r="E7" i="12"/>
  <c r="N4" i="9" s="1"/>
  <c r="N17" i="1" s="1"/>
  <c r="D9" i="12"/>
  <c r="M6" i="9" s="1"/>
  <c r="M19" i="1" s="1"/>
  <c r="B10" i="12"/>
  <c r="K7" i="9" s="1"/>
  <c r="K20" i="1" s="1"/>
  <c r="H10" i="12"/>
  <c r="Q7" i="9" s="1"/>
  <c r="Q20" i="1" s="1"/>
  <c r="G7" i="12"/>
  <c r="P4" i="9" s="1"/>
  <c r="P17" i="1" s="1"/>
  <c r="C10" i="12"/>
  <c r="L7" i="9" s="1"/>
  <c r="L20" i="1" s="1"/>
  <c r="G9" i="12"/>
  <c r="P6" i="9" s="1"/>
  <c r="P19" i="1" s="1"/>
  <c r="F10" i="12"/>
  <c r="O7" i="9" s="1"/>
  <c r="O20" i="1" s="1"/>
  <c r="G10" i="12"/>
  <c r="P7" i="9" s="1"/>
  <c r="P20" i="1" s="1"/>
  <c r="D10" i="12"/>
  <c r="M7" i="9" s="1"/>
  <c r="M20" i="1" s="1"/>
  <c r="E10" i="12"/>
  <c r="N7" i="9" s="1"/>
  <c r="N20" i="1" s="1"/>
  <c r="G8" i="12"/>
  <c r="P5" i="9" s="1"/>
  <c r="P18" i="1" s="1"/>
  <c r="I8" i="12"/>
  <c r="R5" i="9" s="1"/>
  <c r="R18" i="1" s="1"/>
  <c r="H8" i="12"/>
  <c r="Q5" i="9" s="1"/>
  <c r="Q18" i="1" s="1"/>
  <c r="D8" i="12"/>
  <c r="M5" i="9" s="1"/>
  <c r="B8" i="12"/>
  <c r="K5" i="9" s="1"/>
  <c r="U5" i="9" s="1"/>
  <c r="E8" i="12"/>
  <c r="N5" i="9" s="1"/>
  <c r="N18" i="1" s="1"/>
  <c r="C9" i="12"/>
  <c r="L6" i="9" s="1"/>
  <c r="L19" i="1" s="1"/>
  <c r="B9" i="12"/>
  <c r="K6" i="9" s="1"/>
  <c r="K19" i="1" s="1"/>
  <c r="C8" i="12"/>
  <c r="L5" i="9" s="1"/>
  <c r="L18" i="1" s="1"/>
  <c r="I9" i="12"/>
  <c r="R6" i="9" s="1"/>
  <c r="R19" i="1" s="1"/>
  <c r="E9" i="12"/>
  <c r="N6" i="9" s="1"/>
  <c r="N19" i="1" s="1"/>
  <c r="F8" i="12"/>
  <c r="O5" i="9" s="1"/>
  <c r="O18" i="1" s="1"/>
  <c r="H9" i="12"/>
  <c r="Q6" i="9" s="1"/>
  <c r="Q19" i="1" s="1"/>
  <c r="U8" i="12"/>
  <c r="V50" i="12"/>
  <c r="V51" i="12"/>
  <c r="V49" i="12"/>
  <c r="V36" i="12"/>
  <c r="V35" i="12"/>
  <c r="E29" i="12"/>
  <c r="N26" i="9" s="1"/>
  <c r="N18" i="4" s="1"/>
  <c r="I29" i="12"/>
  <c r="R26" i="9" s="1"/>
  <c r="R18" i="4" s="1"/>
  <c r="V23" i="12"/>
  <c r="G29" i="12"/>
  <c r="P26" i="9" s="1"/>
  <c r="P18" i="4" s="1"/>
  <c r="F29" i="12"/>
  <c r="O26" i="9" s="1"/>
  <c r="O18" i="4" s="1"/>
  <c r="D31" i="12"/>
  <c r="M28" i="9" s="1"/>
  <c r="M20" i="4" s="1"/>
  <c r="B29" i="12"/>
  <c r="K26" i="9" s="1"/>
  <c r="K18" i="4" s="1"/>
  <c r="C29" i="12"/>
  <c r="L26" i="9" s="1"/>
  <c r="L18" i="4" s="1"/>
  <c r="D29" i="12"/>
  <c r="M26" i="9" s="1"/>
  <c r="M18" i="4" s="1"/>
  <c r="E31" i="12"/>
  <c r="N28" i="9" s="1"/>
  <c r="N20" i="4" s="1"/>
  <c r="E30" i="12"/>
  <c r="N27" i="9" s="1"/>
  <c r="N19" i="4" s="1"/>
  <c r="D30" i="12"/>
  <c r="M27" i="9" s="1"/>
  <c r="M19" i="4" s="1"/>
  <c r="H31" i="12"/>
  <c r="Q28" i="9" s="1"/>
  <c r="Q20" i="4" s="1"/>
  <c r="C31" i="12"/>
  <c r="L28" i="9" s="1"/>
  <c r="L20" i="4" s="1"/>
  <c r="F30" i="12"/>
  <c r="O27" i="9" s="1"/>
  <c r="O19" i="4" s="1"/>
  <c r="F28" i="12"/>
  <c r="O25" i="9" s="1"/>
  <c r="O17" i="4" s="1"/>
  <c r="E28" i="12"/>
  <c r="N25" i="9" s="1"/>
  <c r="N17" i="4" s="1"/>
  <c r="I31" i="12"/>
  <c r="R28" i="9" s="1"/>
  <c r="R20" i="4" s="1"/>
  <c r="F31" i="12"/>
  <c r="O28" i="9" s="1"/>
  <c r="O20" i="4" s="1"/>
  <c r="D28" i="12"/>
  <c r="M25" i="9" s="1"/>
  <c r="M17" i="4" s="1"/>
  <c r="C30" i="12"/>
  <c r="L27" i="9" s="1"/>
  <c r="L19" i="4" s="1"/>
  <c r="C28" i="12"/>
  <c r="L25" i="9" s="1"/>
  <c r="L17" i="4" s="1"/>
  <c r="B30" i="12"/>
  <c r="K27" i="9" s="1"/>
  <c r="K19" i="4" s="1"/>
  <c r="I30" i="12"/>
  <c r="R27" i="9" s="1"/>
  <c r="R19" i="4" s="1"/>
  <c r="B31" i="12"/>
  <c r="K28" i="9" s="1"/>
  <c r="K20" i="4" s="1"/>
  <c r="G31" i="12"/>
  <c r="P28" i="9" s="1"/>
  <c r="P20" i="4" s="1"/>
  <c r="B28" i="12"/>
  <c r="K25" i="9" s="1"/>
  <c r="U25" i="9" s="1"/>
  <c r="G30" i="12"/>
  <c r="P27" i="9" s="1"/>
  <c r="P19" i="4" s="1"/>
  <c r="G28" i="12"/>
  <c r="P25" i="9" s="1"/>
  <c r="P17" i="4" s="1"/>
  <c r="H30" i="12"/>
  <c r="Q27" i="9" s="1"/>
  <c r="Q19" i="4" s="1"/>
  <c r="H28" i="12"/>
  <c r="Q25" i="9" s="1"/>
  <c r="Q17" i="4" s="1"/>
  <c r="I28" i="12"/>
  <c r="R25" i="9" s="1"/>
  <c r="R17" i="4" s="1"/>
  <c r="B37" i="12"/>
  <c r="K34" i="9" s="1"/>
  <c r="K19" i="5" s="1"/>
  <c r="R7" i="9"/>
  <c r="R20" i="1" s="1"/>
  <c r="V43" i="12"/>
  <c r="B15" i="12"/>
  <c r="K12" i="9" s="1"/>
  <c r="U12" i="9" s="1"/>
  <c r="K17" i="8"/>
  <c r="U53" i="9"/>
  <c r="K18" i="8"/>
  <c r="U54" i="9"/>
  <c r="L18" i="8"/>
  <c r="S54" i="9"/>
  <c r="S18" i="8" s="1"/>
  <c r="L20" i="8"/>
  <c r="S56" i="9"/>
  <c r="S20" i="8" s="1"/>
  <c r="L19" i="8"/>
  <c r="S55" i="9"/>
  <c r="S19" i="8" s="1"/>
  <c r="L17" i="8"/>
  <c r="S53" i="9"/>
  <c r="S17" i="8" s="1"/>
  <c r="L20" i="7"/>
  <c r="L18" i="7"/>
  <c r="S47" i="9"/>
  <c r="S18" i="7" s="1"/>
  <c r="S48" i="9"/>
  <c r="S19" i="7" s="1"/>
  <c r="L19" i="7"/>
  <c r="K17" i="7"/>
  <c r="U46" i="9"/>
  <c r="K18" i="7"/>
  <c r="U47" i="9"/>
  <c r="L17" i="7"/>
  <c r="S46" i="9"/>
  <c r="S17" i="7" s="1"/>
  <c r="V45" i="12"/>
  <c r="B44" i="12"/>
  <c r="K41" i="9" s="1"/>
  <c r="K19" i="6" s="1"/>
  <c r="I43" i="12"/>
  <c r="R40" i="9" s="1"/>
  <c r="R18" i="6" s="1"/>
  <c r="D43" i="12"/>
  <c r="M40" i="9" s="1"/>
  <c r="M18" i="6" s="1"/>
  <c r="G45" i="12"/>
  <c r="P42" i="9" s="1"/>
  <c r="P20" i="6" s="1"/>
  <c r="I45" i="12"/>
  <c r="R42" i="9" s="1"/>
  <c r="R20" i="6" s="1"/>
  <c r="H42" i="12"/>
  <c r="Q39" i="9" s="1"/>
  <c r="Q17" i="6" s="1"/>
  <c r="D44" i="12"/>
  <c r="M41" i="9" s="1"/>
  <c r="M19" i="6" s="1"/>
  <c r="D42" i="12"/>
  <c r="M39" i="9" s="1"/>
  <c r="M17" i="6" s="1"/>
  <c r="G42" i="12"/>
  <c r="P39" i="9" s="1"/>
  <c r="P17" i="6" s="1"/>
  <c r="C45" i="12"/>
  <c r="L42" i="9" s="1"/>
  <c r="F44" i="12"/>
  <c r="O41" i="9" s="1"/>
  <c r="O19" i="6" s="1"/>
  <c r="B45" i="12"/>
  <c r="K42" i="9" s="1"/>
  <c r="K20" i="6" s="1"/>
  <c r="G44" i="12"/>
  <c r="P41" i="9" s="1"/>
  <c r="P19" i="6" s="1"/>
  <c r="F45" i="12"/>
  <c r="O42" i="9" s="1"/>
  <c r="O20" i="6" s="1"/>
  <c r="H45" i="12"/>
  <c r="Q42" i="9" s="1"/>
  <c r="Q20" i="6" s="1"/>
  <c r="F43" i="12"/>
  <c r="O40" i="9" s="1"/>
  <c r="O18" i="6" s="1"/>
  <c r="I44" i="12"/>
  <c r="R41" i="9" s="1"/>
  <c r="R19" i="6" s="1"/>
  <c r="H44" i="12"/>
  <c r="Q41" i="9" s="1"/>
  <c r="Q19" i="6" s="1"/>
  <c r="F42" i="12"/>
  <c r="O39" i="9" s="1"/>
  <c r="O17" i="6" s="1"/>
  <c r="C44" i="12"/>
  <c r="L41" i="9" s="1"/>
  <c r="H43" i="12"/>
  <c r="Q40" i="9" s="1"/>
  <c r="Q18" i="6" s="1"/>
  <c r="E42" i="12"/>
  <c r="N39" i="9" s="1"/>
  <c r="N17" i="6" s="1"/>
  <c r="E43" i="12"/>
  <c r="N40" i="9" s="1"/>
  <c r="N18" i="6" s="1"/>
  <c r="G43" i="12"/>
  <c r="P40" i="9" s="1"/>
  <c r="P18" i="6" s="1"/>
  <c r="C42" i="12"/>
  <c r="L39" i="9" s="1"/>
  <c r="I42" i="12"/>
  <c r="R39" i="9" s="1"/>
  <c r="R17" i="6" s="1"/>
  <c r="E45" i="12"/>
  <c r="N42" i="9" s="1"/>
  <c r="N20" i="6" s="1"/>
  <c r="D45" i="12"/>
  <c r="M42" i="9" s="1"/>
  <c r="M20" i="6" s="1"/>
  <c r="C43" i="12"/>
  <c r="L40" i="9" s="1"/>
  <c r="B43" i="12"/>
  <c r="K40" i="9" s="1"/>
  <c r="E44" i="12"/>
  <c r="N41" i="9" s="1"/>
  <c r="N19" i="6" s="1"/>
  <c r="B42" i="12"/>
  <c r="K39" i="9" s="1"/>
  <c r="V42" i="12"/>
  <c r="V44" i="12"/>
  <c r="B38" i="12"/>
  <c r="K35" i="9" s="1"/>
  <c r="K20" i="5" s="1"/>
  <c r="C35" i="12"/>
  <c r="L32" i="9" s="1"/>
  <c r="I35" i="12"/>
  <c r="R32" i="9" s="1"/>
  <c r="R17" i="5" s="1"/>
  <c r="I37" i="12"/>
  <c r="R34" i="9" s="1"/>
  <c r="R19" i="5" s="1"/>
  <c r="H35" i="12"/>
  <c r="Q32" i="9" s="1"/>
  <c r="Q17" i="5" s="1"/>
  <c r="H36" i="12"/>
  <c r="Q33" i="9" s="1"/>
  <c r="Q18" i="5" s="1"/>
  <c r="H38" i="12"/>
  <c r="Q35" i="9" s="1"/>
  <c r="Q20" i="5" s="1"/>
  <c r="C38" i="12"/>
  <c r="L35" i="9" s="1"/>
  <c r="F35" i="12"/>
  <c r="O32" i="9" s="1"/>
  <c r="O17" i="5" s="1"/>
  <c r="F36" i="12"/>
  <c r="O33" i="9" s="1"/>
  <c r="O18" i="5" s="1"/>
  <c r="E35" i="12"/>
  <c r="N32" i="9" s="1"/>
  <c r="N17" i="5" s="1"/>
  <c r="C37" i="12"/>
  <c r="L34" i="9" s="1"/>
  <c r="D35" i="12"/>
  <c r="M32" i="9" s="1"/>
  <c r="M17" i="5" s="1"/>
  <c r="B36" i="12"/>
  <c r="K33" i="9" s="1"/>
  <c r="H37" i="12"/>
  <c r="Q34" i="9" s="1"/>
  <c r="Q19" i="5" s="1"/>
  <c r="G35" i="12"/>
  <c r="P32" i="9" s="1"/>
  <c r="P17" i="5" s="1"/>
  <c r="E36" i="12"/>
  <c r="N33" i="9" s="1"/>
  <c r="N18" i="5" s="1"/>
  <c r="I38" i="12"/>
  <c r="R35" i="9" s="1"/>
  <c r="R20" i="5" s="1"/>
  <c r="B35" i="12"/>
  <c r="K32" i="9" s="1"/>
  <c r="G37" i="12"/>
  <c r="P34" i="9" s="1"/>
  <c r="P19" i="5" s="1"/>
  <c r="C36" i="12"/>
  <c r="L33" i="9" s="1"/>
  <c r="D37" i="12"/>
  <c r="M34" i="9" s="1"/>
  <c r="M19" i="5" s="1"/>
  <c r="G38" i="12"/>
  <c r="P35" i="9" s="1"/>
  <c r="P20" i="5" s="1"/>
  <c r="G36" i="12"/>
  <c r="P33" i="9" s="1"/>
  <c r="P18" i="5" s="1"/>
  <c r="F37" i="12"/>
  <c r="O34" i="9" s="1"/>
  <c r="O19" i="5" s="1"/>
  <c r="E38" i="12"/>
  <c r="N35" i="9" s="1"/>
  <c r="N20" i="5" s="1"/>
  <c r="I36" i="12"/>
  <c r="R33" i="9" s="1"/>
  <c r="R18" i="5" s="1"/>
  <c r="D38" i="12"/>
  <c r="M35" i="9" s="1"/>
  <c r="M20" i="5" s="1"/>
  <c r="D36" i="12"/>
  <c r="M33" i="9" s="1"/>
  <c r="M18" i="5" s="1"/>
  <c r="E37" i="12"/>
  <c r="N34" i="9" s="1"/>
  <c r="N19" i="5" s="1"/>
  <c r="F38" i="12"/>
  <c r="O35" i="9" s="1"/>
  <c r="O20" i="5" s="1"/>
  <c r="L20" i="3"/>
  <c r="S21" i="9"/>
  <c r="S20" i="3" s="1"/>
  <c r="L17" i="3"/>
  <c r="S18" i="9"/>
  <c r="S17" i="3" s="1"/>
  <c r="U19" i="9"/>
  <c r="K18" i="3"/>
  <c r="S20" i="9"/>
  <c r="S19" i="3" s="1"/>
  <c r="L19" i="3"/>
  <c r="L18" i="3"/>
  <c r="S19" i="9"/>
  <c r="S18" i="3" s="1"/>
  <c r="K17" i="3"/>
  <c r="U18" i="9"/>
  <c r="B16" i="12"/>
  <c r="K13" i="9" s="1"/>
  <c r="K19" i="2" s="1"/>
  <c r="B17" i="12"/>
  <c r="K14" i="9" s="1"/>
  <c r="K20" i="2" s="1"/>
  <c r="F17" i="12"/>
  <c r="O14" i="9" s="1"/>
  <c r="O20" i="2" s="1"/>
  <c r="C14" i="12"/>
  <c r="L11" i="9" s="1"/>
  <c r="G14" i="12"/>
  <c r="P11" i="9" s="1"/>
  <c r="P17" i="2" s="1"/>
  <c r="C15" i="12"/>
  <c r="L12" i="9" s="1"/>
  <c r="C16" i="12"/>
  <c r="L13" i="9" s="1"/>
  <c r="G16" i="12"/>
  <c r="P13" i="9" s="1"/>
  <c r="P19" i="2" s="1"/>
  <c r="E17" i="12"/>
  <c r="N14" i="9" s="1"/>
  <c r="N20" i="2" s="1"/>
  <c r="I17" i="12"/>
  <c r="R14" i="9" s="1"/>
  <c r="R20" i="2" s="1"/>
  <c r="F14" i="12"/>
  <c r="O11" i="9" s="1"/>
  <c r="O17" i="2" s="1"/>
  <c r="B14" i="12"/>
  <c r="K11" i="9" s="1"/>
  <c r="F15" i="12"/>
  <c r="O12" i="9" s="1"/>
  <c r="O18" i="2" s="1"/>
  <c r="F16" i="12"/>
  <c r="O13" i="9" s="1"/>
  <c r="O19" i="2" s="1"/>
  <c r="D17" i="12"/>
  <c r="M14" i="9" s="1"/>
  <c r="M20" i="2" s="1"/>
  <c r="H17" i="12"/>
  <c r="Q14" i="9" s="1"/>
  <c r="Q20" i="2" s="1"/>
  <c r="E14" i="12"/>
  <c r="N11" i="9" s="1"/>
  <c r="N17" i="2" s="1"/>
  <c r="I14" i="12"/>
  <c r="R11" i="9" s="1"/>
  <c r="R17" i="2" s="1"/>
  <c r="G15" i="12"/>
  <c r="P12" i="9" s="1"/>
  <c r="P18" i="2" s="1"/>
  <c r="E16" i="12"/>
  <c r="N13" i="9" s="1"/>
  <c r="N19" i="2" s="1"/>
  <c r="C17" i="12"/>
  <c r="L14" i="9" s="1"/>
  <c r="G17" i="12"/>
  <c r="P14" i="9" s="1"/>
  <c r="P20" i="2" s="1"/>
  <c r="D14" i="12"/>
  <c r="M11" i="9" s="1"/>
  <c r="M17" i="2" s="1"/>
  <c r="H14" i="12"/>
  <c r="Q11" i="9" s="1"/>
  <c r="Q17" i="2" s="1"/>
  <c r="I15" i="12"/>
  <c r="R12" i="9" s="1"/>
  <c r="R18" i="2" s="1"/>
  <c r="H16" i="12"/>
  <c r="Q13" i="9" s="1"/>
  <c r="Q19" i="2" s="1"/>
  <c r="H15" i="12"/>
  <c r="Q12" i="9" s="1"/>
  <c r="Q18" i="2" s="1"/>
  <c r="I16" i="12"/>
  <c r="R13" i="9" s="1"/>
  <c r="R19" i="2" s="1"/>
  <c r="E15" i="12"/>
  <c r="N12" i="9" s="1"/>
  <c r="N18" i="2" s="1"/>
  <c r="D16" i="12"/>
  <c r="M13" i="9" s="1"/>
  <c r="M19" i="2" s="1"/>
  <c r="D15" i="12"/>
  <c r="M12" i="9" s="1"/>
  <c r="M18" i="2" s="1"/>
  <c r="V10" i="12" l="1"/>
  <c r="K24" i="8"/>
  <c r="M20" i="7"/>
  <c r="U26" i="9"/>
  <c r="U4" i="9"/>
  <c r="K18" i="1"/>
  <c r="V8" i="12"/>
  <c r="V7" i="12"/>
  <c r="V9" i="12"/>
  <c r="K23" i="8"/>
  <c r="K23" i="7"/>
  <c r="K17" i="4"/>
  <c r="S27" i="9"/>
  <c r="S19" i="4" s="1"/>
  <c r="S28" i="9"/>
  <c r="S20" i="4" s="1"/>
  <c r="S26" i="9"/>
  <c r="S18" i="4" s="1"/>
  <c r="K24" i="4" s="1"/>
  <c r="B14" i="10" s="1"/>
  <c r="S25" i="9"/>
  <c r="S17" i="4" s="1"/>
  <c r="S5" i="9"/>
  <c r="B26" i="10"/>
  <c r="K24" i="7"/>
  <c r="K23" i="3"/>
  <c r="B10" i="10" s="1"/>
  <c r="S17" i="1"/>
  <c r="K23" i="1" s="1"/>
  <c r="B4" i="10" s="1"/>
  <c r="S4" i="9"/>
  <c r="S7" i="9"/>
  <c r="S6" i="9"/>
  <c r="S20" i="1"/>
  <c r="M18" i="1"/>
  <c r="S18" i="1" s="1"/>
  <c r="K24" i="1" s="1"/>
  <c r="S19" i="1"/>
  <c r="K18" i="2"/>
  <c r="U39" i="9"/>
  <c r="K17" i="6"/>
  <c r="U40" i="9"/>
  <c r="K18" i="6"/>
  <c r="S41" i="9"/>
  <c r="S19" i="6" s="1"/>
  <c r="L19" i="6"/>
  <c r="L20" i="6"/>
  <c r="S42" i="9"/>
  <c r="S20" i="6" s="1"/>
  <c r="L18" i="6"/>
  <c r="S40" i="9"/>
  <c r="S18" i="6" s="1"/>
  <c r="L17" i="6"/>
  <c r="S39" i="9"/>
  <c r="S17" i="6" s="1"/>
  <c r="K18" i="5"/>
  <c r="U33" i="9"/>
  <c r="L19" i="5"/>
  <c r="S34" i="9"/>
  <c r="S19" i="5" s="1"/>
  <c r="S35" i="9"/>
  <c r="S20" i="5" s="1"/>
  <c r="L20" i="5"/>
  <c r="L17" i="5"/>
  <c r="S32" i="9"/>
  <c r="S17" i="5" s="1"/>
  <c r="S33" i="9"/>
  <c r="S18" i="5" s="1"/>
  <c r="K24" i="5" s="1"/>
  <c r="L18" i="5"/>
  <c r="U32" i="9"/>
  <c r="K17" i="5"/>
  <c r="K24" i="3"/>
  <c r="K17" i="2"/>
  <c r="U11" i="9"/>
  <c r="L18" i="2"/>
  <c r="S12" i="9"/>
  <c r="S18" i="2" s="1"/>
  <c r="L17" i="2"/>
  <c r="S11" i="9"/>
  <c r="S17" i="2" s="1"/>
  <c r="L20" i="2"/>
  <c r="S14" i="9"/>
  <c r="S20" i="2" s="1"/>
  <c r="L19" i="2"/>
  <c r="S13" i="9"/>
  <c r="S19" i="2" s="1"/>
  <c r="K23" i="4" l="1"/>
  <c r="B34" i="10" s="1"/>
  <c r="K24" i="6"/>
  <c r="B20" i="10" s="1"/>
  <c r="B46" i="10"/>
  <c r="B22" i="10"/>
  <c r="K23" i="5"/>
  <c r="B16" i="10" s="1"/>
  <c r="K24" i="2"/>
  <c r="B8" i="10" s="1"/>
  <c r="B38" i="10"/>
  <c r="B32" i="10"/>
  <c r="K23" i="2"/>
  <c r="K23" i="6"/>
  <c r="B50" i="10"/>
  <c r="B44" i="10"/>
  <c r="E6" i="10"/>
  <c r="E24" i="10" l="1"/>
  <c r="E48" i="10"/>
  <c r="E36" i="10"/>
  <c r="B28" i="10"/>
  <c r="E12" i="10"/>
  <c r="H9" i="10" s="1"/>
  <c r="B40" i="10"/>
  <c r="E18" i="10" l="1"/>
  <c r="H21" i="10" s="1"/>
  <c r="E42" i="10"/>
  <c r="K15" i="10"/>
  <c r="E30" i="10"/>
  <c r="K50" i="10" l="1"/>
  <c r="H45" i="10"/>
  <c r="H33" i="10"/>
  <c r="K56" i="10" l="1"/>
  <c r="K39" i="10"/>
  <c r="N53" i="10" l="1"/>
</calcChain>
</file>

<file path=xl/sharedStrings.xml><?xml version="1.0" encoding="utf-8"?>
<sst xmlns="http://schemas.openxmlformats.org/spreadsheetml/2006/main" count="495" uniqueCount="164">
  <si>
    <t>Fecha:</t>
  </si>
  <si>
    <t>Grupo A</t>
  </si>
  <si>
    <t>Estado</t>
  </si>
  <si>
    <t>Partidos</t>
  </si>
  <si>
    <t>PJ</t>
  </si>
  <si>
    <t>Equipos Clasificados</t>
  </si>
  <si>
    <t>Grupo B</t>
  </si>
  <si>
    <t>Argentina</t>
  </si>
  <si>
    <t>Nigeria</t>
  </si>
  <si>
    <t>Corea del Sur</t>
  </si>
  <si>
    <t>Grecia</t>
  </si>
  <si>
    <t>Grupo D</t>
  </si>
  <si>
    <t>Grupo E</t>
  </si>
  <si>
    <t>Grupo F</t>
  </si>
  <si>
    <t>Grupo G</t>
  </si>
  <si>
    <t>Grupo H</t>
  </si>
  <si>
    <t>Grupo C</t>
  </si>
  <si>
    <t>Octavos de Final</t>
  </si>
  <si>
    <t>Cuartos de Final</t>
  </si>
  <si>
    <t>Semifinal</t>
  </si>
  <si>
    <t>Final</t>
  </si>
  <si>
    <t>T</t>
  </si>
  <si>
    <t>P</t>
  </si>
  <si>
    <t>Tercer Puesto</t>
  </si>
  <si>
    <t>hora local</t>
  </si>
  <si>
    <t>Pais</t>
  </si>
  <si>
    <t>Uso horario</t>
  </si>
  <si>
    <t>Diferencia</t>
  </si>
  <si>
    <t>turno 1</t>
  </si>
  <si>
    <t>GMT</t>
  </si>
  <si>
    <t>turno 2</t>
  </si>
  <si>
    <t>Sudafrica</t>
  </si>
  <si>
    <t>turno 3</t>
  </si>
  <si>
    <t>Tabla de Posiciones</t>
  </si>
  <si>
    <t>Pos.</t>
  </si>
  <si>
    <t>Equipo</t>
  </si>
  <si>
    <t>G</t>
  </si>
  <si>
    <t>E</t>
  </si>
  <si>
    <t>GF</t>
  </si>
  <si>
    <t>GC</t>
  </si>
  <si>
    <t>DG</t>
  </si>
  <si>
    <t>Pts.</t>
  </si>
  <si>
    <t>Rank</t>
  </si>
  <si>
    <t>RnkDG</t>
  </si>
  <si>
    <t>Posición</t>
  </si>
  <si>
    <t>Pos Fin</t>
  </si>
  <si>
    <t>Pos GF</t>
  </si>
  <si>
    <t>Alemania</t>
  </si>
  <si>
    <t>A1</t>
  </si>
  <si>
    <t>E1</t>
  </si>
  <si>
    <t>Holanda</t>
  </si>
  <si>
    <t>Honduras</t>
  </si>
  <si>
    <t>A2</t>
  </si>
  <si>
    <t>Mexico</t>
  </si>
  <si>
    <t>E2</t>
  </si>
  <si>
    <t>Paraguay</t>
  </si>
  <si>
    <t>A3</t>
  </si>
  <si>
    <t>Uruguay</t>
  </si>
  <si>
    <t>E3</t>
  </si>
  <si>
    <t>Japon</t>
  </si>
  <si>
    <t>Cabezas de serie</t>
  </si>
  <si>
    <t>Bombo 2</t>
  </si>
  <si>
    <t>Bombo 3</t>
  </si>
  <si>
    <t>Bombo 4</t>
  </si>
  <si>
    <t>A4</t>
  </si>
  <si>
    <t>Francia</t>
  </si>
  <si>
    <t>E4</t>
  </si>
  <si>
    <t>Camerun</t>
  </si>
  <si>
    <t>Australia</t>
  </si>
  <si>
    <t>Brasil</t>
  </si>
  <si>
    <t>Inglaterra</t>
  </si>
  <si>
    <t>B1</t>
  </si>
  <si>
    <t>F1</t>
  </si>
  <si>
    <t>Italia</t>
  </si>
  <si>
    <t>España</t>
  </si>
  <si>
    <t>Portugal</t>
  </si>
  <si>
    <t>B2</t>
  </si>
  <si>
    <t>F2</t>
  </si>
  <si>
    <t>Ghana</t>
  </si>
  <si>
    <t>B3</t>
  </si>
  <si>
    <t>F3</t>
  </si>
  <si>
    <t>B4</t>
  </si>
  <si>
    <t>F4</t>
  </si>
  <si>
    <t>Chile</t>
  </si>
  <si>
    <t>C1</t>
  </si>
  <si>
    <t>G1</t>
  </si>
  <si>
    <t>Suiza</t>
  </si>
  <si>
    <t>C2</t>
  </si>
  <si>
    <t>G2</t>
  </si>
  <si>
    <t>C3</t>
  </si>
  <si>
    <t>G3</t>
  </si>
  <si>
    <t>C4</t>
  </si>
  <si>
    <t>G4</t>
  </si>
  <si>
    <t>D1</t>
  </si>
  <si>
    <t>H1</t>
  </si>
  <si>
    <t>D2</t>
  </si>
  <si>
    <t>H2</t>
  </si>
  <si>
    <t>D3</t>
  </si>
  <si>
    <t>H3</t>
  </si>
  <si>
    <t>D4</t>
  </si>
  <si>
    <t>H4</t>
  </si>
  <si>
    <t>Auxiliar</t>
  </si>
  <si>
    <t>Jugados</t>
  </si>
  <si>
    <t>Perdidos</t>
  </si>
  <si>
    <t>Ganados</t>
  </si>
  <si>
    <t>Hora:</t>
  </si>
  <si>
    <t>Dia</t>
  </si>
  <si>
    <t>Hora</t>
  </si>
  <si>
    <t>-</t>
  </si>
  <si>
    <t>+</t>
  </si>
  <si>
    <t>Peru</t>
  </si>
  <si>
    <t>Colombia</t>
  </si>
  <si>
    <t>Ecuador</t>
  </si>
  <si>
    <t>Bolivia</t>
  </si>
  <si>
    <t>Local</t>
  </si>
  <si>
    <t>Seleccione su Pais:</t>
  </si>
  <si>
    <t>Venezuela</t>
  </si>
  <si>
    <t>Sao Paulo</t>
  </si>
  <si>
    <t>Natal</t>
  </si>
  <si>
    <t>Fortaleza</t>
  </si>
  <si>
    <t>Brasilia</t>
  </si>
  <si>
    <t>Recife</t>
  </si>
  <si>
    <t>PG</t>
  </si>
  <si>
    <t>PP</t>
  </si>
  <si>
    <t>PE</t>
  </si>
  <si>
    <t>Sedes</t>
  </si>
  <si>
    <t>Manaus</t>
  </si>
  <si>
    <t>Salvador</t>
  </si>
  <si>
    <t>Cuiaba</t>
  </si>
  <si>
    <t>Rio de Janeiro</t>
  </si>
  <si>
    <t>Porto Alegre</t>
  </si>
  <si>
    <t>Curitiba</t>
  </si>
  <si>
    <t>Belo Horizonte</t>
  </si>
  <si>
    <t>turno 4</t>
  </si>
  <si>
    <t>turno 5</t>
  </si>
  <si>
    <t>turno 6</t>
  </si>
  <si>
    <t>turno 7</t>
  </si>
  <si>
    <t>Belgica</t>
  </si>
  <si>
    <t>Algeria</t>
  </si>
  <si>
    <t>Costa del Marfil</t>
  </si>
  <si>
    <t>Iran</t>
  </si>
  <si>
    <t>Costa Rica</t>
  </si>
  <si>
    <t>USA</t>
  </si>
  <si>
    <t>Bosnia-Herzegovina</t>
  </si>
  <si>
    <t>Croacia</t>
  </si>
  <si>
    <t>Rusia</t>
  </si>
  <si>
    <t>Campeón</t>
  </si>
  <si>
    <t>Arabia Saudí</t>
  </si>
  <si>
    <t>Egipto</t>
  </si>
  <si>
    <t>Marruecos</t>
  </si>
  <si>
    <t>Irán</t>
  </si>
  <si>
    <t>Perú</t>
  </si>
  <si>
    <t>Dinamarca</t>
  </si>
  <si>
    <t>Islandia</t>
  </si>
  <si>
    <t>Serbia</t>
  </si>
  <si>
    <t>México</t>
  </si>
  <si>
    <t>Suecia</t>
  </si>
  <si>
    <t>Corea</t>
  </si>
  <si>
    <t>Bélgica</t>
  </si>
  <si>
    <t>Panamá</t>
  </si>
  <si>
    <t>Túnez</t>
  </si>
  <si>
    <t>Polonia</t>
  </si>
  <si>
    <t>Senegal</t>
  </si>
  <si>
    <t>Japón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</si>
</sst>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\ hh:mm"/>
    <numFmt numFmtId="165" formatCode="&quot;En &quot;#,##0&quot; días&quot;"/>
    <numFmt numFmtId="166" formatCode="&quot;En &quot;#&quot; días&quot;"/>
    <numFmt numFmtId="167" formatCode="dddd&quot;, &quot;mmmm\ dd&quot;, &quot;yyyy"/>
    <numFmt numFmtId="168" formatCode="[$-F400]h:mm:ss\ AM/PM"/>
    <numFmt numFmtId="169" formatCode="[$-2C0A]h:mm:ss\ AM/PM;@"/>
  </numFmts>
  <fonts count="15">
    <font>
      <sz val="10"/>
      <name val="Arial"/>
      <family val="2"/>
    </font>
    <font>
      <sz val="10"/>
      <name val="Arial"/>
      <family val="2"/>
      <charset val="177"/>
    </font>
    <font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 Unicode MS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0"/>
      <color theme="9" tint="0.59999389629810485"/>
      <name val="Arial"/>
      <family val="2"/>
    </font>
    <font>
      <sz val="26"/>
      <name val="Stencil"/>
      <family val="5"/>
    </font>
    <font>
      <b/>
      <i/>
      <sz val="10"/>
      <color theme="0"/>
      <name val="Arial"/>
      <family val="2"/>
    </font>
    <font>
      <sz val="8"/>
      <name val="Arial"/>
      <family val="2"/>
    </font>
    <font>
      <b/>
      <i/>
      <sz val="8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1"/>
      </patternFill>
    </fill>
  </fills>
  <borders count="5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64"/>
      </left>
      <right/>
      <top style="thick">
        <color indexed="8"/>
      </top>
      <bottom style="thin">
        <color indexed="64"/>
      </bottom>
      <diagonal/>
    </border>
    <border>
      <left/>
      <right/>
      <top style="thick">
        <color indexed="8"/>
      </top>
      <bottom style="thin">
        <color indexed="64"/>
      </bottom>
      <diagonal/>
    </border>
    <border>
      <left/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4" fillId="0" borderId="0"/>
  </cellStyleXfs>
  <cellXfs count="16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NumberFormat="1"/>
    <xf numFmtId="0" fontId="1" fillId="0" borderId="0" xfId="2"/>
    <xf numFmtId="0" fontId="1" fillId="0" borderId="0" xfId="2" applyAlignment="1">
      <alignment horizontal="right"/>
    </xf>
    <xf numFmtId="0" fontId="4" fillId="0" borderId="7" xfId="2" applyFont="1" applyBorder="1" applyAlignment="1">
      <alignment horizontal="center"/>
    </xf>
    <xf numFmtId="0" fontId="1" fillId="0" borderId="0" xfId="2" applyBorder="1" applyAlignment="1">
      <alignment horizontal="right"/>
    </xf>
    <xf numFmtId="0" fontId="1" fillId="0" borderId="0" xfId="2" applyFont="1" applyBorder="1" applyAlignment="1"/>
    <xf numFmtId="0" fontId="1" fillId="0" borderId="0" xfId="2" applyFont="1"/>
    <xf numFmtId="0" fontId="1" fillId="0" borderId="0" xfId="2" applyFont="1" applyBorder="1" applyAlignment="1">
      <alignment horizontal="right"/>
    </xf>
    <xf numFmtId="0" fontId="1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7" xfId="2" applyBorder="1" applyAlignment="1">
      <alignment horizontal="center"/>
    </xf>
    <xf numFmtId="0" fontId="4" fillId="0" borderId="0" xfId="0" applyNumberFormat="1" applyFont="1"/>
    <xf numFmtId="0" fontId="1" fillId="0" borderId="0" xfId="2" applyBorder="1"/>
    <xf numFmtId="0" fontId="4" fillId="0" borderId="0" xfId="2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4" fillId="0" borderId="7" xfId="0" applyFont="1" applyBorder="1"/>
    <xf numFmtId="0" fontId="0" fillId="0" borderId="7" xfId="0" applyBorder="1"/>
    <xf numFmtId="0" fontId="0" fillId="0" borderId="7" xfId="0" applyFont="1" applyBorder="1"/>
    <xf numFmtId="16" fontId="0" fillId="0" borderId="0" xfId="0" applyNumberFormat="1"/>
    <xf numFmtId="168" fontId="0" fillId="0" borderId="0" xfId="0" applyNumberFormat="1"/>
    <xf numFmtId="0" fontId="1" fillId="0" borderId="27" xfId="2" applyBorder="1" applyAlignment="1">
      <alignment horizontal="center"/>
    </xf>
    <xf numFmtId="0" fontId="4" fillId="0" borderId="27" xfId="2" applyFont="1" applyBorder="1" applyAlignment="1">
      <alignment horizontal="center"/>
    </xf>
    <xf numFmtId="0" fontId="4" fillId="0" borderId="0" xfId="0" applyFont="1" applyFill="1" applyBorder="1"/>
    <xf numFmtId="0" fontId="0" fillId="3" borderId="0" xfId="0" applyFill="1" applyProtection="1">
      <protection hidden="1"/>
    </xf>
    <xf numFmtId="0" fontId="0" fillId="3" borderId="44" xfId="0" applyFill="1" applyBorder="1" applyAlignment="1" applyProtection="1">
      <alignment horizontal="center"/>
      <protection hidden="1"/>
    </xf>
    <xf numFmtId="0" fontId="0" fillId="3" borderId="45" xfId="0" applyFill="1" applyBorder="1" applyAlignment="1" applyProtection="1">
      <alignment horizontal="center"/>
      <protection hidden="1"/>
    </xf>
    <xf numFmtId="0" fontId="0" fillId="3" borderId="46" xfId="0" applyFill="1" applyBorder="1" applyAlignment="1" applyProtection="1">
      <alignment horizontal="center"/>
      <protection hidden="1"/>
    </xf>
    <xf numFmtId="0" fontId="0" fillId="3" borderId="35" xfId="0" applyFill="1" applyBorder="1" applyAlignment="1" applyProtection="1">
      <alignment horizontal="center"/>
      <protection hidden="1"/>
    </xf>
    <xf numFmtId="0" fontId="0" fillId="3" borderId="36" xfId="0" applyFill="1" applyBorder="1" applyAlignment="1" applyProtection="1">
      <alignment horizontal="center"/>
      <protection hidden="1"/>
    </xf>
    <xf numFmtId="0" fontId="0" fillId="3" borderId="37" xfId="0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hidden="1"/>
    </xf>
    <xf numFmtId="0" fontId="0" fillId="3" borderId="40" xfId="0" applyFill="1" applyBorder="1" applyAlignment="1" applyProtection="1">
      <alignment horizontal="center"/>
      <protection hidden="1"/>
    </xf>
    <xf numFmtId="0" fontId="0" fillId="3" borderId="41" xfId="0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right"/>
      <protection hidden="1"/>
    </xf>
    <xf numFmtId="0" fontId="11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16" fontId="11" fillId="4" borderId="24" xfId="0" applyNumberFormat="1" applyFont="1" applyFill="1" applyBorder="1" applyProtection="1">
      <protection hidden="1"/>
    </xf>
    <xf numFmtId="20" fontId="11" fillId="4" borderId="0" xfId="0" applyNumberFormat="1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1" fillId="4" borderId="3" xfId="0" applyFont="1" applyFill="1" applyBorder="1" applyAlignment="1" applyProtection="1">
      <alignment horizontal="right"/>
      <protection hidden="1"/>
    </xf>
    <xf numFmtId="0" fontId="11" fillId="2" borderId="4" xfId="0" applyFont="1" applyFill="1" applyBorder="1" applyProtection="1">
      <protection hidden="1"/>
    </xf>
    <xf numFmtId="0" fontId="11" fillId="4" borderId="5" xfId="0" applyFont="1" applyFill="1" applyBorder="1" applyAlignment="1" applyProtection="1">
      <alignment horizontal="right"/>
      <protection hidden="1"/>
    </xf>
    <xf numFmtId="0" fontId="11" fillId="2" borderId="6" xfId="0" applyFont="1" applyFill="1" applyBorder="1" applyProtection="1">
      <protection hidden="1"/>
    </xf>
    <xf numFmtId="165" fontId="11" fillId="3" borderId="0" xfId="0" applyNumberFormat="1" applyFont="1" applyFill="1" applyProtection="1">
      <protection hidden="1"/>
    </xf>
    <xf numFmtId="16" fontId="11" fillId="4" borderId="23" xfId="0" applyNumberFormat="1" applyFont="1" applyFill="1" applyBorder="1" applyProtection="1">
      <protection hidden="1"/>
    </xf>
    <xf numFmtId="0" fontId="11" fillId="4" borderId="26" xfId="0" applyFont="1" applyFill="1" applyBorder="1" applyProtection="1">
      <protection hidden="1"/>
    </xf>
    <xf numFmtId="0" fontId="11" fillId="4" borderId="8" xfId="0" applyFont="1" applyFill="1" applyBorder="1" applyAlignment="1" applyProtection="1">
      <alignment horizontal="right"/>
      <protection hidden="1"/>
    </xf>
    <xf numFmtId="0" fontId="11" fillId="4" borderId="43" xfId="0" applyFont="1" applyFill="1" applyBorder="1" applyAlignment="1" applyProtection="1">
      <alignment horizontal="center"/>
      <protection hidden="1"/>
    </xf>
    <xf numFmtId="0" fontId="11" fillId="4" borderId="52" xfId="0" applyFont="1" applyFill="1" applyBorder="1" applyAlignment="1" applyProtection="1">
      <alignment horizontal="center"/>
      <protection hidden="1"/>
    </xf>
    <xf numFmtId="0" fontId="11" fillId="4" borderId="53" xfId="0" applyFont="1" applyFill="1" applyBorder="1" applyAlignment="1" applyProtection="1">
      <alignment horizontal="center"/>
      <protection hidden="1"/>
    </xf>
    <xf numFmtId="0" fontId="11" fillId="4" borderId="54" xfId="0" applyFont="1" applyFill="1" applyBorder="1" applyAlignment="1" applyProtection="1">
      <alignment horizontal="center"/>
      <protection hidden="1"/>
    </xf>
    <xf numFmtId="16" fontId="11" fillId="4" borderId="22" xfId="0" applyNumberFormat="1" applyFont="1" applyFill="1" applyBorder="1" applyProtection="1">
      <protection hidden="1"/>
    </xf>
    <xf numFmtId="20" fontId="11" fillId="4" borderId="10" xfId="0" applyNumberFormat="1" applyFont="1" applyFill="1" applyBorder="1" applyProtection="1">
      <protection hidden="1"/>
    </xf>
    <xf numFmtId="0" fontId="11" fillId="4" borderId="10" xfId="0" applyFont="1" applyFill="1" applyBorder="1" applyAlignment="1" applyProtection="1">
      <alignment horizontal="right"/>
      <protection hidden="1"/>
    </xf>
    <xf numFmtId="0" fontId="11" fillId="4" borderId="11" xfId="0" applyFont="1" applyFill="1" applyBorder="1" applyAlignment="1" applyProtection="1">
      <alignment horizontal="right"/>
      <protection hidden="1"/>
    </xf>
    <xf numFmtId="0" fontId="11" fillId="4" borderId="34" xfId="0" applyFont="1" applyFill="1" applyBorder="1" applyAlignment="1" applyProtection="1">
      <alignment horizontal="center"/>
      <protection hidden="1"/>
    </xf>
    <xf numFmtId="0" fontId="11" fillId="4" borderId="35" xfId="0" applyFont="1" applyFill="1" applyBorder="1" applyAlignment="1" applyProtection="1">
      <alignment horizontal="center"/>
      <protection hidden="1"/>
    </xf>
    <xf numFmtId="0" fontId="11" fillId="4" borderId="36" xfId="0" applyFont="1" applyFill="1" applyBorder="1" applyAlignment="1" applyProtection="1">
      <alignment horizontal="center"/>
      <protection hidden="1"/>
    </xf>
    <xf numFmtId="0" fontId="11" fillId="4" borderId="37" xfId="0" applyFont="1" applyFill="1" applyBorder="1" applyAlignment="1" applyProtection="1">
      <alignment horizontal="center"/>
      <protection hidden="1"/>
    </xf>
    <xf numFmtId="20" fontId="11" fillId="4" borderId="12" xfId="0" applyNumberFormat="1" applyFont="1" applyFill="1" applyBorder="1" applyProtection="1">
      <protection hidden="1"/>
    </xf>
    <xf numFmtId="0" fontId="11" fillId="4" borderId="12" xfId="0" applyFont="1" applyFill="1" applyBorder="1" applyAlignment="1" applyProtection="1">
      <alignment horizontal="right"/>
      <protection hidden="1"/>
    </xf>
    <xf numFmtId="0" fontId="11" fillId="4" borderId="13" xfId="0" applyFont="1" applyFill="1" applyBorder="1" applyAlignment="1" applyProtection="1">
      <alignment horizontal="right"/>
      <protection hidden="1"/>
    </xf>
    <xf numFmtId="16" fontId="11" fillId="4" borderId="21" xfId="0" applyNumberFormat="1" applyFont="1" applyFill="1" applyBorder="1" applyProtection="1">
      <protection hidden="1"/>
    </xf>
    <xf numFmtId="0" fontId="11" fillId="4" borderId="38" xfId="0" applyFont="1" applyFill="1" applyBorder="1" applyAlignment="1" applyProtection="1">
      <alignment horizontal="center"/>
      <protection hidden="1"/>
    </xf>
    <xf numFmtId="0" fontId="11" fillId="4" borderId="39" xfId="0" applyFont="1" applyFill="1" applyBorder="1" applyAlignment="1" applyProtection="1">
      <alignment horizontal="center"/>
      <protection hidden="1"/>
    </xf>
    <xf numFmtId="0" fontId="11" fillId="4" borderId="40" xfId="0" applyFont="1" applyFill="1" applyBorder="1" applyAlignment="1" applyProtection="1">
      <alignment horizontal="center"/>
      <protection hidden="1"/>
    </xf>
    <xf numFmtId="0" fontId="11" fillId="4" borderId="41" xfId="0" applyFont="1" applyFill="1" applyBorder="1" applyAlignment="1" applyProtection="1">
      <alignment horizontal="center"/>
      <protection hidden="1"/>
    </xf>
    <xf numFmtId="166" fontId="11" fillId="3" borderId="0" xfId="0" applyNumberFormat="1" applyFont="1" applyFill="1" applyProtection="1">
      <protection hidden="1"/>
    </xf>
    <xf numFmtId="0" fontId="11" fillId="4" borderId="12" xfId="0" applyFont="1" applyFill="1" applyBorder="1" applyProtection="1">
      <protection hidden="1"/>
    </xf>
    <xf numFmtId="0" fontId="11" fillId="2" borderId="8" xfId="0" applyFont="1" applyFill="1" applyBorder="1" applyProtection="1">
      <protection hidden="1"/>
    </xf>
    <xf numFmtId="0" fontId="11" fillId="2" borderId="51" xfId="0" applyFont="1" applyFill="1" applyBorder="1" applyProtection="1">
      <protection hidden="1"/>
    </xf>
    <xf numFmtId="0" fontId="11" fillId="4" borderId="55" xfId="0" applyFont="1" applyFill="1" applyBorder="1" applyAlignment="1" applyProtection="1">
      <alignment horizontal="center"/>
      <protection hidden="1"/>
    </xf>
    <xf numFmtId="0" fontId="11" fillId="4" borderId="33" xfId="0" applyFont="1" applyFill="1" applyBorder="1" applyAlignment="1" applyProtection="1">
      <alignment horizontal="center"/>
      <protection hidden="1"/>
    </xf>
    <xf numFmtId="0" fontId="0" fillId="3" borderId="16" xfId="0" applyFill="1" applyBorder="1" applyProtection="1">
      <protection hidden="1"/>
    </xf>
    <xf numFmtId="0" fontId="0" fillId="3" borderId="16" xfId="0" applyFill="1" applyBorder="1" applyProtection="1">
      <protection locked="0" hidden="1"/>
    </xf>
    <xf numFmtId="0" fontId="0" fillId="3" borderId="17" xfId="0" applyFill="1" applyBorder="1" applyProtection="1">
      <protection locked="0" hidden="1"/>
    </xf>
    <xf numFmtId="0" fontId="7" fillId="3" borderId="0" xfId="1" applyNumberFormat="1" applyFont="1" applyFill="1" applyBorder="1" applyAlignment="1" applyProtection="1">
      <protection hidden="1"/>
    </xf>
    <xf numFmtId="0" fontId="0" fillId="3" borderId="0" xfId="0" applyFill="1" applyBorder="1" applyProtection="1">
      <protection hidden="1"/>
    </xf>
    <xf numFmtId="0" fontId="0" fillId="3" borderId="18" xfId="0" applyFill="1" applyBorder="1" applyProtection="1">
      <protection hidden="1"/>
    </xf>
    <xf numFmtId="167" fontId="0" fillId="3" borderId="0" xfId="0" applyNumberFormat="1" applyFill="1" applyProtection="1">
      <protection hidden="1"/>
    </xf>
    <xf numFmtId="20" fontId="0" fillId="3" borderId="0" xfId="0" applyNumberFormat="1" applyFill="1" applyProtection="1">
      <protection hidden="1"/>
    </xf>
    <xf numFmtId="0" fontId="0" fillId="3" borderId="19" xfId="0" applyFill="1" applyBorder="1" applyProtection="1">
      <protection hidden="1"/>
    </xf>
    <xf numFmtId="0" fontId="0" fillId="3" borderId="20" xfId="0" applyFill="1" applyBorder="1" applyProtection="1">
      <protection locked="0" hidden="1"/>
    </xf>
    <xf numFmtId="14" fontId="0" fillId="3" borderId="0" xfId="0" applyNumberFormat="1" applyFill="1" applyProtection="1">
      <protection hidden="1"/>
    </xf>
    <xf numFmtId="0" fontId="2" fillId="3" borderId="16" xfId="0" applyFont="1" applyFill="1" applyBorder="1" applyAlignment="1" applyProtection="1">
      <alignment horizontal="center"/>
      <protection hidden="1"/>
    </xf>
    <xf numFmtId="0" fontId="5" fillId="3" borderId="27" xfId="0" applyFont="1" applyFill="1" applyBorder="1" applyAlignment="1" applyProtection="1">
      <alignment horizontal="center"/>
      <protection hidden="1"/>
    </xf>
    <xf numFmtId="0" fontId="8" fillId="3" borderId="0" xfId="0" applyFont="1" applyFill="1"/>
    <xf numFmtId="0" fontId="0" fillId="3" borderId="0" xfId="0" applyFill="1"/>
    <xf numFmtId="0" fontId="4" fillId="3" borderId="0" xfId="0" applyFont="1" applyFill="1"/>
    <xf numFmtId="0" fontId="2" fillId="5" borderId="0" xfId="0" applyFont="1" applyFill="1" applyAlignment="1" applyProtection="1">
      <alignment horizontal="left"/>
      <protection hidden="1"/>
    </xf>
    <xf numFmtId="0" fontId="0" fillId="5" borderId="0" xfId="0" applyFill="1" applyProtection="1">
      <protection hidden="1"/>
    </xf>
    <xf numFmtId="164" fontId="4" fillId="5" borderId="0" xfId="0" applyNumberFormat="1" applyFont="1" applyFill="1" applyAlignment="1" applyProtection="1">
      <alignment horizontal="right"/>
      <protection hidden="1"/>
    </xf>
    <xf numFmtId="164" fontId="4" fillId="5" borderId="0" xfId="0" applyNumberFormat="1" applyFont="1" applyFill="1" applyProtection="1"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4" fontId="3" fillId="5" borderId="0" xfId="0" applyNumberFormat="1" applyFont="1" applyFill="1" applyAlignment="1" applyProtection="1">
      <alignment horizontal="left"/>
      <protection hidden="1"/>
    </xf>
    <xf numFmtId="164" fontId="0" fillId="5" borderId="0" xfId="0" applyNumberFormat="1" applyFill="1" applyBorder="1" applyProtection="1">
      <protection hidden="1"/>
    </xf>
    <xf numFmtId="20" fontId="0" fillId="5" borderId="0" xfId="0" applyNumberFormat="1" applyFill="1" applyBorder="1" applyProtection="1"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18" fontId="0" fillId="5" borderId="0" xfId="0" applyNumberFormat="1" applyFill="1" applyProtection="1">
      <protection hidden="1"/>
    </xf>
    <xf numFmtId="0" fontId="9" fillId="5" borderId="0" xfId="0" applyFont="1" applyFill="1" applyAlignment="1" applyProtection="1">
      <protection hidden="1"/>
    </xf>
    <xf numFmtId="16" fontId="0" fillId="5" borderId="24" xfId="0" applyNumberFormat="1" applyFill="1" applyBorder="1" applyAlignment="1" applyProtection="1">
      <alignment horizontal="center"/>
      <protection hidden="1"/>
    </xf>
    <xf numFmtId="0" fontId="0" fillId="5" borderId="0" xfId="0" applyFont="1" applyFill="1" applyBorder="1" applyAlignment="1" applyProtection="1">
      <alignment horizontal="right"/>
      <protection hidden="1"/>
    </xf>
    <xf numFmtId="0" fontId="0" fillId="5" borderId="0" xfId="0" applyFill="1" applyBorder="1" applyProtection="1">
      <protection hidden="1"/>
    </xf>
    <xf numFmtId="0" fontId="0" fillId="5" borderId="3" xfId="0" applyFill="1" applyBorder="1" applyAlignment="1" applyProtection="1">
      <alignment horizontal="right"/>
      <protection hidden="1"/>
    </xf>
    <xf numFmtId="0" fontId="0" fillId="6" borderId="4" xfId="0" applyFill="1" applyBorder="1" applyProtection="1">
      <protection locked="0" hidden="1"/>
    </xf>
    <xf numFmtId="0" fontId="0" fillId="5" borderId="5" xfId="0" applyFill="1" applyBorder="1" applyAlignment="1" applyProtection="1">
      <alignment horizontal="right"/>
      <protection hidden="1"/>
    </xf>
    <xf numFmtId="0" fontId="0" fillId="6" borderId="6" xfId="0" applyFill="1" applyBorder="1" applyProtection="1">
      <protection locked="0" hidden="1"/>
    </xf>
    <xf numFmtId="0" fontId="0" fillId="5" borderId="43" xfId="0" applyFill="1" applyBorder="1" applyAlignment="1" applyProtection="1">
      <alignment horizontal="center"/>
      <protection hidden="1"/>
    </xf>
    <xf numFmtId="16" fontId="0" fillId="5" borderId="23" xfId="0" applyNumberFormat="1" applyFill="1" applyBorder="1" applyAlignment="1" applyProtection="1">
      <alignment horizontal="center"/>
      <protection hidden="1"/>
    </xf>
    <xf numFmtId="0" fontId="0" fillId="5" borderId="26" xfId="0" applyFill="1" applyBorder="1" applyProtection="1">
      <protection hidden="1"/>
    </xf>
    <xf numFmtId="0" fontId="0" fillId="6" borderId="7" xfId="0" applyFill="1" applyBorder="1" applyProtection="1">
      <protection locked="0" hidden="1"/>
    </xf>
    <xf numFmtId="0" fontId="0" fillId="5" borderId="8" xfId="0" applyFill="1" applyBorder="1" applyAlignment="1" applyProtection="1">
      <alignment horizontal="right"/>
      <protection hidden="1"/>
    </xf>
    <xf numFmtId="0" fontId="0" fillId="6" borderId="9" xfId="0" applyFill="1" applyBorder="1" applyProtection="1">
      <protection locked="0" hidden="1"/>
    </xf>
    <xf numFmtId="0" fontId="0" fillId="5" borderId="34" xfId="0" applyFill="1" applyBorder="1" applyAlignment="1" applyProtection="1">
      <alignment horizontal="center"/>
      <protection hidden="1"/>
    </xf>
    <xf numFmtId="16" fontId="0" fillId="5" borderId="22" xfId="0" applyNumberFormat="1" applyFill="1" applyBorder="1" applyAlignment="1" applyProtection="1">
      <alignment horizontal="center"/>
      <protection hidden="1"/>
    </xf>
    <xf numFmtId="20" fontId="0" fillId="5" borderId="10" xfId="0" applyNumberFormat="1" applyFill="1" applyBorder="1" applyProtection="1">
      <protection hidden="1"/>
    </xf>
    <xf numFmtId="0" fontId="0" fillId="5" borderId="10" xfId="0" applyFont="1" applyFill="1" applyBorder="1" applyAlignment="1" applyProtection="1">
      <alignment horizontal="right"/>
      <protection hidden="1"/>
    </xf>
    <xf numFmtId="0" fontId="0" fillId="5" borderId="11" xfId="0" applyFill="1" applyBorder="1" applyAlignment="1" applyProtection="1">
      <alignment horizontal="right"/>
      <protection hidden="1"/>
    </xf>
    <xf numFmtId="20" fontId="0" fillId="5" borderId="12" xfId="0" applyNumberFormat="1" applyFill="1" applyBorder="1" applyProtection="1">
      <protection hidden="1"/>
    </xf>
    <xf numFmtId="0" fontId="0" fillId="5" borderId="12" xfId="0" applyFont="1" applyFill="1" applyBorder="1" applyAlignment="1" applyProtection="1">
      <alignment horizontal="right"/>
      <protection hidden="1"/>
    </xf>
    <xf numFmtId="0" fontId="0" fillId="5" borderId="13" xfId="0" applyFill="1" applyBorder="1" applyAlignment="1" applyProtection="1">
      <alignment horizontal="right"/>
      <protection hidden="1"/>
    </xf>
    <xf numFmtId="0" fontId="0" fillId="5" borderId="38" xfId="0" applyFill="1" applyBorder="1" applyAlignment="1" applyProtection="1">
      <alignment horizontal="center"/>
      <protection hidden="1"/>
    </xf>
    <xf numFmtId="16" fontId="0" fillId="5" borderId="21" xfId="0" applyNumberFormat="1" applyFill="1" applyBorder="1" applyAlignment="1" applyProtection="1">
      <alignment horizontal="center"/>
      <protection hidden="1"/>
    </xf>
    <xf numFmtId="0" fontId="0" fillId="6" borderId="14" xfId="0" applyFill="1" applyBorder="1" applyProtection="1">
      <protection locked="0" hidden="1"/>
    </xf>
    <xf numFmtId="0" fontId="0" fillId="6" borderId="15" xfId="0" applyFill="1" applyBorder="1" applyProtection="1">
      <protection locked="0" hidden="1"/>
    </xf>
    <xf numFmtId="16" fontId="0" fillId="5" borderId="24" xfId="0" applyNumberFormat="1" applyFill="1" applyBorder="1" applyProtection="1">
      <protection hidden="1"/>
    </xf>
    <xf numFmtId="16" fontId="0" fillId="5" borderId="23" xfId="0" applyNumberFormat="1" applyFill="1" applyBorder="1" applyProtection="1">
      <protection hidden="1"/>
    </xf>
    <xf numFmtId="16" fontId="0" fillId="5" borderId="22" xfId="0" applyNumberFormat="1" applyFill="1" applyBorder="1" applyProtection="1">
      <protection hidden="1"/>
    </xf>
    <xf numFmtId="16" fontId="0" fillId="5" borderId="21" xfId="0" applyNumberFormat="1" applyFill="1" applyBorder="1" applyProtection="1">
      <protection hidden="1"/>
    </xf>
    <xf numFmtId="0" fontId="2" fillId="5" borderId="0" xfId="0" applyFont="1" applyFill="1" applyAlignment="1" applyProtection="1">
      <alignment horizontal="right"/>
      <protection hidden="1"/>
    </xf>
    <xf numFmtId="14" fontId="0" fillId="5" borderId="0" xfId="0" applyNumberFormat="1" applyFill="1" applyProtection="1">
      <protection hidden="1"/>
    </xf>
    <xf numFmtId="164" fontId="3" fillId="5" borderId="0" xfId="0" applyNumberFormat="1" applyFont="1" applyFill="1" applyAlignment="1" applyProtection="1">
      <alignment horizontal="center"/>
      <protection hidden="1"/>
    </xf>
    <xf numFmtId="169" fontId="0" fillId="5" borderId="0" xfId="0" applyNumberFormat="1" applyFill="1" applyProtection="1">
      <protection hidden="1"/>
    </xf>
    <xf numFmtId="18" fontId="13" fillId="5" borderId="0" xfId="0" applyNumberFormat="1" applyFont="1" applyFill="1" applyProtection="1">
      <protection hidden="1"/>
    </xf>
    <xf numFmtId="0" fontId="13" fillId="5" borderId="0" xfId="0" applyFont="1" applyFill="1" applyProtection="1">
      <protection hidden="1"/>
    </xf>
    <xf numFmtId="0" fontId="10" fillId="7" borderId="1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10" fillId="7" borderId="2" xfId="0" applyFont="1" applyFill="1" applyBorder="1" applyAlignment="1" applyProtection="1">
      <alignment horizontal="center"/>
      <protection hidden="1"/>
    </xf>
    <xf numFmtId="0" fontId="10" fillId="7" borderId="42" xfId="0" applyFont="1" applyFill="1" applyBorder="1" applyAlignment="1" applyProtection="1">
      <alignment horizontal="center"/>
      <protection hidden="1"/>
    </xf>
    <xf numFmtId="0" fontId="12" fillId="7" borderId="1" xfId="0" applyFont="1" applyFill="1" applyBorder="1" applyAlignment="1" applyProtection="1">
      <alignment horizontal="center"/>
      <protection hidden="1"/>
    </xf>
    <xf numFmtId="0" fontId="12" fillId="7" borderId="25" xfId="0" applyFont="1" applyFill="1" applyBorder="1" applyAlignment="1" applyProtection="1">
      <alignment horizontal="center"/>
      <protection hidden="1"/>
    </xf>
    <xf numFmtId="0" fontId="12" fillId="7" borderId="2" xfId="0" applyFont="1" applyFill="1" applyBorder="1" applyAlignment="1" applyProtection="1">
      <alignment horizontal="center"/>
      <protection hidden="1"/>
    </xf>
    <xf numFmtId="0" fontId="12" fillId="7" borderId="42" xfId="0" applyFont="1" applyFill="1" applyBorder="1" applyAlignment="1" applyProtection="1">
      <alignment horizontal="center"/>
      <protection hidden="1"/>
    </xf>
    <xf numFmtId="0" fontId="2" fillId="3" borderId="28" xfId="0" applyFont="1" applyFill="1" applyBorder="1" applyAlignment="1" applyProtection="1">
      <alignment horizontal="center"/>
      <protection locked="0"/>
    </xf>
    <xf numFmtId="0" fontId="2" fillId="3" borderId="29" xfId="0" applyFont="1" applyFill="1" applyBorder="1" applyAlignment="1" applyProtection="1">
      <alignment horizontal="center"/>
      <protection locked="0"/>
    </xf>
    <xf numFmtId="0" fontId="10" fillId="7" borderId="30" xfId="0" applyFont="1" applyFill="1" applyBorder="1" applyAlignment="1" applyProtection="1">
      <alignment horizontal="center"/>
      <protection hidden="1"/>
    </xf>
    <xf numFmtId="0" fontId="10" fillId="7" borderId="47" xfId="0" applyFont="1" applyFill="1" applyBorder="1" applyAlignment="1" applyProtection="1">
      <alignment horizontal="center"/>
      <protection hidden="1"/>
    </xf>
    <xf numFmtId="0" fontId="10" fillId="7" borderId="48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0" fillId="3" borderId="49" xfId="0" applyFill="1" applyBorder="1" applyAlignment="1" applyProtection="1">
      <alignment horizontal="center"/>
      <protection hidden="1"/>
    </xf>
    <xf numFmtId="0" fontId="0" fillId="3" borderId="50" xfId="0" applyFill="1" applyBorder="1" applyAlignment="1" applyProtection="1">
      <alignment horizontal="center"/>
      <protection hidden="1"/>
    </xf>
    <xf numFmtId="0" fontId="9" fillId="5" borderId="0" xfId="0" applyFont="1" applyFill="1" applyAlignment="1" applyProtection="1">
      <alignment horizontal="left"/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0" fontId="0" fillId="3" borderId="32" xfId="0" applyFill="1" applyBorder="1" applyAlignment="1" applyProtection="1">
      <alignment horizontal="center"/>
      <protection hidden="1"/>
    </xf>
    <xf numFmtId="0" fontId="0" fillId="3" borderId="31" xfId="0" applyFill="1" applyBorder="1" applyAlignment="1" applyProtection="1">
      <alignment horizontal="center"/>
      <protection hidden="1"/>
    </xf>
    <xf numFmtId="164" fontId="11" fillId="3" borderId="0" xfId="0" applyNumberFormat="1" applyFont="1" applyFill="1" applyAlignment="1" applyProtection="1">
      <alignment horizontal="left"/>
      <protection hidden="1"/>
    </xf>
    <xf numFmtId="0" fontId="12" fillId="7" borderId="30" xfId="0" applyFont="1" applyFill="1" applyBorder="1" applyAlignment="1" applyProtection="1">
      <alignment horizontal="center"/>
      <protection hidden="1"/>
    </xf>
    <xf numFmtId="0" fontId="4" fillId="0" borderId="7" xfId="2" applyFont="1" applyBorder="1" applyAlignment="1">
      <alignment horizontal="center"/>
    </xf>
    <xf numFmtId="19" fontId="1" fillId="0" borderId="7" xfId="2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3" borderId="56" xfId="0" applyFont="1" applyFill="1" applyBorder="1" applyAlignment="1" applyProtection="1">
      <alignment horizontal="center"/>
      <protection hidden="1"/>
    </xf>
    <xf numFmtId="0" fontId="5" fillId="3" borderId="57" xfId="0" applyFont="1" applyFill="1" applyBorder="1" applyAlignment="1" applyProtection="1">
      <alignment horizontal="center"/>
      <protection hidden="1"/>
    </xf>
    <xf numFmtId="0" fontId="5" fillId="3" borderId="58" xfId="0" applyFont="1" applyFill="1" applyBorder="1" applyAlignment="1" applyProtection="1">
      <alignment horizontal="center"/>
      <protection hidden="1"/>
    </xf>
    <xf numFmtId="0" fontId="6" fillId="3" borderId="16" xfId="0" applyFont="1" applyFill="1" applyBorder="1" applyAlignment="1" applyProtection="1">
      <alignment horizontal="center"/>
      <protection hidden="1"/>
    </xf>
  </cellXfs>
  <cellStyles count="4">
    <cellStyle name="Hipervínculo" xfId="1" builtinId="8"/>
    <cellStyle name="Normal" xfId="0" builtinId="0"/>
    <cellStyle name="Normal 2" xfId="3"/>
    <cellStyle name="Normal_tabla_de_posiciones_sencilla_fin" xfId="2"/>
  </cellStyles>
  <dxfs count="18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672353</xdr:colOff>
      <xdr:row>19</xdr:row>
      <xdr:rowOff>11206</xdr:rowOff>
    </xdr:from>
    <xdr:to>
      <xdr:col>9</xdr:col>
      <xdr:colOff>391937</xdr:colOff>
      <xdr:row>31</xdr:row>
      <xdr:rowOff>10848</xdr:rowOff>
    </xdr:to>
    <xdr:pic>
      <xdr:nvPicPr>
        <xdr:cNvPr id="10" name="9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20353" y="2991971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10</xdr:col>
      <xdr:colOff>145676</xdr:colOff>
      <xdr:row>5</xdr:row>
      <xdr:rowOff>100853</xdr:rowOff>
    </xdr:from>
    <xdr:to>
      <xdr:col>13</xdr:col>
      <xdr:colOff>1043440</xdr:colOff>
      <xdr:row>29</xdr:row>
      <xdr:rowOff>89647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5676" y="885265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212912</xdr:colOff>
      <xdr:row>5</xdr:row>
      <xdr:rowOff>112058</xdr:rowOff>
    </xdr:from>
    <xdr:to>
      <xdr:col>4</xdr:col>
      <xdr:colOff>503864</xdr:colOff>
      <xdr:row>29</xdr:row>
      <xdr:rowOff>56029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912" y="896470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4</xdr:col>
      <xdr:colOff>627529</xdr:colOff>
      <xdr:row>5</xdr:row>
      <xdr:rowOff>109804</xdr:rowOff>
    </xdr:from>
    <xdr:to>
      <xdr:col>9</xdr:col>
      <xdr:colOff>720277</xdr:colOff>
      <xdr:row>19</xdr:row>
      <xdr:rowOff>82272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75529" y="894216"/>
          <a:ext cx="3902748" cy="216882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907116</xdr:colOff>
      <xdr:row>74</xdr:row>
      <xdr:rowOff>11206</xdr:rowOff>
    </xdr:from>
    <xdr:to>
      <xdr:col>13</xdr:col>
      <xdr:colOff>207600</xdr:colOff>
      <xdr:row>88</xdr:row>
      <xdr:rowOff>50068</xdr:rowOff>
    </xdr:to>
    <xdr:pic>
      <xdr:nvPicPr>
        <xdr:cNvPr id="7" name="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07441" y="11212606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16</xdr:col>
      <xdr:colOff>8964</xdr:colOff>
      <xdr:row>59</xdr:row>
      <xdr:rowOff>47625</xdr:rowOff>
    </xdr:from>
    <xdr:to>
      <xdr:col>22</xdr:col>
      <xdr:colOff>373328</xdr:colOff>
      <xdr:row>86</xdr:row>
      <xdr:rowOff>100853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2764" y="9105900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58830</xdr:rowOff>
    </xdr:from>
    <xdr:to>
      <xdr:col>5</xdr:col>
      <xdr:colOff>738627</xdr:colOff>
      <xdr:row>86</xdr:row>
      <xdr:rowOff>67235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17105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5</xdr:col>
      <xdr:colOff>862292</xdr:colOff>
      <xdr:row>59</xdr:row>
      <xdr:rowOff>56576</xdr:rowOff>
    </xdr:from>
    <xdr:to>
      <xdr:col>15</xdr:col>
      <xdr:colOff>59690</xdr:colOff>
      <xdr:row>74</xdr:row>
      <xdr:rowOff>82272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2617" y="9114851"/>
          <a:ext cx="3902748" cy="21688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470520</xdr:colOff>
      <xdr:row>60</xdr:row>
      <xdr:rowOff>82923</xdr:rowOff>
    </xdr:from>
    <xdr:to>
      <xdr:col>9</xdr:col>
      <xdr:colOff>96741</xdr:colOff>
      <xdr:row>74</xdr:row>
      <xdr:rowOff>113739</xdr:rowOff>
    </xdr:to>
    <xdr:pic>
      <xdr:nvPicPr>
        <xdr:cNvPr id="6" name="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4108" y="9932894"/>
          <a:ext cx="3749986" cy="2227169"/>
        </a:xfrm>
        <a:prstGeom prst="rect">
          <a:avLst/>
        </a:prstGeom>
      </xdr:spPr>
    </xdr:pic>
    <xdr:clientData/>
  </xdr:twoCellAnchor>
  <xdr:twoCellAnchor editAs="oneCell">
    <xdr:from>
      <xdr:col>10</xdr:col>
      <xdr:colOff>341655</xdr:colOff>
      <xdr:row>57</xdr:row>
      <xdr:rowOff>145678</xdr:rowOff>
    </xdr:from>
    <xdr:to>
      <xdr:col>13</xdr:col>
      <xdr:colOff>246532</xdr:colOff>
      <xdr:row>74</xdr:row>
      <xdr:rowOff>59774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331" y="9525002"/>
          <a:ext cx="2101230" cy="2581096"/>
        </a:xfrm>
        <a:prstGeom prst="rect">
          <a:avLst/>
        </a:prstGeom>
      </xdr:spPr>
    </xdr:pic>
    <xdr:clientData/>
  </xdr:twoCellAnchor>
  <xdr:twoCellAnchor editAs="oneCell">
    <xdr:from>
      <xdr:col>1</xdr:col>
      <xdr:colOff>167540</xdr:colOff>
      <xdr:row>58</xdr:row>
      <xdr:rowOff>67235</xdr:rowOff>
    </xdr:from>
    <xdr:to>
      <xdr:col>4</xdr:col>
      <xdr:colOff>134470</xdr:colOff>
      <xdr:row>74</xdr:row>
      <xdr:rowOff>22965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393" y="9603441"/>
          <a:ext cx="2129665" cy="2465848"/>
        </a:xfrm>
        <a:prstGeom prst="rect">
          <a:avLst/>
        </a:prstGeom>
      </xdr:spPr>
    </xdr:pic>
    <xdr:clientData/>
  </xdr:twoCellAnchor>
  <xdr:twoCellAnchor editAs="oneCell">
    <xdr:from>
      <xdr:col>13</xdr:col>
      <xdr:colOff>144869</xdr:colOff>
      <xdr:row>11</xdr:row>
      <xdr:rowOff>53775</xdr:rowOff>
    </xdr:from>
    <xdr:to>
      <xdr:col>15</xdr:col>
      <xdr:colOff>248098</xdr:colOff>
      <xdr:row>21</xdr:row>
      <xdr:rowOff>30641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3898" y="1891540"/>
          <a:ext cx="2781435" cy="154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88525</xdr:colOff>
      <xdr:row>0</xdr:row>
      <xdr:rowOff>89647</xdr:rowOff>
    </xdr:from>
    <xdr:to>
      <xdr:col>10</xdr:col>
      <xdr:colOff>308160</xdr:colOff>
      <xdr:row>11</xdr:row>
      <xdr:rowOff>66112</xdr:rowOff>
    </xdr:to>
    <xdr:pic>
      <xdr:nvPicPr>
        <xdr:cNvPr id="12" name="1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4975" y="89647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31279</xdr:colOff>
      <xdr:row>4</xdr:row>
      <xdr:rowOff>66674</xdr:rowOff>
    </xdr:from>
    <xdr:to>
      <xdr:col>3</xdr:col>
      <xdr:colOff>20780</xdr:colOff>
      <xdr:row>11</xdr:row>
      <xdr:rowOff>94808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79" y="914399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95251</xdr:rowOff>
    </xdr:from>
    <xdr:to>
      <xdr:col>17</xdr:col>
      <xdr:colOff>51247</xdr:colOff>
      <xdr:row>13</xdr:row>
      <xdr:rowOff>66676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4625" y="95251"/>
          <a:ext cx="1860997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909229</xdr:colOff>
      <xdr:row>0</xdr:row>
      <xdr:rowOff>115981</xdr:rowOff>
    </xdr:from>
    <xdr:to>
      <xdr:col>10</xdr:col>
      <xdr:colOff>176364</xdr:colOff>
      <xdr:row>11</xdr:row>
      <xdr:rowOff>92446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7979" y="1159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</xdr:row>
      <xdr:rowOff>104773</xdr:rowOff>
    </xdr:from>
    <xdr:to>
      <xdr:col>2</xdr:col>
      <xdr:colOff>322876</xdr:colOff>
      <xdr:row>11</xdr:row>
      <xdr:rowOff>132907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978371</xdr:colOff>
      <xdr:row>0</xdr:row>
      <xdr:rowOff>133350</xdr:rowOff>
    </xdr:from>
    <xdr:to>
      <xdr:col>16</xdr:col>
      <xdr:colOff>96168</xdr:colOff>
      <xdr:row>13</xdr:row>
      <xdr:rowOff>104775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6196" y="133350"/>
          <a:ext cx="1860997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13879</xdr:colOff>
      <xdr:row>0</xdr:row>
      <xdr:rowOff>96931</xdr:rowOff>
    </xdr:from>
    <xdr:to>
      <xdr:col>8</xdr:col>
      <xdr:colOff>176364</xdr:colOff>
      <xdr:row>11</xdr:row>
      <xdr:rowOff>73396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6554" y="969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133348</xdr:rowOff>
    </xdr:from>
    <xdr:to>
      <xdr:col>2</xdr:col>
      <xdr:colOff>360976</xdr:colOff>
      <xdr:row>12</xdr:row>
      <xdr:rowOff>4600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8107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578321</xdr:colOff>
      <xdr:row>0</xdr:row>
      <xdr:rowOff>161925</xdr:rowOff>
    </xdr:from>
    <xdr:to>
      <xdr:col>15</xdr:col>
      <xdr:colOff>267618</xdr:colOff>
      <xdr:row>13</xdr:row>
      <xdr:rowOff>133350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61925"/>
          <a:ext cx="1860997" cy="228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42454</xdr:colOff>
      <xdr:row>0</xdr:row>
      <xdr:rowOff>106456</xdr:rowOff>
    </xdr:from>
    <xdr:to>
      <xdr:col>10</xdr:col>
      <xdr:colOff>52539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272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114298</xdr:rowOff>
    </xdr:from>
    <xdr:to>
      <xdr:col>2</xdr:col>
      <xdr:colOff>360976</xdr:colOff>
      <xdr:row>11</xdr:row>
      <xdr:rowOff>142432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620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111596</xdr:colOff>
      <xdr:row>0</xdr:row>
      <xdr:rowOff>142875</xdr:rowOff>
    </xdr:from>
    <xdr:to>
      <xdr:col>16</xdr:col>
      <xdr:colOff>210468</xdr:colOff>
      <xdr:row>13</xdr:row>
      <xdr:rowOff>114300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42875"/>
          <a:ext cx="1860997" cy="228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928279</xdr:colOff>
      <xdr:row>0</xdr:row>
      <xdr:rowOff>77881</xdr:rowOff>
    </xdr:from>
    <xdr:to>
      <xdr:col>10</xdr:col>
      <xdr:colOff>62064</xdr:colOff>
      <xdr:row>11</xdr:row>
      <xdr:rowOff>54346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18929" y="778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</xdr:row>
      <xdr:rowOff>66673</xdr:rowOff>
    </xdr:from>
    <xdr:to>
      <xdr:col>2</xdr:col>
      <xdr:colOff>351451</xdr:colOff>
      <xdr:row>11</xdr:row>
      <xdr:rowOff>94807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9143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54446</xdr:colOff>
      <xdr:row>0</xdr:row>
      <xdr:rowOff>95250</xdr:rowOff>
    </xdr:from>
    <xdr:to>
      <xdr:col>16</xdr:col>
      <xdr:colOff>153318</xdr:colOff>
      <xdr:row>13</xdr:row>
      <xdr:rowOff>66675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5721" y="95250"/>
          <a:ext cx="1860997" cy="228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118654</xdr:colOff>
      <xdr:row>0</xdr:row>
      <xdr:rowOff>135031</xdr:rowOff>
    </xdr:from>
    <xdr:to>
      <xdr:col>7</xdr:col>
      <xdr:colOff>1062189</xdr:colOff>
      <xdr:row>11</xdr:row>
      <xdr:rowOff>111496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6029" y="1350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</xdr:row>
      <xdr:rowOff>123823</xdr:rowOff>
    </xdr:from>
    <xdr:to>
      <xdr:col>3</xdr:col>
      <xdr:colOff>389551</xdr:colOff>
      <xdr:row>11</xdr:row>
      <xdr:rowOff>151957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97154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816446</xdr:colOff>
      <xdr:row>0</xdr:row>
      <xdr:rowOff>152400</xdr:rowOff>
    </xdr:from>
    <xdr:to>
      <xdr:col>16</xdr:col>
      <xdr:colOff>39018</xdr:colOff>
      <xdr:row>13</xdr:row>
      <xdr:rowOff>123825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0971" y="152400"/>
          <a:ext cx="1860997" cy="228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156754</xdr:colOff>
      <xdr:row>0</xdr:row>
      <xdr:rowOff>106456</xdr:rowOff>
    </xdr:from>
    <xdr:to>
      <xdr:col>10</xdr:col>
      <xdr:colOff>204939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747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</xdr:row>
      <xdr:rowOff>76198</xdr:rowOff>
    </xdr:from>
    <xdr:to>
      <xdr:col>3</xdr:col>
      <xdr:colOff>113326</xdr:colOff>
      <xdr:row>11</xdr:row>
      <xdr:rowOff>104332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9239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311621</xdr:colOff>
      <xdr:row>0</xdr:row>
      <xdr:rowOff>104775</xdr:rowOff>
    </xdr:from>
    <xdr:to>
      <xdr:col>16</xdr:col>
      <xdr:colOff>267618</xdr:colOff>
      <xdr:row>13</xdr:row>
      <xdr:rowOff>76200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1446" y="104775"/>
          <a:ext cx="1860997" cy="2286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4354</xdr:colOff>
      <xdr:row>0</xdr:row>
      <xdr:rowOff>125506</xdr:rowOff>
    </xdr:from>
    <xdr:to>
      <xdr:col>9</xdr:col>
      <xdr:colOff>100164</xdr:colOff>
      <xdr:row>11</xdr:row>
      <xdr:rowOff>101971</xdr:rowOff>
    </xdr:to>
    <xdr:pic>
      <xdr:nvPicPr>
        <xdr:cNvPr id="26" name="2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6529" y="12550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104773</xdr:rowOff>
    </xdr:from>
    <xdr:to>
      <xdr:col>3</xdr:col>
      <xdr:colOff>170476</xdr:colOff>
      <xdr:row>11</xdr:row>
      <xdr:rowOff>132907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102071</xdr:colOff>
      <xdr:row>0</xdr:row>
      <xdr:rowOff>133350</xdr:rowOff>
    </xdr:from>
    <xdr:to>
      <xdr:col>16</xdr:col>
      <xdr:colOff>200943</xdr:colOff>
      <xdr:row>13</xdr:row>
      <xdr:rowOff>104775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0496" y="133350"/>
          <a:ext cx="1860997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F5:AA33"/>
  <sheetViews>
    <sheetView zoomScale="145" zoomScaleNormal="145" workbookViewId="0">
      <pane xSplit="14" ySplit="33" topLeftCell="Y191" activePane="bottomRight" state="frozenSplit"/>
      <selection activeCell="H37" sqref="H37"/>
      <selection pane="topRight" activeCell="H37" sqref="H37"/>
      <selection pane="bottomLeft" activeCell="H37" sqref="H37"/>
      <selection pane="bottomRight" activeCell="H37" sqref="H37"/>
    </sheetView>
  </sheetViews>
  <sheetFormatPr baseColWidth="10" defaultRowHeight="12.75"/>
  <cols>
    <col min="1" max="13" width="11.42578125" style="91"/>
    <col min="14" max="14" width="20.7109375" style="91" customWidth="1"/>
    <col min="15" max="16384" width="11.42578125" style="91"/>
  </cols>
  <sheetData>
    <row r="5" spans="27:27">
      <c r="AA5" s="90"/>
    </row>
    <row r="6" spans="27:27">
      <c r="AA6" s="90"/>
    </row>
    <row r="7" spans="27:27">
      <c r="AA7" s="90"/>
    </row>
    <row r="8" spans="27:27">
      <c r="AA8" s="90"/>
    </row>
    <row r="9" spans="27:27">
      <c r="AA9" s="90"/>
    </row>
    <row r="10" spans="27:27">
      <c r="AA10" s="90"/>
    </row>
    <row r="11" spans="27:27">
      <c r="AA11" s="90"/>
    </row>
    <row r="12" spans="27:27">
      <c r="AA12" s="90"/>
    </row>
    <row r="13" spans="27:27">
      <c r="AA13" s="90"/>
    </row>
    <row r="14" spans="27:27">
      <c r="AA14" s="90"/>
    </row>
    <row r="15" spans="27:27">
      <c r="AA15" s="90"/>
    </row>
    <row r="16" spans="27:27">
      <c r="AA16" s="90"/>
    </row>
    <row r="17" spans="6:27">
      <c r="AA17" s="90"/>
    </row>
    <row r="22" spans="6:27">
      <c r="F22" s="92" t="s">
        <v>115</v>
      </c>
    </row>
    <row r="23" spans="6:27" ht="13.5" thickBot="1"/>
    <row r="24" spans="6:27" ht="24" thickBot="1">
      <c r="F24" s="147" t="s">
        <v>83</v>
      </c>
      <c r="G24" s="148"/>
    </row>
    <row r="33" ht="35.1" customHeight="1"/>
  </sheetData>
  <sheetProtection sheet="1" objects="1" scenarios="1"/>
  <mergeCells count="1">
    <mergeCell ref="F24:G24"/>
  </mergeCells>
  <dataValidations count="1">
    <dataValidation type="list" allowBlank="1" showInputMessage="1" showErrorMessage="1" sqref="F24:G24">
      <formula1>paises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U62"/>
  <sheetViews>
    <sheetView tabSelected="1" topLeftCell="A7" zoomScale="145" zoomScaleNormal="145" workbookViewId="0">
      <selection activeCell="F7" sqref="F7"/>
    </sheetView>
  </sheetViews>
  <sheetFormatPr baseColWidth="10" defaultRowHeight="11.25"/>
  <cols>
    <col min="1" max="1" width="1.5703125" style="38" customWidth="1"/>
    <col min="2" max="3" width="7.28515625" style="38" customWidth="1"/>
    <col min="4" max="4" width="11" style="38" bestFit="1" customWidth="1"/>
    <col min="5" max="5" width="11.85546875" style="38" bestFit="1" customWidth="1"/>
    <col min="6" max="6" width="15" style="38" bestFit="1" customWidth="1"/>
    <col min="7" max="7" width="4.85546875" style="38" customWidth="1"/>
    <col min="8" max="8" width="15" style="38" bestFit="1" customWidth="1"/>
    <col min="9" max="9" width="5" style="38" customWidth="1"/>
    <col min="10" max="10" width="1.7109375" style="38" customWidth="1"/>
    <col min="11" max="11" width="15" style="38" bestFit="1" customWidth="1"/>
    <col min="12" max="12" width="3.140625" style="38" customWidth="1"/>
    <col min="13" max="13" width="3.7109375" style="38" customWidth="1"/>
    <col min="14" max="16" width="3.5703125" style="38" customWidth="1"/>
    <col min="17" max="17" width="3.7109375" style="38" customWidth="1"/>
    <col min="18" max="18" width="3.140625" style="38" customWidth="1"/>
    <col min="19" max="19" width="3.85546875" style="38" customWidth="1"/>
    <col min="20" max="20" width="1.7109375" style="38" customWidth="1"/>
    <col min="21" max="21" width="18.42578125" style="38" customWidth="1"/>
    <col min="22" max="16384" width="11.42578125" style="38"/>
  </cols>
  <sheetData>
    <row r="1" spans="2:21">
      <c r="B1" s="39" t="s">
        <v>0</v>
      </c>
      <c r="C1" s="160">
        <f ca="1">NOW()</f>
        <v>43264.436886689815</v>
      </c>
      <c r="D1" s="160"/>
    </row>
    <row r="2" spans="2:21" ht="12" thickBot="1"/>
    <row r="3" spans="2:21" ht="12.75" thickTop="1" thickBot="1">
      <c r="B3" s="143" t="str">
        <f>'GRUPO A'!B16</f>
        <v>Dia</v>
      </c>
      <c r="C3" s="144" t="str">
        <f>'GRUPO A'!C16</f>
        <v>Hora</v>
      </c>
      <c r="D3" s="145">
        <f>'GRUPO A'!D16</f>
        <v>0</v>
      </c>
      <c r="E3" s="145" t="str">
        <f>'GRUPO A'!E16</f>
        <v>Estado</v>
      </c>
      <c r="F3" s="161" t="str">
        <f>'GRUPO A'!F16</f>
        <v>Partidos</v>
      </c>
      <c r="G3" s="161">
        <f>'GRUPO A'!G16</f>
        <v>0</v>
      </c>
      <c r="H3" s="161">
        <f>'GRUPO A'!H16</f>
        <v>0</v>
      </c>
      <c r="I3" s="161">
        <f>'GRUPO A'!I16</f>
        <v>0</v>
      </c>
      <c r="K3" s="143" t="str">
        <f>Hoja1!B6</f>
        <v>Equipo</v>
      </c>
      <c r="L3" s="143" t="str">
        <f>Hoja1!C6</f>
        <v>G</v>
      </c>
      <c r="M3" s="143" t="str">
        <f>Hoja1!D6</f>
        <v>E</v>
      </c>
      <c r="N3" s="143" t="str">
        <f>Hoja1!E6</f>
        <v>P</v>
      </c>
      <c r="O3" s="143" t="str">
        <f>Hoja1!F6</f>
        <v>GF</v>
      </c>
      <c r="P3" s="143" t="str">
        <f>Hoja1!G6</f>
        <v>GC</v>
      </c>
      <c r="Q3" s="143" t="str">
        <f>Hoja1!H6</f>
        <v>DG</v>
      </c>
      <c r="R3" s="143" t="str">
        <f>Hoja1!I6</f>
        <v>Pts.</v>
      </c>
      <c r="S3" s="146" t="s">
        <v>4</v>
      </c>
      <c r="U3" s="146" t="s">
        <v>5</v>
      </c>
    </row>
    <row r="4" spans="2:21" ht="12" thickTop="1">
      <c r="B4" s="40">
        <f>'GRUPO A'!B17</f>
        <v>43265</v>
      </c>
      <c r="C4" s="41">
        <f>'GRUPO A'!C17</f>
        <v>0.45833333333333331</v>
      </c>
      <c r="D4" s="37">
        <f>'GRUPO A'!D17</f>
        <v>0</v>
      </c>
      <c r="E4" s="42" t="str">
        <f ca="1">'GRUPO A'!E17</f>
        <v>Proximamente..</v>
      </c>
      <c r="F4" s="43" t="str">
        <f>'GRUPO A'!F17</f>
        <v>Rusia</v>
      </c>
      <c r="G4" s="44">
        <f>IF('GRUPO A'!G17="","",'GRUPO A'!G17)</f>
        <v>3</v>
      </c>
      <c r="H4" s="45" t="str">
        <f>'GRUPO A'!H17</f>
        <v>Arabia Saudí</v>
      </c>
      <c r="I4" s="46">
        <f>IF('GRUPO A'!I17="","",'GRUPO A'!I17)</f>
        <v>1</v>
      </c>
      <c r="J4" s="47"/>
      <c r="K4" s="51" t="str">
        <f>Hoja1!B7</f>
        <v>Uruguay</v>
      </c>
      <c r="L4" s="52">
        <f>Hoja1!C7</f>
        <v>2</v>
      </c>
      <c r="M4" s="53">
        <f>Hoja1!D7</f>
        <v>1</v>
      </c>
      <c r="N4" s="53">
        <f>Hoja1!E7</f>
        <v>0</v>
      </c>
      <c r="O4" s="53">
        <f>Hoja1!F7</f>
        <v>7</v>
      </c>
      <c r="P4" s="53">
        <f>Hoja1!G7</f>
        <v>3</v>
      </c>
      <c r="Q4" s="53">
        <f>Hoja1!H7</f>
        <v>4</v>
      </c>
      <c r="R4" s="53">
        <f>Hoja1!I7</f>
        <v>7</v>
      </c>
      <c r="S4" s="54">
        <f>SUM(L4:N4)</f>
        <v>3</v>
      </c>
      <c r="U4" s="75" t="str">
        <f>K4</f>
        <v>Uruguay</v>
      </c>
    </row>
    <row r="5" spans="2:21" ht="12" thickBot="1">
      <c r="B5" s="48">
        <f>'GRUPO A'!B18</f>
        <v>43266</v>
      </c>
      <c r="C5" s="41">
        <f>'GRUPO A'!C18</f>
        <v>0.33333333333333331</v>
      </c>
      <c r="D5" s="37">
        <f>'GRUPO A'!D18</f>
        <v>0</v>
      </c>
      <c r="E5" s="49" t="str">
        <f ca="1">'GRUPO A'!E18</f>
        <v>Proximamente..</v>
      </c>
      <c r="F5" s="43" t="str">
        <f>'GRUPO A'!F18</f>
        <v>Egipto</v>
      </c>
      <c r="G5" s="44">
        <f>IF('GRUPO A'!G18="","",'GRUPO A'!G18)</f>
        <v>1</v>
      </c>
      <c r="H5" s="50" t="str">
        <f>'GRUPO A'!H18</f>
        <v>Uruguay</v>
      </c>
      <c r="I5" s="46">
        <f>IF('GRUPO A'!I18="","",'GRUPO A'!I18)</f>
        <v>2</v>
      </c>
      <c r="J5" s="47"/>
      <c r="K5" s="59" t="str">
        <f>Hoja1!B8</f>
        <v>Rusia</v>
      </c>
      <c r="L5" s="60">
        <f>Hoja1!C8</f>
        <v>2</v>
      </c>
      <c r="M5" s="61">
        <f>Hoja1!D8</f>
        <v>1</v>
      </c>
      <c r="N5" s="61">
        <f>Hoja1!E8</f>
        <v>0</v>
      </c>
      <c r="O5" s="61">
        <f>Hoja1!F8</f>
        <v>7</v>
      </c>
      <c r="P5" s="61">
        <f>Hoja1!G8</f>
        <v>4</v>
      </c>
      <c r="Q5" s="61">
        <f>Hoja1!H8</f>
        <v>3</v>
      </c>
      <c r="R5" s="61">
        <f>Hoja1!I8</f>
        <v>7</v>
      </c>
      <c r="S5" s="62">
        <f>SUM(L5:N5)</f>
        <v>3</v>
      </c>
      <c r="U5" s="76" t="str">
        <f>K5</f>
        <v>Rusia</v>
      </c>
    </row>
    <row r="6" spans="2:21" ht="12" thickTop="1">
      <c r="B6" s="55">
        <f>'GRUPO A'!B19</f>
        <v>43270</v>
      </c>
      <c r="C6" s="56">
        <f>'GRUPO A'!C19</f>
        <v>0.58333333333333337</v>
      </c>
      <c r="D6" s="57">
        <f>'GRUPO A'!D19</f>
        <v>0</v>
      </c>
      <c r="E6" s="42" t="str">
        <f ca="1">'GRUPO A'!E19</f>
        <v>Proximamente..</v>
      </c>
      <c r="F6" s="58" t="str">
        <f>'GRUPO A'!F19</f>
        <v>Rusia</v>
      </c>
      <c r="G6" s="44">
        <f>IF('GRUPO A'!G19="","",'GRUPO A'!G19)</f>
        <v>2</v>
      </c>
      <c r="H6" s="45" t="str">
        <f>'GRUPO A'!H19</f>
        <v>Egipto</v>
      </c>
      <c r="I6" s="46">
        <f>IF('GRUPO A'!I19="","",'GRUPO A'!I19)</f>
        <v>1</v>
      </c>
      <c r="J6" s="47"/>
      <c r="K6" s="59" t="str">
        <f>Hoja1!B9</f>
        <v>Egipto</v>
      </c>
      <c r="L6" s="60">
        <f>Hoja1!C9</f>
        <v>1</v>
      </c>
      <c r="M6" s="61">
        <f>Hoja1!D9</f>
        <v>0</v>
      </c>
      <c r="N6" s="61">
        <f>Hoja1!E9</f>
        <v>2</v>
      </c>
      <c r="O6" s="61">
        <f>Hoja1!F9</f>
        <v>4</v>
      </c>
      <c r="P6" s="61">
        <f>Hoja1!G9</f>
        <v>5</v>
      </c>
      <c r="Q6" s="61">
        <f>Hoja1!H9</f>
        <v>-1</v>
      </c>
      <c r="R6" s="61">
        <f>Hoja1!I9</f>
        <v>3</v>
      </c>
      <c r="S6" s="62">
        <f>SUM(L6:N6)</f>
        <v>3</v>
      </c>
    </row>
    <row r="7" spans="2:21" ht="12" thickBot="1">
      <c r="B7" s="48">
        <f>'GRUPO A'!B20</f>
        <v>43271</v>
      </c>
      <c r="C7" s="63">
        <f>'GRUPO A'!C20</f>
        <v>0.45833333333333331</v>
      </c>
      <c r="D7" s="64">
        <f>'GRUPO A'!D20</f>
        <v>0</v>
      </c>
      <c r="E7" s="49" t="str">
        <f ca="1">'GRUPO A'!E20</f>
        <v>Proximamente..</v>
      </c>
      <c r="F7" s="65" t="str">
        <f>'GRUPO A'!F20</f>
        <v>Uruguay</v>
      </c>
      <c r="G7" s="44">
        <f>IF('GRUPO A'!G20="","",'GRUPO A'!G20)</f>
        <v>3</v>
      </c>
      <c r="H7" s="50" t="str">
        <f>'GRUPO A'!H20</f>
        <v>Arabia Saudí</v>
      </c>
      <c r="I7" s="46">
        <f>IF('GRUPO A'!I20="","",'GRUPO A'!I20)</f>
        <v>0</v>
      </c>
      <c r="J7" s="47"/>
      <c r="K7" s="67" t="str">
        <f>Hoja1!B10</f>
        <v>Arabia Saudí</v>
      </c>
      <c r="L7" s="68">
        <f>Hoja1!C10</f>
        <v>0</v>
      </c>
      <c r="M7" s="69">
        <f>Hoja1!D10</f>
        <v>0</v>
      </c>
      <c r="N7" s="69">
        <f>Hoja1!E10</f>
        <v>3</v>
      </c>
      <c r="O7" s="69">
        <f>Hoja1!F10</f>
        <v>2</v>
      </c>
      <c r="P7" s="69">
        <f>Hoja1!G10</f>
        <v>8</v>
      </c>
      <c r="Q7" s="69">
        <f>Hoja1!H10</f>
        <v>-6</v>
      </c>
      <c r="R7" s="69">
        <f>Hoja1!I10</f>
        <v>0</v>
      </c>
      <c r="S7" s="70">
        <f>SUM(L7:N7)</f>
        <v>3</v>
      </c>
    </row>
    <row r="8" spans="2:21" ht="12" thickTop="1">
      <c r="B8" s="66">
        <f>'GRUPO A'!B21</f>
        <v>43276</v>
      </c>
      <c r="C8" s="41">
        <f>'GRUPO A'!C21</f>
        <v>0.41666666666666669</v>
      </c>
      <c r="D8" s="37">
        <f>'GRUPO A'!D21</f>
        <v>0</v>
      </c>
      <c r="E8" s="42" t="str">
        <f ca="1">'GRUPO A'!E21</f>
        <v>Proximamente..</v>
      </c>
      <c r="F8" s="43" t="str">
        <f>'GRUPO A'!F21</f>
        <v>Uruguay</v>
      </c>
      <c r="G8" s="44">
        <f>IF('GRUPO A'!G21="","",'GRUPO A'!G21)</f>
        <v>2</v>
      </c>
      <c r="H8" s="45" t="str">
        <f>'GRUPO A'!H21</f>
        <v>Rusia</v>
      </c>
      <c r="I8" s="46">
        <f>IF('GRUPO A'!I21="","",'GRUPO A'!I21)</f>
        <v>2</v>
      </c>
      <c r="J8" s="47"/>
    </row>
    <row r="9" spans="2:21" ht="12" thickBot="1">
      <c r="B9" s="66">
        <f>'GRUPO A'!B22</f>
        <v>43276</v>
      </c>
      <c r="C9" s="41">
        <f>'GRUPO A'!C22</f>
        <v>0.41666666666666669</v>
      </c>
      <c r="D9" s="37">
        <f>'GRUPO A'!D22</f>
        <v>0</v>
      </c>
      <c r="E9" s="42" t="str">
        <f ca="1">'GRUPO A'!E22</f>
        <v>Proximamente..</v>
      </c>
      <c r="F9" s="43" t="str">
        <f>'GRUPO A'!F22</f>
        <v>Arabia Saudí</v>
      </c>
      <c r="G9" s="44">
        <f>IF('GRUPO A'!G22="","",'GRUPO A'!G22)</f>
        <v>1</v>
      </c>
      <c r="H9" s="45" t="str">
        <f>'GRUPO A'!H22</f>
        <v>Egipto</v>
      </c>
      <c r="I9" s="46">
        <f>IF('GRUPO A'!I22="","",'GRUPO A'!I22)</f>
        <v>2</v>
      </c>
      <c r="J9" s="47"/>
    </row>
    <row r="10" spans="2:21" ht="12.75" thickTop="1" thickBot="1">
      <c r="B10" s="143" t="str">
        <f>'GRUPO B'!B16</f>
        <v>Dia</v>
      </c>
      <c r="C10" s="144" t="str">
        <f>'GRUPO B'!C16</f>
        <v>Hora</v>
      </c>
      <c r="D10" s="145">
        <f>'GRUPO B'!D16</f>
        <v>0</v>
      </c>
      <c r="E10" s="145" t="str">
        <f>'GRUPO B'!E16</f>
        <v>Estado</v>
      </c>
      <c r="F10" s="161" t="str">
        <f>'GRUPO B'!F16</f>
        <v>Partidos</v>
      </c>
      <c r="G10" s="161">
        <f>'GRUPO B'!G16</f>
        <v>0</v>
      </c>
      <c r="H10" s="161">
        <f>'GRUPO B'!H16</f>
        <v>0</v>
      </c>
      <c r="I10" s="161">
        <f>'GRUPO B'!I16</f>
        <v>0</v>
      </c>
      <c r="J10" s="71"/>
      <c r="K10" s="143" t="str">
        <f>Hoja1!B13</f>
        <v>Equipo</v>
      </c>
      <c r="L10" s="143" t="str">
        <f>Hoja1!C13</f>
        <v>G</v>
      </c>
      <c r="M10" s="143" t="str">
        <f>Hoja1!D13</f>
        <v>E</v>
      </c>
      <c r="N10" s="143" t="str">
        <f>Hoja1!E13</f>
        <v>P</v>
      </c>
      <c r="O10" s="143" t="str">
        <f>Hoja1!F13</f>
        <v>GF</v>
      </c>
      <c r="P10" s="143" t="str">
        <f>Hoja1!G13</f>
        <v>GC</v>
      </c>
      <c r="Q10" s="143" t="str">
        <f>Hoja1!H13</f>
        <v>DG</v>
      </c>
      <c r="R10" s="143" t="str">
        <f>Hoja1!I13</f>
        <v>Pts.</v>
      </c>
      <c r="S10" s="146" t="s">
        <v>4</v>
      </c>
      <c r="U10" s="146" t="s">
        <v>5</v>
      </c>
    </row>
    <row r="11" spans="2:21" ht="12" thickTop="1">
      <c r="B11" s="40">
        <f>'GRUPO B'!B17</f>
        <v>43266</v>
      </c>
      <c r="C11" s="41">
        <f>'GRUPO B'!C17</f>
        <v>0.58333333333333337</v>
      </c>
      <c r="D11" s="37">
        <f>'GRUPO B'!D17</f>
        <v>0</v>
      </c>
      <c r="E11" s="42" t="str">
        <f ca="1">'GRUPO B'!E17</f>
        <v>Proximamente...</v>
      </c>
      <c r="F11" s="43" t="str">
        <f>'GRUPO B'!F17</f>
        <v>Portugal</v>
      </c>
      <c r="G11" s="44">
        <f>IF('GRUPO B'!G17="","",'GRUPO B'!G17)</f>
        <v>2</v>
      </c>
      <c r="H11" s="45" t="str">
        <f>'GRUPO B'!H17</f>
        <v>España</v>
      </c>
      <c r="I11" s="46">
        <f>IF('GRUPO B'!I17="","",'GRUPO B'!I17)</f>
        <v>1</v>
      </c>
      <c r="J11" s="47"/>
      <c r="K11" s="51" t="str">
        <f>Hoja1!B14</f>
        <v>Portugal</v>
      </c>
      <c r="L11" s="52">
        <f>Hoja1!C14</f>
        <v>3</v>
      </c>
      <c r="M11" s="53">
        <f>Hoja1!D14</f>
        <v>0</v>
      </c>
      <c r="N11" s="53">
        <f>Hoja1!E14</f>
        <v>0</v>
      </c>
      <c r="O11" s="53">
        <f>Hoja1!F14</f>
        <v>7</v>
      </c>
      <c r="P11" s="53">
        <f>Hoja1!G14</f>
        <v>2</v>
      </c>
      <c r="Q11" s="53">
        <f>Hoja1!H14</f>
        <v>5</v>
      </c>
      <c r="R11" s="53">
        <f>Hoja1!I14</f>
        <v>9</v>
      </c>
      <c r="S11" s="54">
        <f>SUM(L11:N11)</f>
        <v>3</v>
      </c>
      <c r="U11" s="75" t="str">
        <f>K11</f>
        <v>Portugal</v>
      </c>
    </row>
    <row r="12" spans="2:21" ht="12" thickBot="1">
      <c r="B12" s="48">
        <f>'GRUPO B'!B18</f>
        <v>43266</v>
      </c>
      <c r="C12" s="41">
        <f>'GRUPO B'!C18</f>
        <v>0.45833333333333331</v>
      </c>
      <c r="D12" s="37">
        <f>'GRUPO B'!D18</f>
        <v>0</v>
      </c>
      <c r="E12" s="49" t="str">
        <f ca="1">'GRUPO B'!E18</f>
        <v>Proximamente...</v>
      </c>
      <c r="F12" s="43" t="str">
        <f>'GRUPO B'!F18</f>
        <v>Marruecos</v>
      </c>
      <c r="G12" s="44">
        <f>IF('GRUPO B'!G18="","",'GRUPO B'!G18)</f>
        <v>2</v>
      </c>
      <c r="H12" s="50" t="str">
        <f>'GRUPO B'!H18</f>
        <v>Irán</v>
      </c>
      <c r="I12" s="46">
        <f>IF('GRUPO B'!I18="","",'GRUPO B'!I18)</f>
        <v>2</v>
      </c>
      <c r="J12" s="47"/>
      <c r="K12" s="59" t="str">
        <f>Hoja1!B15</f>
        <v>España</v>
      </c>
      <c r="L12" s="60">
        <f>Hoja1!C15</f>
        <v>2</v>
      </c>
      <c r="M12" s="61">
        <f>Hoja1!D15</f>
        <v>0</v>
      </c>
      <c r="N12" s="61">
        <f>Hoja1!E15</f>
        <v>1</v>
      </c>
      <c r="O12" s="61">
        <f>Hoja1!F15</f>
        <v>6</v>
      </c>
      <c r="P12" s="61">
        <f>Hoja1!G15</f>
        <v>3</v>
      </c>
      <c r="Q12" s="61">
        <f>Hoja1!H15</f>
        <v>3</v>
      </c>
      <c r="R12" s="61">
        <f>Hoja1!I15</f>
        <v>6</v>
      </c>
      <c r="S12" s="62">
        <f>SUM(L12:N12)</f>
        <v>3</v>
      </c>
      <c r="U12" s="76" t="str">
        <f>K12</f>
        <v>España</v>
      </c>
    </row>
    <row r="13" spans="2:21" ht="12" thickTop="1">
      <c r="B13" s="55">
        <f>'GRUPO B'!B19</f>
        <v>43271</v>
      </c>
      <c r="C13" s="56">
        <f>'GRUPO B'!C19</f>
        <v>0.33333333333333331</v>
      </c>
      <c r="D13" s="57">
        <f>'GRUPO B'!D19</f>
        <v>0</v>
      </c>
      <c r="E13" s="42" t="str">
        <f ca="1">'GRUPO B'!E19</f>
        <v>Proximamente...</v>
      </c>
      <c r="F13" s="58" t="str">
        <f>'GRUPO B'!F19</f>
        <v>Portugal</v>
      </c>
      <c r="G13" s="44">
        <f>IF('GRUPO B'!G19="","",'GRUPO B'!G19)</f>
        <v>2</v>
      </c>
      <c r="H13" s="45" t="str">
        <f>'GRUPO B'!H19</f>
        <v>Marruecos</v>
      </c>
      <c r="I13" s="46">
        <f>IF('GRUPO B'!I19="","",'GRUPO B'!I19)</f>
        <v>0</v>
      </c>
      <c r="J13" s="47"/>
      <c r="K13" s="59" t="str">
        <f>Hoja1!B16</f>
        <v>Irán</v>
      </c>
      <c r="L13" s="60">
        <f>Hoja1!C16</f>
        <v>0</v>
      </c>
      <c r="M13" s="61">
        <f>Hoja1!D16</f>
        <v>1</v>
      </c>
      <c r="N13" s="61">
        <f>Hoja1!E16</f>
        <v>2</v>
      </c>
      <c r="O13" s="61">
        <f>Hoja1!F16</f>
        <v>4</v>
      </c>
      <c r="P13" s="61">
        <f>Hoja1!G16</f>
        <v>8</v>
      </c>
      <c r="Q13" s="61">
        <f>Hoja1!H16</f>
        <v>-4</v>
      </c>
      <c r="R13" s="61">
        <f>Hoja1!I16</f>
        <v>1</v>
      </c>
      <c r="S13" s="62">
        <f>SUM(L13:N13)</f>
        <v>3</v>
      </c>
    </row>
    <row r="14" spans="2:21" ht="12" thickBot="1">
      <c r="B14" s="48">
        <f>'GRUPO B'!B20</f>
        <v>43271</v>
      </c>
      <c r="C14" s="63">
        <f>'GRUPO B'!C20</f>
        <v>0.58333333333333337</v>
      </c>
      <c r="D14" s="64">
        <f>'GRUPO B'!D20</f>
        <v>0</v>
      </c>
      <c r="E14" s="49" t="str">
        <f ca="1">'GRUPO B'!E20</f>
        <v>Proximamente...</v>
      </c>
      <c r="F14" s="65" t="str">
        <f>'GRUPO B'!F20</f>
        <v>Irán</v>
      </c>
      <c r="G14" s="44">
        <f>IF('GRUPO B'!G20="","",'GRUPO B'!G20)</f>
        <v>1</v>
      </c>
      <c r="H14" s="50" t="str">
        <f>'GRUPO B'!H20</f>
        <v>España</v>
      </c>
      <c r="I14" s="46">
        <f>IF('GRUPO B'!I20="","",'GRUPO B'!I20)</f>
        <v>3</v>
      </c>
      <c r="J14" s="47"/>
      <c r="K14" s="67" t="str">
        <f>Hoja1!B17</f>
        <v>Marruecos</v>
      </c>
      <c r="L14" s="68">
        <f>Hoja1!C17</f>
        <v>0</v>
      </c>
      <c r="M14" s="69">
        <f>Hoja1!D17</f>
        <v>1</v>
      </c>
      <c r="N14" s="69">
        <f>Hoja1!E17</f>
        <v>2</v>
      </c>
      <c r="O14" s="69">
        <f>Hoja1!F17</f>
        <v>2</v>
      </c>
      <c r="P14" s="69">
        <f>Hoja1!G17</f>
        <v>6</v>
      </c>
      <c r="Q14" s="69">
        <f>Hoja1!H17</f>
        <v>-4</v>
      </c>
      <c r="R14" s="69">
        <f>Hoja1!I17</f>
        <v>1</v>
      </c>
      <c r="S14" s="70">
        <f>SUM(L14:N14)</f>
        <v>3</v>
      </c>
    </row>
    <row r="15" spans="2:21" ht="12" thickTop="1">
      <c r="B15" s="66">
        <f>'GRUPO B'!B21</f>
        <v>43276</v>
      </c>
      <c r="C15" s="41">
        <f>'GRUPO B'!C21</f>
        <v>0.58333333333333337</v>
      </c>
      <c r="D15" s="37">
        <f>'GRUPO B'!D21</f>
        <v>0</v>
      </c>
      <c r="E15" s="42" t="str">
        <f ca="1">'GRUPO B'!E21</f>
        <v>Proximamente...</v>
      </c>
      <c r="F15" s="43" t="str">
        <f>'GRUPO B'!F21</f>
        <v>Irán</v>
      </c>
      <c r="G15" s="44">
        <f>IF('GRUPO B'!G21="","",'GRUPO B'!G21)</f>
        <v>1</v>
      </c>
      <c r="H15" s="45" t="str">
        <f>'GRUPO B'!H21</f>
        <v>Portugal</v>
      </c>
      <c r="I15" s="46">
        <f>IF('GRUPO B'!I21="","",'GRUPO B'!I21)</f>
        <v>3</v>
      </c>
      <c r="J15" s="47"/>
    </row>
    <row r="16" spans="2:21" ht="12" thickBot="1">
      <c r="B16" s="66">
        <f>'GRUPO B'!B22</f>
        <v>43276</v>
      </c>
      <c r="C16" s="41">
        <f>'GRUPO B'!C22</f>
        <v>0.58333333333333337</v>
      </c>
      <c r="D16" s="37">
        <f>'GRUPO B'!D22</f>
        <v>0</v>
      </c>
      <c r="E16" s="42" t="str">
        <f ca="1">'GRUPO B'!E22</f>
        <v>Proximamente...</v>
      </c>
      <c r="F16" s="43" t="str">
        <f>'GRUPO B'!F22</f>
        <v>España</v>
      </c>
      <c r="G16" s="44">
        <f>IF('GRUPO B'!G22="","",'GRUPO B'!G22)</f>
        <v>2</v>
      </c>
      <c r="H16" s="45" t="str">
        <f>'GRUPO B'!H22</f>
        <v>Marruecos</v>
      </c>
      <c r="I16" s="46">
        <f>IF('GRUPO B'!I22="","",'GRUPO B'!I22)</f>
        <v>0</v>
      </c>
      <c r="J16" s="47"/>
    </row>
    <row r="17" spans="2:21" ht="12.75" thickTop="1" thickBot="1">
      <c r="B17" s="143" t="str">
        <f>'GRUPO C'!B16</f>
        <v>Dia</v>
      </c>
      <c r="C17" s="144" t="str">
        <f>'GRUPO C'!C16</f>
        <v>Hora</v>
      </c>
      <c r="D17" s="145">
        <f>'GRUPO C'!D16</f>
        <v>0</v>
      </c>
      <c r="E17" s="145" t="str">
        <f>'GRUPO C'!E16</f>
        <v>Estado</v>
      </c>
      <c r="F17" s="161" t="str">
        <f>'GRUPO C'!F16</f>
        <v>Partidos</v>
      </c>
      <c r="G17" s="161">
        <f>'GRUPO C'!G16</f>
        <v>0</v>
      </c>
      <c r="H17" s="161">
        <f>'GRUPO C'!H16</f>
        <v>0</v>
      </c>
      <c r="I17" s="161">
        <f>'GRUPO C'!I16</f>
        <v>0</v>
      </c>
      <c r="J17" s="71"/>
      <c r="K17" s="143" t="str">
        <f>Hoja1!B20</f>
        <v>Equipo</v>
      </c>
      <c r="L17" s="143" t="str">
        <f>Hoja1!C20</f>
        <v>G</v>
      </c>
      <c r="M17" s="143" t="str">
        <f>Hoja1!D20</f>
        <v>E</v>
      </c>
      <c r="N17" s="143" t="str">
        <f>Hoja1!E20</f>
        <v>P</v>
      </c>
      <c r="O17" s="143" t="str">
        <f>Hoja1!F20</f>
        <v>GF</v>
      </c>
      <c r="P17" s="143" t="str">
        <f>Hoja1!G20</f>
        <v>GC</v>
      </c>
      <c r="Q17" s="143" t="str">
        <f>Hoja1!H20</f>
        <v>DG</v>
      </c>
      <c r="R17" s="143" t="str">
        <f>Hoja1!I20</f>
        <v>Pts.</v>
      </c>
      <c r="S17" s="146" t="s">
        <v>4</v>
      </c>
      <c r="U17" s="146" t="s">
        <v>5</v>
      </c>
    </row>
    <row r="18" spans="2:21" ht="12" thickTop="1">
      <c r="B18" s="40">
        <f>'GRUPO C'!B17</f>
        <v>43267</v>
      </c>
      <c r="C18" s="41">
        <f>'GRUPO C'!C17</f>
        <v>0.25</v>
      </c>
      <c r="D18" s="37">
        <f>'GRUPO C'!D17</f>
        <v>0</v>
      </c>
      <c r="E18" s="42" t="str">
        <f ca="1">'GRUPO C'!E17</f>
        <v>Proximamente..</v>
      </c>
      <c r="F18" s="43" t="str">
        <f>'GRUPO C'!F17</f>
        <v>Francia</v>
      </c>
      <c r="G18" s="44">
        <f>IF('GRUPO C'!G17="","",'GRUPO C'!G17)</f>
        <v>3</v>
      </c>
      <c r="H18" s="45" t="str">
        <f>'GRUPO C'!H17</f>
        <v>Australia</v>
      </c>
      <c r="I18" s="46">
        <f>IF('GRUPO C'!I17="","",'GRUPO C'!I17)</f>
        <v>1</v>
      </c>
      <c r="J18" s="47"/>
      <c r="K18" s="51" t="str">
        <f>Hoja1!B21</f>
        <v>Francia</v>
      </c>
      <c r="L18" s="52">
        <f>Hoja1!C21</f>
        <v>3</v>
      </c>
      <c r="M18" s="53">
        <f>Hoja1!D21</f>
        <v>0</v>
      </c>
      <c r="N18" s="53">
        <f>Hoja1!E21</f>
        <v>0</v>
      </c>
      <c r="O18" s="53">
        <f>Hoja1!F21</f>
        <v>7</v>
      </c>
      <c r="P18" s="53">
        <f>Hoja1!G21</f>
        <v>2</v>
      </c>
      <c r="Q18" s="53">
        <f>Hoja1!H21</f>
        <v>5</v>
      </c>
      <c r="R18" s="53">
        <f>Hoja1!I21</f>
        <v>9</v>
      </c>
      <c r="S18" s="54">
        <f>SUM(L18:N18)</f>
        <v>3</v>
      </c>
      <c r="U18" s="75" t="str">
        <f>K18</f>
        <v>Francia</v>
      </c>
    </row>
    <row r="19" spans="2:21" ht="12" thickBot="1">
      <c r="B19" s="48">
        <f>'GRUPO C'!B18</f>
        <v>43267</v>
      </c>
      <c r="C19" s="41">
        <f>'GRUPO C'!C18</f>
        <v>0.5</v>
      </c>
      <c r="D19" s="37">
        <f>'GRUPO C'!D18</f>
        <v>0</v>
      </c>
      <c r="E19" s="49" t="str">
        <f ca="1">'GRUPO C'!E18</f>
        <v>Proximamente..</v>
      </c>
      <c r="F19" s="43" t="str">
        <f>'GRUPO C'!F18</f>
        <v>Perú</v>
      </c>
      <c r="G19" s="44">
        <f>IF('GRUPO C'!G18="","",'GRUPO C'!G18)</f>
        <v>2</v>
      </c>
      <c r="H19" s="50" t="str">
        <f>'GRUPO C'!H18</f>
        <v>Dinamarca</v>
      </c>
      <c r="I19" s="46">
        <f>IF('GRUPO C'!I18="","",'GRUPO C'!I18)</f>
        <v>0</v>
      </c>
      <c r="J19" s="47"/>
      <c r="K19" s="59" t="str">
        <f>Hoja1!B22</f>
        <v>Perú</v>
      </c>
      <c r="L19" s="60">
        <f>Hoja1!C22</f>
        <v>2</v>
      </c>
      <c r="M19" s="61">
        <f>Hoja1!D22</f>
        <v>0</v>
      </c>
      <c r="N19" s="61">
        <f>Hoja1!E22</f>
        <v>1</v>
      </c>
      <c r="O19" s="61">
        <f>Hoja1!F22</f>
        <v>5</v>
      </c>
      <c r="P19" s="61">
        <f>Hoja1!G22</f>
        <v>3</v>
      </c>
      <c r="Q19" s="61">
        <f>Hoja1!H22</f>
        <v>2</v>
      </c>
      <c r="R19" s="61">
        <f>Hoja1!I22</f>
        <v>6</v>
      </c>
      <c r="S19" s="62">
        <f>SUM(L19:N19)</f>
        <v>3</v>
      </c>
      <c r="U19" s="76" t="str">
        <f>K19</f>
        <v>Perú</v>
      </c>
    </row>
    <row r="20" spans="2:21" ht="12" thickTop="1">
      <c r="B20" s="55">
        <f>'GRUPO C'!B19</f>
        <v>43272</v>
      </c>
      <c r="C20" s="56">
        <f>'GRUPO C'!C19</f>
        <v>0.45833333333333331</v>
      </c>
      <c r="D20" s="57">
        <f>'GRUPO C'!D19</f>
        <v>0</v>
      </c>
      <c r="E20" s="42" t="str">
        <f ca="1">'GRUPO C'!E19</f>
        <v>Proximamente..</v>
      </c>
      <c r="F20" s="58" t="str">
        <f>'GRUPO C'!F19</f>
        <v>Francia</v>
      </c>
      <c r="G20" s="44">
        <f>IF('GRUPO C'!G19="","",'GRUPO C'!G19)</f>
        <v>2</v>
      </c>
      <c r="H20" s="45" t="str">
        <f>'GRUPO C'!H19</f>
        <v>Perú</v>
      </c>
      <c r="I20" s="46">
        <f>IF('GRUPO C'!I19="","",'GRUPO C'!I19)</f>
        <v>0</v>
      </c>
      <c r="J20" s="47"/>
      <c r="K20" s="59" t="str">
        <f>Hoja1!B23</f>
        <v>Australia</v>
      </c>
      <c r="L20" s="60">
        <f>Hoja1!C23</f>
        <v>1</v>
      </c>
      <c r="M20" s="61">
        <f>Hoja1!D23</f>
        <v>0</v>
      </c>
      <c r="N20" s="61">
        <f>Hoja1!E23</f>
        <v>2</v>
      </c>
      <c r="O20" s="61">
        <f>Hoja1!F23</f>
        <v>5</v>
      </c>
      <c r="P20" s="61">
        <f>Hoja1!G23</f>
        <v>8</v>
      </c>
      <c r="Q20" s="61">
        <f>Hoja1!H23</f>
        <v>-3</v>
      </c>
      <c r="R20" s="61">
        <f>Hoja1!I23</f>
        <v>3</v>
      </c>
      <c r="S20" s="62">
        <f>SUM(L20:N20)</f>
        <v>3</v>
      </c>
    </row>
    <row r="21" spans="2:21" ht="12" thickBot="1">
      <c r="B21" s="48">
        <f>'GRUPO C'!B20</f>
        <v>43272</v>
      </c>
      <c r="C21" s="63">
        <f>'GRUPO C'!C20</f>
        <v>0.33333333333333331</v>
      </c>
      <c r="D21" s="64">
        <f>'GRUPO C'!D20</f>
        <v>0</v>
      </c>
      <c r="E21" s="49" t="str">
        <f ca="1">'GRUPO C'!E20</f>
        <v>Proximamente..</v>
      </c>
      <c r="F21" s="65" t="str">
        <f>'GRUPO C'!F20</f>
        <v>Dinamarca</v>
      </c>
      <c r="G21" s="44">
        <f>IF('GRUPO C'!G20="","",'GRUPO C'!G20)</f>
        <v>2</v>
      </c>
      <c r="H21" s="50" t="str">
        <f>'GRUPO C'!H20</f>
        <v>Australia</v>
      </c>
      <c r="I21" s="46">
        <f>IF('GRUPO C'!I20="","",'GRUPO C'!I20)</f>
        <v>3</v>
      </c>
      <c r="J21" s="47"/>
      <c r="K21" s="67" t="str">
        <f>Hoja1!B24</f>
        <v>Dinamarca</v>
      </c>
      <c r="L21" s="68">
        <f>Hoja1!C24</f>
        <v>0</v>
      </c>
      <c r="M21" s="69">
        <f>Hoja1!D24</f>
        <v>0</v>
      </c>
      <c r="N21" s="69">
        <f>Hoja1!E24</f>
        <v>3</v>
      </c>
      <c r="O21" s="69">
        <f>Hoja1!F24</f>
        <v>3</v>
      </c>
      <c r="P21" s="69">
        <f>Hoja1!G24</f>
        <v>7</v>
      </c>
      <c r="Q21" s="69">
        <f>Hoja1!H24</f>
        <v>-4</v>
      </c>
      <c r="R21" s="69">
        <f>Hoja1!I24</f>
        <v>0</v>
      </c>
      <c r="S21" s="70">
        <f>SUM(L21:N21)</f>
        <v>3</v>
      </c>
    </row>
    <row r="22" spans="2:21" ht="12" thickTop="1">
      <c r="B22" s="66">
        <f>'GRUPO C'!B21</f>
        <v>43277</v>
      </c>
      <c r="C22" s="41">
        <f>'GRUPO C'!C21</f>
        <v>0.41666666666666669</v>
      </c>
      <c r="D22" s="37">
        <f>'GRUPO C'!D21</f>
        <v>0</v>
      </c>
      <c r="E22" s="42" t="str">
        <f ca="1">'GRUPO C'!E21</f>
        <v>Proximamente..</v>
      </c>
      <c r="F22" s="43" t="str">
        <f>'GRUPO C'!F21</f>
        <v>Dinamarca</v>
      </c>
      <c r="G22" s="44">
        <f>IF('GRUPO C'!G21="","",'GRUPO C'!G21)</f>
        <v>1</v>
      </c>
      <c r="H22" s="45" t="str">
        <f>'GRUPO C'!H21</f>
        <v>Francia</v>
      </c>
      <c r="I22" s="46">
        <f>IF('GRUPO C'!I21="","",'GRUPO C'!I21)</f>
        <v>2</v>
      </c>
      <c r="J22" s="47"/>
    </row>
    <row r="23" spans="2:21" ht="12" thickBot="1">
      <c r="B23" s="66">
        <f>'GRUPO C'!B22</f>
        <v>43277</v>
      </c>
      <c r="C23" s="41">
        <f>'GRUPO C'!C22</f>
        <v>0.41666666666666669</v>
      </c>
      <c r="D23" s="37">
        <f>'GRUPO C'!D22</f>
        <v>0</v>
      </c>
      <c r="E23" s="42" t="str">
        <f ca="1">'GRUPO C'!E22</f>
        <v>Proximamente..</v>
      </c>
      <c r="F23" s="43" t="str">
        <f>'GRUPO C'!F22</f>
        <v>Australia</v>
      </c>
      <c r="G23" s="44">
        <f>IF('GRUPO C'!G22="","",'GRUPO C'!G22)</f>
        <v>1</v>
      </c>
      <c r="H23" s="45" t="str">
        <f>'GRUPO C'!H22</f>
        <v>Perú</v>
      </c>
      <c r="I23" s="46">
        <f>IF('GRUPO C'!I22="","",'GRUPO C'!I22)</f>
        <v>3</v>
      </c>
      <c r="J23" s="47"/>
    </row>
    <row r="24" spans="2:21" ht="12.75" thickTop="1" thickBot="1">
      <c r="B24" s="143" t="str">
        <f>'GRUPO D'!B16</f>
        <v>Dia</v>
      </c>
      <c r="C24" s="144" t="str">
        <f>'GRUPO D'!C16</f>
        <v>Hora</v>
      </c>
      <c r="D24" s="145">
        <f>'GRUPO D'!D16</f>
        <v>0</v>
      </c>
      <c r="E24" s="145" t="str">
        <f>'GRUPO D'!E16</f>
        <v>Estado</v>
      </c>
      <c r="F24" s="161" t="str">
        <f>'GRUPO D'!F16</f>
        <v>Partidos</v>
      </c>
      <c r="G24" s="161">
        <f>'GRUPO D'!G16</f>
        <v>0</v>
      </c>
      <c r="H24" s="161">
        <f>'GRUPO D'!H16</f>
        <v>0</v>
      </c>
      <c r="I24" s="161">
        <f>'GRUPO D'!I16</f>
        <v>0</v>
      </c>
      <c r="J24" s="71"/>
      <c r="K24" s="143" t="str">
        <f>Hoja1!B27</f>
        <v>Equipo</v>
      </c>
      <c r="L24" s="143" t="str">
        <f>Hoja1!C27</f>
        <v>G</v>
      </c>
      <c r="M24" s="143" t="str">
        <f>Hoja1!D27</f>
        <v>E</v>
      </c>
      <c r="N24" s="143" t="str">
        <f>Hoja1!E27</f>
        <v>P</v>
      </c>
      <c r="O24" s="143" t="str">
        <f>Hoja1!F27</f>
        <v>GF</v>
      </c>
      <c r="P24" s="143" t="str">
        <f>Hoja1!G27</f>
        <v>GC</v>
      </c>
      <c r="Q24" s="143" t="str">
        <f>Hoja1!H27</f>
        <v>DG</v>
      </c>
      <c r="R24" s="143" t="str">
        <f>Hoja1!I27</f>
        <v>Pts.</v>
      </c>
      <c r="S24" s="146" t="s">
        <v>4</v>
      </c>
      <c r="U24" s="146" t="s">
        <v>5</v>
      </c>
    </row>
    <row r="25" spans="2:21" ht="12" thickTop="1">
      <c r="B25" s="40">
        <f>'GRUPO D'!B17</f>
        <v>43267</v>
      </c>
      <c r="C25" s="41">
        <f>'GRUPO D'!C17</f>
        <v>0.375</v>
      </c>
      <c r="D25" s="37">
        <f>'GRUPO D'!D17</f>
        <v>0</v>
      </c>
      <c r="E25" s="42" t="str">
        <f ca="1">'GRUPO D'!E17</f>
        <v>Proximamente..</v>
      </c>
      <c r="F25" s="43" t="str">
        <f>'GRUPO D'!F17</f>
        <v>Argentina</v>
      </c>
      <c r="G25" s="44">
        <f>IF('GRUPO D'!G17="","",'GRUPO D'!G17)</f>
        <v>2</v>
      </c>
      <c r="H25" s="45" t="str">
        <f>'GRUPO D'!H17</f>
        <v>Islandia</v>
      </c>
      <c r="I25" s="46">
        <f>IF('GRUPO D'!I17="","",'GRUPO D'!I17)</f>
        <v>0</v>
      </c>
      <c r="J25" s="47"/>
      <c r="K25" s="51" t="str">
        <f>Hoja1!B28</f>
        <v>Argentina</v>
      </c>
      <c r="L25" s="52">
        <f>Hoja1!C28</f>
        <v>3</v>
      </c>
      <c r="M25" s="53">
        <f>Hoja1!D28</f>
        <v>0</v>
      </c>
      <c r="N25" s="53">
        <f>Hoja1!E28</f>
        <v>0</v>
      </c>
      <c r="O25" s="53">
        <f>Hoja1!F28</f>
        <v>6</v>
      </c>
      <c r="P25" s="53">
        <f>Hoja1!G28</f>
        <v>2</v>
      </c>
      <c r="Q25" s="53">
        <f>Hoja1!H28</f>
        <v>4</v>
      </c>
      <c r="R25" s="53">
        <f>Hoja1!I28</f>
        <v>9</v>
      </c>
      <c r="S25" s="54">
        <f>SUM(L25:N25)</f>
        <v>3</v>
      </c>
      <c r="U25" s="75" t="str">
        <f>K25</f>
        <v>Argentina</v>
      </c>
    </row>
    <row r="26" spans="2:21" ht="12" thickBot="1">
      <c r="B26" s="48">
        <f>'GRUPO D'!B18</f>
        <v>43267</v>
      </c>
      <c r="C26" s="41">
        <f>'GRUPO D'!C18</f>
        <v>0.625</v>
      </c>
      <c r="D26" s="37">
        <f>'GRUPO D'!D18</f>
        <v>0</v>
      </c>
      <c r="E26" s="49" t="str">
        <f ca="1">'GRUPO D'!E18</f>
        <v>Proximamente..</v>
      </c>
      <c r="F26" s="43" t="str">
        <f>'GRUPO D'!F18</f>
        <v>Croacia</v>
      </c>
      <c r="G26" s="44">
        <f>IF('GRUPO D'!G18="","",'GRUPO D'!G18)</f>
        <v>1</v>
      </c>
      <c r="H26" s="50" t="str">
        <f>'GRUPO D'!H18</f>
        <v>Nigeria</v>
      </c>
      <c r="I26" s="46">
        <f>IF('GRUPO D'!I18="","",'GRUPO D'!I18)</f>
        <v>2</v>
      </c>
      <c r="J26" s="47"/>
      <c r="K26" s="59" t="str">
        <f>Hoja1!B29</f>
        <v>Nigeria</v>
      </c>
      <c r="L26" s="60">
        <f>Hoja1!C29</f>
        <v>2</v>
      </c>
      <c r="M26" s="61">
        <f>Hoja1!D29</f>
        <v>0</v>
      </c>
      <c r="N26" s="61">
        <f>Hoja1!E29</f>
        <v>1</v>
      </c>
      <c r="O26" s="61">
        <f>Hoja1!F29</f>
        <v>5</v>
      </c>
      <c r="P26" s="61">
        <f>Hoja1!G29</f>
        <v>3</v>
      </c>
      <c r="Q26" s="61">
        <f>Hoja1!H29</f>
        <v>2</v>
      </c>
      <c r="R26" s="61">
        <f>Hoja1!I29</f>
        <v>6</v>
      </c>
      <c r="S26" s="62">
        <f>SUM(L26:N26)</f>
        <v>3</v>
      </c>
      <c r="U26" s="76" t="str">
        <f>K26</f>
        <v>Nigeria</v>
      </c>
    </row>
    <row r="27" spans="2:21" ht="12" thickTop="1">
      <c r="B27" s="55">
        <f>'GRUPO D'!B19</f>
        <v>43272</v>
      </c>
      <c r="C27" s="56">
        <f>'GRUPO D'!C19</f>
        <v>0.58333333333333337</v>
      </c>
      <c r="D27" s="57">
        <f>'GRUPO D'!D19</f>
        <v>0</v>
      </c>
      <c r="E27" s="42" t="str">
        <f ca="1">'GRUPO D'!E19</f>
        <v>Proximamente..</v>
      </c>
      <c r="F27" s="58" t="str">
        <f>'GRUPO D'!F19</f>
        <v>Argentina</v>
      </c>
      <c r="G27" s="44">
        <f>IF('GRUPO D'!G19="","",'GRUPO D'!G19)</f>
        <v>2</v>
      </c>
      <c r="H27" s="45" t="str">
        <f>'GRUPO D'!H19</f>
        <v>Croacia</v>
      </c>
      <c r="I27" s="46">
        <f>IF('GRUPO D'!I19="","",'GRUPO D'!I19)</f>
        <v>1</v>
      </c>
      <c r="J27" s="47"/>
      <c r="K27" s="59" t="str">
        <f>Hoja1!B30</f>
        <v>Croacia</v>
      </c>
      <c r="L27" s="60">
        <f>Hoja1!C30</f>
        <v>0</v>
      </c>
      <c r="M27" s="61">
        <f>Hoja1!D30</f>
        <v>1</v>
      </c>
      <c r="N27" s="61">
        <f>Hoja1!E30</f>
        <v>2</v>
      </c>
      <c r="O27" s="61">
        <f>Hoja1!F30</f>
        <v>4</v>
      </c>
      <c r="P27" s="61">
        <f>Hoja1!G30</f>
        <v>6</v>
      </c>
      <c r="Q27" s="61">
        <f>Hoja1!H30</f>
        <v>-2</v>
      </c>
      <c r="R27" s="61">
        <f>Hoja1!I30</f>
        <v>1</v>
      </c>
      <c r="S27" s="62">
        <f>SUM(L27:N27)</f>
        <v>3</v>
      </c>
    </row>
    <row r="28" spans="2:21" ht="12" thickBot="1">
      <c r="B28" s="48">
        <f>'GRUPO D'!B20</f>
        <v>43273</v>
      </c>
      <c r="C28" s="63">
        <f>'GRUPO D'!C20</f>
        <v>0.45833333333333331</v>
      </c>
      <c r="D28" s="64">
        <f>'GRUPO D'!D20</f>
        <v>0</v>
      </c>
      <c r="E28" s="49" t="str">
        <f ca="1">'GRUPO D'!E20</f>
        <v>Proximamente..</v>
      </c>
      <c r="F28" s="65" t="str">
        <f>'GRUPO D'!F20</f>
        <v>Nigeria</v>
      </c>
      <c r="G28" s="44">
        <f>IF('GRUPO D'!G20="","",'GRUPO D'!G20)</f>
        <v>2</v>
      </c>
      <c r="H28" s="50" t="str">
        <f>'GRUPO D'!H20</f>
        <v>Islandia</v>
      </c>
      <c r="I28" s="46">
        <f>IF('GRUPO D'!I20="","",'GRUPO D'!I20)</f>
        <v>0</v>
      </c>
      <c r="J28" s="47"/>
      <c r="K28" s="67" t="str">
        <f>Hoja1!B31</f>
        <v>Islandia</v>
      </c>
      <c r="L28" s="68">
        <f>Hoja1!C31</f>
        <v>0</v>
      </c>
      <c r="M28" s="69">
        <f>Hoja1!D31</f>
        <v>1</v>
      </c>
      <c r="N28" s="69">
        <f>Hoja1!E31</f>
        <v>2</v>
      </c>
      <c r="O28" s="69">
        <f>Hoja1!F31</f>
        <v>2</v>
      </c>
      <c r="P28" s="69">
        <f>Hoja1!G31</f>
        <v>6</v>
      </c>
      <c r="Q28" s="69">
        <f>Hoja1!H31</f>
        <v>-4</v>
      </c>
      <c r="R28" s="69">
        <f>Hoja1!I31</f>
        <v>1</v>
      </c>
      <c r="S28" s="70">
        <f>SUM(L28:N28)</f>
        <v>3</v>
      </c>
    </row>
    <row r="29" spans="2:21" ht="12" thickTop="1">
      <c r="B29" s="66">
        <f>'GRUPO D'!B21</f>
        <v>43277</v>
      </c>
      <c r="C29" s="41">
        <f>'GRUPO D'!C21</f>
        <v>0.58333333333333337</v>
      </c>
      <c r="D29" s="37">
        <f>'GRUPO D'!D21</f>
        <v>0</v>
      </c>
      <c r="E29" s="42" t="str">
        <f ca="1">'GRUPO D'!E21</f>
        <v>Proximamente..</v>
      </c>
      <c r="F29" s="43" t="str">
        <f>'GRUPO D'!F21</f>
        <v>Nigeria</v>
      </c>
      <c r="G29" s="44">
        <f>IF('GRUPO D'!G21="","",'GRUPO D'!G21)</f>
        <v>1</v>
      </c>
      <c r="H29" s="45" t="str">
        <f>'GRUPO D'!H21</f>
        <v>Argentina</v>
      </c>
      <c r="I29" s="46">
        <f>IF('GRUPO D'!I21="","",'GRUPO D'!I21)</f>
        <v>2</v>
      </c>
      <c r="J29" s="47"/>
    </row>
    <row r="30" spans="2:21" ht="12" thickBot="1">
      <c r="B30" s="66">
        <f>'GRUPO D'!B22</f>
        <v>43277</v>
      </c>
      <c r="C30" s="41">
        <f>'GRUPO D'!C22</f>
        <v>0.58333333333333337</v>
      </c>
      <c r="D30" s="37">
        <f>'GRUPO D'!D22</f>
        <v>0</v>
      </c>
      <c r="E30" s="42" t="str">
        <f ca="1">'GRUPO D'!E22</f>
        <v>Proximamente..</v>
      </c>
      <c r="F30" s="43" t="str">
        <f>'GRUPO D'!F22</f>
        <v>Islandia</v>
      </c>
      <c r="G30" s="44">
        <f>IF('GRUPO D'!G22="","",'GRUPO D'!G22)</f>
        <v>2</v>
      </c>
      <c r="H30" s="45" t="str">
        <f>'GRUPO D'!H22</f>
        <v>Croacia</v>
      </c>
      <c r="I30" s="46">
        <f>IF('GRUPO D'!I22="","",'GRUPO D'!I22)</f>
        <v>2</v>
      </c>
      <c r="J30" s="47"/>
    </row>
    <row r="31" spans="2:21" ht="12.75" thickTop="1" thickBot="1">
      <c r="B31" s="143" t="str">
        <f>'GRUPO E'!B16</f>
        <v>Dia</v>
      </c>
      <c r="C31" s="144" t="str">
        <f>'GRUPO E'!C16</f>
        <v>Hora</v>
      </c>
      <c r="D31" s="145">
        <f>'GRUPO E'!D16</f>
        <v>0</v>
      </c>
      <c r="E31" s="145" t="str">
        <f>'GRUPO E'!E16</f>
        <v>Estado</v>
      </c>
      <c r="F31" s="161" t="str">
        <f>'GRUPO E'!F16</f>
        <v>Partidos</v>
      </c>
      <c r="G31" s="161">
        <f>'GRUPO E'!G16</f>
        <v>0</v>
      </c>
      <c r="H31" s="161">
        <f>'GRUPO E'!H16</f>
        <v>0</v>
      </c>
      <c r="I31" s="161">
        <f>'GRUPO E'!I16</f>
        <v>0</v>
      </c>
      <c r="J31" s="71"/>
      <c r="K31" s="143" t="str">
        <f>Hoja1!B34</f>
        <v>Equipo</v>
      </c>
      <c r="L31" s="143" t="str">
        <f>Hoja1!C34</f>
        <v>G</v>
      </c>
      <c r="M31" s="143" t="str">
        <f>Hoja1!D34</f>
        <v>E</v>
      </c>
      <c r="N31" s="143" t="str">
        <f>Hoja1!E34</f>
        <v>P</v>
      </c>
      <c r="O31" s="143" t="str">
        <f>Hoja1!F34</f>
        <v>GF</v>
      </c>
      <c r="P31" s="143" t="str">
        <f>Hoja1!G34</f>
        <v>GC</v>
      </c>
      <c r="Q31" s="143" t="str">
        <f>Hoja1!H34</f>
        <v>DG</v>
      </c>
      <c r="R31" s="143" t="str">
        <f>Hoja1!I34</f>
        <v>Pts.</v>
      </c>
      <c r="S31" s="146" t="s">
        <v>4</v>
      </c>
      <c r="U31" s="146" t="s">
        <v>5</v>
      </c>
    </row>
    <row r="32" spans="2:21" ht="12" thickTop="1">
      <c r="B32" s="40">
        <f>'GRUPO E'!B17</f>
        <v>43268</v>
      </c>
      <c r="C32" s="41">
        <f>'GRUPO E'!C17</f>
        <v>0.58333333333333337</v>
      </c>
      <c r="D32" s="37">
        <f>'GRUPO E'!D17</f>
        <v>0</v>
      </c>
      <c r="E32" s="42" t="str">
        <f ca="1">'GRUPO E'!E17</f>
        <v>Proximamente..</v>
      </c>
      <c r="F32" s="43" t="str">
        <f>'GRUPO E'!F17</f>
        <v>Brasil</v>
      </c>
      <c r="G32" s="44">
        <f>IF('GRUPO E'!G17="","",'GRUPO E'!G17)</f>
        <v>3</v>
      </c>
      <c r="H32" s="45" t="str">
        <f>'GRUPO E'!H17</f>
        <v>Suiza</v>
      </c>
      <c r="I32" s="46">
        <f>IF('GRUPO E'!I17="","",'GRUPO E'!I17)</f>
        <v>1</v>
      </c>
      <c r="J32" s="47"/>
      <c r="K32" s="51" t="str">
        <f>Hoja1!B35</f>
        <v>Brasil</v>
      </c>
      <c r="L32" s="52">
        <f>Hoja1!C35</f>
        <v>3</v>
      </c>
      <c r="M32" s="53">
        <f>Hoja1!D35</f>
        <v>0</v>
      </c>
      <c r="N32" s="53">
        <f>Hoja1!E35</f>
        <v>0</v>
      </c>
      <c r="O32" s="53">
        <f>Hoja1!F35</f>
        <v>8</v>
      </c>
      <c r="P32" s="53">
        <f>Hoja1!G35</f>
        <v>2</v>
      </c>
      <c r="Q32" s="53">
        <f>Hoja1!H35</f>
        <v>6</v>
      </c>
      <c r="R32" s="53">
        <f>Hoja1!I35</f>
        <v>9</v>
      </c>
      <c r="S32" s="54">
        <f>SUM(L32:N32)</f>
        <v>3</v>
      </c>
      <c r="U32" s="75" t="str">
        <f>K32</f>
        <v>Brasil</v>
      </c>
    </row>
    <row r="33" spans="2:21" ht="12" thickBot="1">
      <c r="B33" s="48">
        <f>'GRUPO E'!B18</f>
        <v>43268</v>
      </c>
      <c r="C33" s="41">
        <f>'GRUPO E'!C18</f>
        <v>0.33333333333333331</v>
      </c>
      <c r="D33" s="37">
        <f>'GRUPO E'!D18</f>
        <v>0</v>
      </c>
      <c r="E33" s="49" t="str">
        <f ca="1">'GRUPO E'!E18</f>
        <v>Proximamente..</v>
      </c>
      <c r="F33" s="43" t="str">
        <f>'GRUPO E'!F18</f>
        <v>Costa Rica</v>
      </c>
      <c r="G33" s="44">
        <f>IF('GRUPO E'!G18="","",'GRUPO E'!G18)</f>
        <v>1</v>
      </c>
      <c r="H33" s="50" t="str">
        <f>'GRUPO E'!H18</f>
        <v>Serbia</v>
      </c>
      <c r="I33" s="46">
        <f>IF('GRUPO E'!I18="","",'GRUPO E'!I18)</f>
        <v>1</v>
      </c>
      <c r="J33" s="47"/>
      <c r="K33" s="59" t="str">
        <f>Hoja1!B36</f>
        <v>Suiza</v>
      </c>
      <c r="L33" s="60">
        <f>Hoja1!C36</f>
        <v>1</v>
      </c>
      <c r="M33" s="61">
        <f>Hoja1!D36</f>
        <v>1</v>
      </c>
      <c r="N33" s="61">
        <f>Hoja1!E36</f>
        <v>1</v>
      </c>
      <c r="O33" s="61">
        <f>Hoja1!F36</f>
        <v>4</v>
      </c>
      <c r="P33" s="61">
        <f>Hoja1!G36</f>
        <v>5</v>
      </c>
      <c r="Q33" s="61">
        <f>Hoja1!H36</f>
        <v>-1</v>
      </c>
      <c r="R33" s="61">
        <f>Hoja1!I36</f>
        <v>4</v>
      </c>
      <c r="S33" s="62">
        <f>SUM(L33:N33)</f>
        <v>3</v>
      </c>
      <c r="U33" s="76" t="str">
        <f>K33</f>
        <v>Suiza</v>
      </c>
    </row>
    <row r="34" spans="2:21" ht="12" thickTop="1">
      <c r="B34" s="55">
        <f>'GRUPO E'!B19</f>
        <v>43273</v>
      </c>
      <c r="C34" s="56">
        <f>'GRUPO E'!C19</f>
        <v>0.33333333333333331</v>
      </c>
      <c r="D34" s="57">
        <f>'GRUPO E'!D19</f>
        <v>0</v>
      </c>
      <c r="E34" s="42" t="str">
        <f ca="1">'GRUPO E'!E19</f>
        <v>Proximamente..</v>
      </c>
      <c r="F34" s="58" t="str">
        <f>'GRUPO E'!F19</f>
        <v>Brasil</v>
      </c>
      <c r="G34" s="44">
        <f>IF('GRUPO E'!G19="","",'GRUPO E'!G19)</f>
        <v>2</v>
      </c>
      <c r="H34" s="45" t="str">
        <f>'GRUPO E'!H19</f>
        <v>Costa Rica</v>
      </c>
      <c r="I34" s="46">
        <f>IF('GRUPO E'!I19="","",'GRUPO E'!I19)</f>
        <v>0</v>
      </c>
      <c r="J34" s="47"/>
      <c r="K34" s="59" t="str">
        <f>Hoja1!B37</f>
        <v>Costa Rica</v>
      </c>
      <c r="L34" s="60">
        <f>Hoja1!C37</f>
        <v>0</v>
      </c>
      <c r="M34" s="61">
        <f>Hoja1!D37</f>
        <v>2</v>
      </c>
      <c r="N34" s="61">
        <f>Hoja1!E37</f>
        <v>1</v>
      </c>
      <c r="O34" s="61">
        <f>Hoja1!F37</f>
        <v>2</v>
      </c>
      <c r="P34" s="61">
        <f>Hoja1!G37</f>
        <v>4</v>
      </c>
      <c r="Q34" s="61">
        <f>Hoja1!H37</f>
        <v>-2</v>
      </c>
      <c r="R34" s="61">
        <f>Hoja1!I37</f>
        <v>2</v>
      </c>
      <c r="S34" s="62">
        <f>SUM(L34:N34)</f>
        <v>3</v>
      </c>
    </row>
    <row r="35" spans="2:21" ht="12" thickBot="1">
      <c r="B35" s="48">
        <f>'GRUPO E'!B20</f>
        <v>43273</v>
      </c>
      <c r="C35" s="63">
        <f>'GRUPO E'!C20</f>
        <v>0.58333333333333337</v>
      </c>
      <c r="D35" s="64">
        <f>'GRUPO E'!D20</f>
        <v>0</v>
      </c>
      <c r="E35" s="49" t="str">
        <f ca="1">'GRUPO E'!E20</f>
        <v>Proximamente..</v>
      </c>
      <c r="F35" s="65" t="str">
        <f>'GRUPO E'!F20</f>
        <v>Serbia</v>
      </c>
      <c r="G35" s="44">
        <f>IF('GRUPO E'!G20="","",'GRUPO E'!G20)</f>
        <v>1</v>
      </c>
      <c r="H35" s="50" t="str">
        <f>'GRUPO E'!H20</f>
        <v>Suiza</v>
      </c>
      <c r="I35" s="46">
        <f>IF('GRUPO E'!I20="","",'GRUPO E'!I20)</f>
        <v>2</v>
      </c>
      <c r="J35" s="47"/>
      <c r="K35" s="67" t="str">
        <f>Hoja1!B38</f>
        <v>Serbia</v>
      </c>
      <c r="L35" s="68">
        <f>Hoja1!C38</f>
        <v>0</v>
      </c>
      <c r="M35" s="69">
        <f>Hoja1!D38</f>
        <v>1</v>
      </c>
      <c r="N35" s="69">
        <f>Hoja1!E38</f>
        <v>2</v>
      </c>
      <c r="O35" s="69">
        <f>Hoja1!F38</f>
        <v>3</v>
      </c>
      <c r="P35" s="69">
        <f>Hoja1!G38</f>
        <v>6</v>
      </c>
      <c r="Q35" s="69">
        <f>Hoja1!H38</f>
        <v>-3</v>
      </c>
      <c r="R35" s="69">
        <f>Hoja1!I38</f>
        <v>1</v>
      </c>
      <c r="S35" s="70">
        <f>SUM(L35:N35)</f>
        <v>3</v>
      </c>
    </row>
    <row r="36" spans="2:21" ht="12" thickTop="1">
      <c r="B36" s="66">
        <f>'GRUPO E'!B21</f>
        <v>43278</v>
      </c>
      <c r="C36" s="41">
        <f>'GRUPO E'!C21</f>
        <v>0.58333333333333337</v>
      </c>
      <c r="D36" s="37">
        <f>'GRUPO E'!D21</f>
        <v>0</v>
      </c>
      <c r="E36" s="42" t="str">
        <f ca="1">'GRUPO E'!E21</f>
        <v>Proximamente..</v>
      </c>
      <c r="F36" s="43" t="str">
        <f>'GRUPO E'!F21</f>
        <v>Serbia</v>
      </c>
      <c r="G36" s="44">
        <f>IF('GRUPO E'!G21="","",'GRUPO E'!G21)</f>
        <v>1</v>
      </c>
      <c r="H36" s="45" t="str">
        <f>'GRUPO E'!H21</f>
        <v>Brasil</v>
      </c>
      <c r="I36" s="46">
        <f>IF('GRUPO E'!I21="","",'GRUPO E'!I21)</f>
        <v>3</v>
      </c>
      <c r="J36" s="47"/>
    </row>
    <row r="37" spans="2:21" ht="12" thickBot="1">
      <c r="B37" s="66">
        <f>'GRUPO E'!B22</f>
        <v>43278</v>
      </c>
      <c r="C37" s="41">
        <f>'GRUPO E'!C22</f>
        <v>0.58333333333333337</v>
      </c>
      <c r="D37" s="37">
        <f>'GRUPO E'!D22</f>
        <v>0</v>
      </c>
      <c r="E37" s="42" t="str">
        <f ca="1">'GRUPO E'!E22</f>
        <v>Proximamente..</v>
      </c>
      <c r="F37" s="43" t="str">
        <f>'GRUPO E'!F22</f>
        <v>Suiza</v>
      </c>
      <c r="G37" s="44">
        <f>IF('GRUPO E'!G22="","",'GRUPO E'!G22)</f>
        <v>1</v>
      </c>
      <c r="H37" s="45" t="str">
        <f>'GRUPO E'!H22</f>
        <v>Costa Rica</v>
      </c>
      <c r="I37" s="46">
        <f>IF('GRUPO E'!I22="","",'GRUPO E'!I22)</f>
        <v>1</v>
      </c>
      <c r="J37" s="47"/>
    </row>
    <row r="38" spans="2:21" ht="12.75" thickTop="1" thickBot="1">
      <c r="B38" s="143" t="str">
        <f>'GRUPO F'!B16</f>
        <v>Dia</v>
      </c>
      <c r="C38" s="144" t="str">
        <f>'GRUPO F'!C16</f>
        <v>Hora</v>
      </c>
      <c r="D38" s="145">
        <f>'GRUPO F'!D16</f>
        <v>0</v>
      </c>
      <c r="E38" s="145" t="str">
        <f>'GRUPO F'!E16</f>
        <v>Estado</v>
      </c>
      <c r="F38" s="161" t="str">
        <f>'GRUPO F'!F16</f>
        <v>Partidos</v>
      </c>
      <c r="G38" s="161">
        <f>'GRUPO F'!G16</f>
        <v>0</v>
      </c>
      <c r="H38" s="161">
        <f>'GRUPO F'!H16</f>
        <v>0</v>
      </c>
      <c r="I38" s="161">
        <f>'GRUPO F'!I16</f>
        <v>0</v>
      </c>
      <c r="J38" s="71"/>
      <c r="K38" s="143" t="str">
        <f>Hoja1!B41</f>
        <v>Equipo</v>
      </c>
      <c r="L38" s="143" t="str">
        <f>Hoja1!C41</f>
        <v>G</v>
      </c>
      <c r="M38" s="143" t="str">
        <f>Hoja1!D41</f>
        <v>E</v>
      </c>
      <c r="N38" s="143" t="str">
        <f>Hoja1!E41</f>
        <v>P</v>
      </c>
      <c r="O38" s="143" t="str">
        <f>Hoja1!F41</f>
        <v>GF</v>
      </c>
      <c r="P38" s="143" t="str">
        <f>Hoja1!G41</f>
        <v>GC</v>
      </c>
      <c r="Q38" s="143" t="str">
        <f>Hoja1!H41</f>
        <v>DG</v>
      </c>
      <c r="R38" s="143" t="str">
        <f>Hoja1!I41</f>
        <v>Pts.</v>
      </c>
      <c r="S38" s="146" t="s">
        <v>4</v>
      </c>
      <c r="U38" s="146" t="s">
        <v>5</v>
      </c>
    </row>
    <row r="39" spans="2:21" ht="12" thickTop="1">
      <c r="B39" s="40">
        <f>'GRUPO F'!B17</f>
        <v>43268</v>
      </c>
      <c r="C39" s="41">
        <f>'GRUPO F'!C17</f>
        <v>0.45833333333333331</v>
      </c>
      <c r="D39" s="37">
        <f>'GRUPO F'!D17</f>
        <v>0</v>
      </c>
      <c r="E39" s="42" t="str">
        <f ca="1">'GRUPO F'!E17</f>
        <v>Proximamente..</v>
      </c>
      <c r="F39" s="43" t="str">
        <f>'GRUPO F'!F17</f>
        <v>Alemania</v>
      </c>
      <c r="G39" s="44">
        <f>IF('GRUPO F'!G17="","",'GRUPO F'!G17)</f>
        <v>3</v>
      </c>
      <c r="H39" s="45" t="str">
        <f>'GRUPO F'!H17</f>
        <v>México</v>
      </c>
      <c r="I39" s="46">
        <f>IF('GRUPO F'!I17="","",'GRUPO F'!I17)</f>
        <v>1</v>
      </c>
      <c r="J39" s="47"/>
      <c r="K39" s="51" t="str">
        <f>Hoja1!B42</f>
        <v>Alemania</v>
      </c>
      <c r="L39" s="52">
        <f>Hoja1!C42</f>
        <v>3</v>
      </c>
      <c r="M39" s="53">
        <f>Hoja1!D42</f>
        <v>0</v>
      </c>
      <c r="N39" s="53">
        <f>Hoja1!E42</f>
        <v>0</v>
      </c>
      <c r="O39" s="53">
        <f>Hoja1!F42</f>
        <v>8</v>
      </c>
      <c r="P39" s="53">
        <f>Hoja1!G42</f>
        <v>3</v>
      </c>
      <c r="Q39" s="53">
        <f>Hoja1!H42</f>
        <v>5</v>
      </c>
      <c r="R39" s="53">
        <f>Hoja1!I42</f>
        <v>9</v>
      </c>
      <c r="S39" s="54">
        <f>SUM(L39:N39)</f>
        <v>3</v>
      </c>
      <c r="U39" s="75" t="str">
        <f>K39</f>
        <v>Alemania</v>
      </c>
    </row>
    <row r="40" spans="2:21" ht="12" thickBot="1">
      <c r="B40" s="48">
        <f>'GRUPO F'!B18</f>
        <v>43269</v>
      </c>
      <c r="C40" s="41">
        <f>'GRUPO F'!C18</f>
        <v>0.33333333333333331</v>
      </c>
      <c r="D40" s="37">
        <f>'GRUPO F'!D18</f>
        <v>0</v>
      </c>
      <c r="E40" s="49" t="str">
        <f ca="1">'GRUPO F'!E18</f>
        <v>Proximamente..</v>
      </c>
      <c r="F40" s="43" t="str">
        <f>'GRUPO F'!F18</f>
        <v>Suecia</v>
      </c>
      <c r="G40" s="44">
        <f>IF('GRUPO F'!G18="","",'GRUPO F'!G18)</f>
        <v>1</v>
      </c>
      <c r="H40" s="50" t="str">
        <f>'GRUPO F'!H18</f>
        <v>Corea</v>
      </c>
      <c r="I40" s="46">
        <f>IF('GRUPO F'!I18="","",'GRUPO F'!I18)</f>
        <v>1</v>
      </c>
      <c r="J40" s="47"/>
      <c r="K40" s="59" t="str">
        <f>Hoja1!B43</f>
        <v>México</v>
      </c>
      <c r="L40" s="60">
        <f>Hoja1!C43</f>
        <v>1</v>
      </c>
      <c r="M40" s="61">
        <f>Hoja1!D43</f>
        <v>1</v>
      </c>
      <c r="N40" s="61">
        <f>Hoja1!E43</f>
        <v>1</v>
      </c>
      <c r="O40" s="61">
        <f>Hoja1!F43</f>
        <v>5</v>
      </c>
      <c r="P40" s="61">
        <f>Hoja1!G43</f>
        <v>6</v>
      </c>
      <c r="Q40" s="61">
        <f>Hoja1!H43</f>
        <v>-1</v>
      </c>
      <c r="R40" s="61">
        <f>Hoja1!I43</f>
        <v>4</v>
      </c>
      <c r="S40" s="62">
        <f>SUM(L40:N40)</f>
        <v>3</v>
      </c>
      <c r="U40" s="76" t="str">
        <f>K40</f>
        <v>México</v>
      </c>
    </row>
    <row r="41" spans="2:21" ht="12" thickTop="1">
      <c r="B41" s="55">
        <f>'GRUPO F'!B19</f>
        <v>43274</v>
      </c>
      <c r="C41" s="56">
        <f>'GRUPO F'!C19</f>
        <v>0.58333333333333337</v>
      </c>
      <c r="D41" s="57">
        <f>'GRUPO F'!D19</f>
        <v>0</v>
      </c>
      <c r="E41" s="42" t="str">
        <f ca="1">'GRUPO F'!E19</f>
        <v>Proximamente..</v>
      </c>
      <c r="F41" s="58" t="str">
        <f>'GRUPO F'!F19</f>
        <v>Alemania</v>
      </c>
      <c r="G41" s="44">
        <f>IF('GRUPO F'!G19="","",'GRUPO F'!G19)</f>
        <v>2</v>
      </c>
      <c r="H41" s="45" t="str">
        <f>'GRUPO F'!H19</f>
        <v>Suecia</v>
      </c>
      <c r="I41" s="46">
        <f>IF('GRUPO F'!I19="","",'GRUPO F'!I19)</f>
        <v>1</v>
      </c>
      <c r="J41" s="47"/>
      <c r="K41" s="59" t="str">
        <f>Hoja1!B44</f>
        <v>Suecia</v>
      </c>
      <c r="L41" s="60">
        <f>Hoja1!C44</f>
        <v>0</v>
      </c>
      <c r="M41" s="61">
        <f>Hoja1!D44</f>
        <v>2</v>
      </c>
      <c r="N41" s="61">
        <f>Hoja1!E44</f>
        <v>1</v>
      </c>
      <c r="O41" s="61">
        <f>Hoja1!F44</f>
        <v>4</v>
      </c>
      <c r="P41" s="61">
        <f>Hoja1!G44</f>
        <v>5</v>
      </c>
      <c r="Q41" s="61">
        <f>Hoja1!H44</f>
        <v>-1</v>
      </c>
      <c r="R41" s="61">
        <f>Hoja1!I44</f>
        <v>2</v>
      </c>
      <c r="S41" s="62">
        <f>SUM(L41:N41)</f>
        <v>3</v>
      </c>
    </row>
    <row r="42" spans="2:21" ht="12" thickBot="1">
      <c r="B42" s="48">
        <f>'GRUPO F'!B20</f>
        <v>43274</v>
      </c>
      <c r="C42" s="63">
        <f>'GRUPO F'!C20</f>
        <v>0.45833333333333331</v>
      </c>
      <c r="D42" s="64">
        <f>'GRUPO F'!D20</f>
        <v>0</v>
      </c>
      <c r="E42" s="49" t="str">
        <f ca="1">'GRUPO F'!E20</f>
        <v>Proximamente..</v>
      </c>
      <c r="F42" s="65" t="str">
        <f>'GRUPO F'!F20</f>
        <v>Corea</v>
      </c>
      <c r="G42" s="44">
        <f>IF('GRUPO F'!G20="","",'GRUPO F'!G20)</f>
        <v>1</v>
      </c>
      <c r="H42" s="50" t="str">
        <f>'GRUPO F'!H20</f>
        <v>México</v>
      </c>
      <c r="I42" s="46">
        <f>IF('GRUPO F'!I20="","",'GRUPO F'!I20)</f>
        <v>2</v>
      </c>
      <c r="J42" s="47"/>
      <c r="K42" s="67" t="str">
        <f>Hoja1!B45</f>
        <v>Corea</v>
      </c>
      <c r="L42" s="68">
        <f>Hoja1!C45</f>
        <v>0</v>
      </c>
      <c r="M42" s="69">
        <f>Hoja1!D45</f>
        <v>1</v>
      </c>
      <c r="N42" s="69">
        <f>Hoja1!E45</f>
        <v>2</v>
      </c>
      <c r="O42" s="69">
        <f>Hoja1!F45</f>
        <v>3</v>
      </c>
      <c r="P42" s="69">
        <f>Hoja1!G45</f>
        <v>6</v>
      </c>
      <c r="Q42" s="69">
        <f>Hoja1!H45</f>
        <v>-3</v>
      </c>
      <c r="R42" s="69">
        <f>Hoja1!I45</f>
        <v>1</v>
      </c>
      <c r="S42" s="70">
        <f>SUM(L42:N42)</f>
        <v>3</v>
      </c>
    </row>
    <row r="43" spans="2:21" ht="12" thickTop="1">
      <c r="B43" s="66">
        <f>'GRUPO F'!B21</f>
        <v>43278</v>
      </c>
      <c r="C43" s="41">
        <f>'GRUPO F'!C21</f>
        <v>0.41666666666666669</v>
      </c>
      <c r="D43" s="37">
        <f>'GRUPO F'!D21</f>
        <v>0</v>
      </c>
      <c r="E43" s="42" t="str">
        <f ca="1">'GRUPO F'!E21</f>
        <v>Proximamente..</v>
      </c>
      <c r="F43" s="43" t="str">
        <f>'GRUPO F'!F21</f>
        <v>Corea</v>
      </c>
      <c r="G43" s="44">
        <f>IF('GRUPO F'!G21="","",'GRUPO F'!G21)</f>
        <v>1</v>
      </c>
      <c r="H43" s="45" t="str">
        <f>'GRUPO F'!H21</f>
        <v>Alemania</v>
      </c>
      <c r="I43" s="46">
        <f>IF('GRUPO F'!I21="","",'GRUPO F'!I21)</f>
        <v>3</v>
      </c>
      <c r="J43" s="47"/>
    </row>
    <row r="44" spans="2:21" ht="12" thickBot="1">
      <c r="B44" s="66">
        <f>'GRUPO F'!B22</f>
        <v>43278</v>
      </c>
      <c r="C44" s="41">
        <f>'GRUPO F'!C22</f>
        <v>0.41666666666666669</v>
      </c>
      <c r="D44" s="37">
        <f>'GRUPO F'!D22</f>
        <v>0</v>
      </c>
      <c r="E44" s="42" t="str">
        <f ca="1">'GRUPO F'!E22</f>
        <v>Proximamente..</v>
      </c>
      <c r="F44" s="43" t="str">
        <f>'GRUPO F'!F22</f>
        <v>México</v>
      </c>
      <c r="G44" s="44">
        <f>IF('GRUPO F'!G22="","",'GRUPO F'!G22)</f>
        <v>2</v>
      </c>
      <c r="H44" s="45" t="str">
        <f>'GRUPO F'!H22</f>
        <v>Suecia</v>
      </c>
      <c r="I44" s="46">
        <f>IF('GRUPO F'!I22="","",'GRUPO F'!I22)</f>
        <v>2</v>
      </c>
      <c r="J44" s="47"/>
    </row>
    <row r="45" spans="2:21" ht="12.75" thickTop="1" thickBot="1">
      <c r="B45" s="143" t="str">
        <f>'GRUPO G'!B16</f>
        <v>Dia</v>
      </c>
      <c r="C45" s="144" t="str">
        <f>'GRUPO G'!C16</f>
        <v>Hora</v>
      </c>
      <c r="D45" s="145">
        <f>'GRUPO G'!D16</f>
        <v>0</v>
      </c>
      <c r="E45" s="145" t="str">
        <f>'GRUPO G'!E16</f>
        <v>Estado</v>
      </c>
      <c r="F45" s="161" t="str">
        <f>'GRUPO G'!F16</f>
        <v>Partidos</v>
      </c>
      <c r="G45" s="161">
        <f>'GRUPO G'!G16</f>
        <v>0</v>
      </c>
      <c r="H45" s="161">
        <f>'GRUPO G'!H16</f>
        <v>0</v>
      </c>
      <c r="I45" s="161">
        <f>'GRUPO G'!I16</f>
        <v>0</v>
      </c>
      <c r="J45" s="71"/>
      <c r="K45" s="143" t="str">
        <f>Hoja1!B48</f>
        <v>Equipo</v>
      </c>
      <c r="L45" s="143" t="str">
        <f>Hoja1!C48</f>
        <v>G</v>
      </c>
      <c r="M45" s="143" t="str">
        <f>Hoja1!D48</f>
        <v>E</v>
      </c>
      <c r="N45" s="143" t="str">
        <f>Hoja1!E48</f>
        <v>P</v>
      </c>
      <c r="O45" s="143" t="str">
        <f>Hoja1!F48</f>
        <v>GF</v>
      </c>
      <c r="P45" s="143" t="str">
        <f>Hoja1!G48</f>
        <v>GC</v>
      </c>
      <c r="Q45" s="143" t="str">
        <f>Hoja1!H48</f>
        <v>DG</v>
      </c>
      <c r="R45" s="143" t="str">
        <f>Hoja1!I48</f>
        <v>Pts.</v>
      </c>
      <c r="S45" s="146" t="s">
        <v>4</v>
      </c>
      <c r="U45" s="146" t="s">
        <v>5</v>
      </c>
    </row>
    <row r="46" spans="2:21" ht="12" thickTop="1">
      <c r="B46" s="40">
        <f>'GRUPO G'!B17</f>
        <v>43269</v>
      </c>
      <c r="C46" s="41">
        <f>'GRUPO G'!C17</f>
        <v>0.45833333333333331</v>
      </c>
      <c r="D46" s="37">
        <f>'GRUPO G'!D17</f>
        <v>0</v>
      </c>
      <c r="E46" s="42" t="str">
        <f ca="1">'GRUPO G'!E17</f>
        <v>Proximamente..</v>
      </c>
      <c r="F46" s="43" t="str">
        <f>'GRUPO G'!F17</f>
        <v>Bélgica</v>
      </c>
      <c r="G46" s="44">
        <f>IF('GRUPO G'!G17="","",'GRUPO G'!G17)</f>
        <v>2</v>
      </c>
      <c r="H46" s="45" t="str">
        <f>'GRUPO G'!H17</f>
        <v>Panamá</v>
      </c>
      <c r="I46" s="46">
        <f>IF('GRUPO G'!I17="","",'GRUPO G'!I17)</f>
        <v>1</v>
      </c>
      <c r="J46" s="47"/>
      <c r="K46" s="51" t="str">
        <f>Hoja1!B49</f>
        <v>Inglaterra</v>
      </c>
      <c r="L46" s="52">
        <f>Hoja1!C49</f>
        <v>3</v>
      </c>
      <c r="M46" s="53">
        <f>Hoja1!D49</f>
        <v>0</v>
      </c>
      <c r="N46" s="53">
        <f>Hoja1!E49</f>
        <v>0</v>
      </c>
      <c r="O46" s="53">
        <f>Hoja1!F49</f>
        <v>8</v>
      </c>
      <c r="P46" s="53">
        <f>Hoja1!G49</f>
        <v>3</v>
      </c>
      <c r="Q46" s="53">
        <f>Hoja1!H49</f>
        <v>5</v>
      </c>
      <c r="R46" s="53">
        <f>Hoja1!I49</f>
        <v>9</v>
      </c>
      <c r="S46" s="54">
        <f>SUM(L46:N46)</f>
        <v>3</v>
      </c>
      <c r="U46" s="75" t="str">
        <f>K46</f>
        <v>Inglaterra</v>
      </c>
    </row>
    <row r="47" spans="2:21" ht="12" thickBot="1">
      <c r="B47" s="48">
        <f>'GRUPO G'!B18</f>
        <v>43269</v>
      </c>
      <c r="C47" s="41">
        <f>'GRUPO G'!C18</f>
        <v>0.58333333333333337</v>
      </c>
      <c r="D47" s="37">
        <f>'GRUPO G'!D18</f>
        <v>0</v>
      </c>
      <c r="E47" s="49" t="str">
        <f ca="1">'GRUPO G'!E18</f>
        <v>Proximamente..</v>
      </c>
      <c r="F47" s="43" t="str">
        <f>'GRUPO G'!F18</f>
        <v>Túnez</v>
      </c>
      <c r="G47" s="44">
        <f>IF('GRUPO G'!G18="","",'GRUPO G'!G18)</f>
        <v>1</v>
      </c>
      <c r="H47" s="50" t="str">
        <f>'GRUPO G'!H18</f>
        <v>Inglaterra</v>
      </c>
      <c r="I47" s="46">
        <f>IF('GRUPO G'!I18="","",'GRUPO G'!I18)</f>
        <v>3</v>
      </c>
      <c r="J47" s="47"/>
      <c r="K47" s="59" t="str">
        <f>Hoja1!B50</f>
        <v>Bélgica</v>
      </c>
      <c r="L47" s="60">
        <f>Hoja1!C50</f>
        <v>1</v>
      </c>
      <c r="M47" s="61">
        <f>Hoja1!D50</f>
        <v>1</v>
      </c>
      <c r="N47" s="61">
        <f>Hoja1!E50</f>
        <v>1</v>
      </c>
      <c r="O47" s="61">
        <f>Hoja1!F50</f>
        <v>6</v>
      </c>
      <c r="P47" s="61">
        <f>Hoja1!G50</f>
        <v>6</v>
      </c>
      <c r="Q47" s="61">
        <f>Hoja1!H50</f>
        <v>0</v>
      </c>
      <c r="R47" s="61">
        <f>Hoja1!I50</f>
        <v>4</v>
      </c>
      <c r="S47" s="62">
        <f>SUM(L47:N47)</f>
        <v>3</v>
      </c>
      <c r="U47" s="76" t="str">
        <f>K47</f>
        <v>Bélgica</v>
      </c>
    </row>
    <row r="48" spans="2:21" ht="12" thickTop="1">
      <c r="B48" s="55">
        <f>'GRUPO G'!B19</f>
        <v>43274</v>
      </c>
      <c r="C48" s="56">
        <f>'GRUPO G'!C19</f>
        <v>0.33333333333333331</v>
      </c>
      <c r="D48" s="57">
        <f>'GRUPO G'!D19</f>
        <v>0</v>
      </c>
      <c r="E48" s="42" t="str">
        <f ca="1">'GRUPO G'!E19</f>
        <v>Proximamente..</v>
      </c>
      <c r="F48" s="58" t="str">
        <f>'GRUPO G'!F19</f>
        <v>Bélgica</v>
      </c>
      <c r="G48" s="44">
        <f>IF('GRUPO G'!G19="","",'GRUPO G'!G19)</f>
        <v>2</v>
      </c>
      <c r="H48" s="45" t="str">
        <f>'GRUPO G'!H19</f>
        <v>Túnez</v>
      </c>
      <c r="I48" s="46">
        <f>IF('GRUPO G'!I19="","",'GRUPO G'!I19)</f>
        <v>2</v>
      </c>
      <c r="J48" s="47"/>
      <c r="K48" s="59" t="str">
        <f>Hoja1!B51</f>
        <v>Túnez</v>
      </c>
      <c r="L48" s="60">
        <f>Hoja1!C51</f>
        <v>0</v>
      </c>
      <c r="M48" s="61">
        <f>Hoja1!D51</f>
        <v>2</v>
      </c>
      <c r="N48" s="61">
        <f>Hoja1!E51</f>
        <v>1</v>
      </c>
      <c r="O48" s="61">
        <f>Hoja1!F51</f>
        <v>4</v>
      </c>
      <c r="P48" s="61">
        <f>Hoja1!G51</f>
        <v>6</v>
      </c>
      <c r="Q48" s="61">
        <f>Hoja1!H51</f>
        <v>-2</v>
      </c>
      <c r="R48" s="61">
        <f>Hoja1!I51</f>
        <v>2</v>
      </c>
      <c r="S48" s="62">
        <f>SUM(L48:N48)</f>
        <v>3</v>
      </c>
    </row>
    <row r="49" spans="2:21" ht="12" thickBot="1">
      <c r="B49" s="48">
        <f>'GRUPO G'!B20</f>
        <v>43275</v>
      </c>
      <c r="C49" s="63">
        <f>'GRUPO G'!C20</f>
        <v>0.33333333333333331</v>
      </c>
      <c r="D49" s="64">
        <f>'GRUPO G'!D20</f>
        <v>0</v>
      </c>
      <c r="E49" s="49" t="str">
        <f ca="1">'GRUPO G'!E20</f>
        <v>Proximamente..</v>
      </c>
      <c r="F49" s="65" t="str">
        <f>'GRUPO G'!F20</f>
        <v>Inglaterra</v>
      </c>
      <c r="G49" s="44">
        <f>IF('GRUPO G'!G20="","",'GRUPO G'!G20)</f>
        <v>2</v>
      </c>
      <c r="H49" s="50" t="str">
        <f>'GRUPO G'!H20</f>
        <v>Panamá</v>
      </c>
      <c r="I49" s="46">
        <f>IF('GRUPO G'!I20="","",'GRUPO G'!I20)</f>
        <v>0</v>
      </c>
      <c r="J49" s="47"/>
      <c r="K49" s="67" t="str">
        <f>Hoja1!B52</f>
        <v>Panamá</v>
      </c>
      <c r="L49" s="68">
        <f>Hoja1!C52</f>
        <v>0</v>
      </c>
      <c r="M49" s="69">
        <f>Hoja1!D52</f>
        <v>1</v>
      </c>
      <c r="N49" s="69">
        <f>Hoja1!E52</f>
        <v>2</v>
      </c>
      <c r="O49" s="69">
        <f>Hoja1!F52</f>
        <v>2</v>
      </c>
      <c r="P49" s="69">
        <f>Hoja1!G52</f>
        <v>5</v>
      </c>
      <c r="Q49" s="69">
        <f>Hoja1!H52</f>
        <v>-3</v>
      </c>
      <c r="R49" s="69">
        <f>Hoja1!I52</f>
        <v>1</v>
      </c>
      <c r="S49" s="70">
        <f>SUM(L49:N49)</f>
        <v>3</v>
      </c>
    </row>
    <row r="50" spans="2:21" ht="12" thickTop="1">
      <c r="B50" s="66">
        <f>'GRUPO G'!B21</f>
        <v>43279</v>
      </c>
      <c r="C50" s="41">
        <f>'GRUPO G'!C21</f>
        <v>0.58333333333333337</v>
      </c>
      <c r="D50" s="37">
        <f>'GRUPO G'!D21</f>
        <v>0</v>
      </c>
      <c r="E50" s="42" t="str">
        <f ca="1">'GRUPO G'!E21</f>
        <v>Proximamente..</v>
      </c>
      <c r="F50" s="43" t="str">
        <f>'GRUPO G'!F21</f>
        <v>Inglaterra</v>
      </c>
      <c r="G50" s="44">
        <f>IF('GRUPO G'!G21="","",'GRUPO G'!G21)</f>
        <v>3</v>
      </c>
      <c r="H50" s="45" t="str">
        <f>'GRUPO G'!H21</f>
        <v>Bélgica</v>
      </c>
      <c r="I50" s="46">
        <f>IF('GRUPO G'!I21="","",'GRUPO G'!I21)</f>
        <v>2</v>
      </c>
      <c r="J50" s="47"/>
    </row>
    <row r="51" spans="2:21" ht="12" thickBot="1">
      <c r="B51" s="66">
        <f>'GRUPO G'!B22</f>
        <v>43279</v>
      </c>
      <c r="C51" s="41">
        <f>'GRUPO G'!C22</f>
        <v>0.58333333333333337</v>
      </c>
      <c r="D51" s="37">
        <f>'GRUPO G'!D22</f>
        <v>0</v>
      </c>
      <c r="E51" s="42" t="str">
        <f ca="1">'GRUPO G'!E22</f>
        <v>Proximamente..</v>
      </c>
      <c r="F51" s="43" t="str">
        <f>'GRUPO G'!F22</f>
        <v>Panamá</v>
      </c>
      <c r="G51" s="44">
        <f>IF('GRUPO G'!G22="","",'GRUPO G'!G22)</f>
        <v>1</v>
      </c>
      <c r="H51" s="45" t="str">
        <f>'GRUPO G'!H22</f>
        <v>Túnez</v>
      </c>
      <c r="I51" s="46">
        <f>IF('GRUPO G'!I22="","",'GRUPO G'!I22)</f>
        <v>1</v>
      </c>
      <c r="J51" s="47"/>
    </row>
    <row r="52" spans="2:21" ht="12.75" thickTop="1" thickBot="1">
      <c r="B52" s="143" t="str">
        <f>'GRUPO H'!B16</f>
        <v>Dia</v>
      </c>
      <c r="C52" s="144" t="str">
        <f>'GRUPO H'!C16</f>
        <v>Hora</v>
      </c>
      <c r="D52" s="145">
        <f>'GRUPO H'!D16</f>
        <v>0</v>
      </c>
      <c r="E52" s="145" t="str">
        <f>'GRUPO H'!E16</f>
        <v>Estado</v>
      </c>
      <c r="F52" s="161" t="str">
        <f>'GRUPO H'!F16</f>
        <v>Partidos</v>
      </c>
      <c r="G52" s="161">
        <f>'GRUPO H'!G16</f>
        <v>0</v>
      </c>
      <c r="H52" s="161">
        <f>'GRUPO H'!H16</f>
        <v>0</v>
      </c>
      <c r="I52" s="161">
        <f>'GRUPO H'!I16</f>
        <v>0</v>
      </c>
      <c r="J52" s="71"/>
      <c r="K52" s="143" t="str">
        <f>Hoja1!B55</f>
        <v>Equipo</v>
      </c>
      <c r="L52" s="143" t="str">
        <f>Hoja1!C55</f>
        <v>G</v>
      </c>
      <c r="M52" s="143" t="str">
        <f>Hoja1!D55</f>
        <v>E</v>
      </c>
      <c r="N52" s="143" t="str">
        <f>Hoja1!E55</f>
        <v>P</v>
      </c>
      <c r="O52" s="143" t="str">
        <f>Hoja1!F55</f>
        <v>GF</v>
      </c>
      <c r="P52" s="143" t="str">
        <f>Hoja1!G55</f>
        <v>GC</v>
      </c>
      <c r="Q52" s="143" t="str">
        <f>Hoja1!H55</f>
        <v>DG</v>
      </c>
      <c r="R52" s="143" t="str">
        <f>Hoja1!I55</f>
        <v>Pts.</v>
      </c>
      <c r="S52" s="146" t="s">
        <v>4</v>
      </c>
      <c r="U52" s="146" t="s">
        <v>5</v>
      </c>
    </row>
    <row r="53" spans="2:21" ht="12" thickTop="1">
      <c r="B53" s="40">
        <f>'GRUPO H'!B17</f>
        <v>43270</v>
      </c>
      <c r="C53" s="41">
        <f>'GRUPO H'!C17</f>
        <v>0.45833333333333331</v>
      </c>
      <c r="D53" s="37">
        <f>'GRUPO H'!D17</f>
        <v>0</v>
      </c>
      <c r="E53" s="42" t="str">
        <f ca="1">'GRUPO H'!E17</f>
        <v>Proximamente..</v>
      </c>
      <c r="F53" s="43" t="str">
        <f>'GRUPO H'!F17</f>
        <v>Polonia</v>
      </c>
      <c r="G53" s="44">
        <f>IF('GRUPO H'!G17="","",'GRUPO H'!G17)</f>
        <v>2</v>
      </c>
      <c r="H53" s="45" t="str">
        <f>'GRUPO H'!H17</f>
        <v>Senegal</v>
      </c>
      <c r="I53" s="46">
        <f>IF('GRUPO H'!I17="","",'GRUPO H'!I17)</f>
        <v>1</v>
      </c>
      <c r="J53" s="47"/>
      <c r="K53" s="51" t="str">
        <f>Hoja1!B56</f>
        <v>Colombia</v>
      </c>
      <c r="L53" s="52">
        <f>Hoja1!C56</f>
        <v>3</v>
      </c>
      <c r="M53" s="53">
        <f>Hoja1!D56</f>
        <v>0</v>
      </c>
      <c r="N53" s="53">
        <f>Hoja1!E56</f>
        <v>0</v>
      </c>
      <c r="O53" s="53">
        <f>Hoja1!F56</f>
        <v>8</v>
      </c>
      <c r="P53" s="53">
        <f>Hoja1!G56</f>
        <v>5</v>
      </c>
      <c r="Q53" s="53">
        <f>Hoja1!H56</f>
        <v>3</v>
      </c>
      <c r="R53" s="53">
        <f>Hoja1!I56</f>
        <v>9</v>
      </c>
      <c r="S53" s="54">
        <f>SUM(L53:N53)</f>
        <v>3</v>
      </c>
      <c r="U53" s="75" t="str">
        <f>K53</f>
        <v>Colombia</v>
      </c>
    </row>
    <row r="54" spans="2:21" ht="12" thickBot="1">
      <c r="B54" s="48">
        <f>'GRUPO H'!B18</f>
        <v>43270</v>
      </c>
      <c r="C54" s="41">
        <f>'GRUPO H'!C18</f>
        <v>0.33333333333333331</v>
      </c>
      <c r="D54" s="37">
        <f>'GRUPO H'!D18</f>
        <v>0</v>
      </c>
      <c r="E54" s="49" t="str">
        <f ca="1">'GRUPO H'!E18</f>
        <v>Proximamente..</v>
      </c>
      <c r="F54" s="43" t="str">
        <f>'GRUPO H'!F18</f>
        <v>Colombia</v>
      </c>
      <c r="G54" s="44">
        <f>IF('GRUPO H'!G18="","",'GRUPO H'!G18)</f>
        <v>3</v>
      </c>
      <c r="H54" s="50" t="str">
        <f>'GRUPO H'!H18</f>
        <v>Japón</v>
      </c>
      <c r="I54" s="46">
        <f>IF('GRUPO H'!I18="","",'GRUPO H'!I18)</f>
        <v>2</v>
      </c>
      <c r="J54" s="47"/>
      <c r="K54" s="59" t="str">
        <f>Hoja1!B57</f>
        <v>Polonia</v>
      </c>
      <c r="L54" s="60">
        <f>Hoja1!C57</f>
        <v>2</v>
      </c>
      <c r="M54" s="61">
        <f>Hoja1!D57</f>
        <v>0</v>
      </c>
      <c r="N54" s="61">
        <f>Hoja1!E57</f>
        <v>1</v>
      </c>
      <c r="O54" s="61">
        <f>Hoja1!F57</f>
        <v>6</v>
      </c>
      <c r="P54" s="61">
        <f>Hoja1!G57</f>
        <v>4</v>
      </c>
      <c r="Q54" s="61">
        <f>Hoja1!H57</f>
        <v>2</v>
      </c>
      <c r="R54" s="61">
        <f>Hoja1!I57</f>
        <v>6</v>
      </c>
      <c r="S54" s="62">
        <f>SUM(L54:N54)</f>
        <v>3</v>
      </c>
      <c r="U54" s="76" t="str">
        <f>K54</f>
        <v>Polonia</v>
      </c>
    </row>
    <row r="55" spans="2:21" ht="12" thickTop="1">
      <c r="B55" s="55">
        <f>'GRUPO H'!B19</f>
        <v>43275</v>
      </c>
      <c r="C55" s="56">
        <f>'GRUPO H'!C19</f>
        <v>0.58333333333333337</v>
      </c>
      <c r="D55" s="57">
        <f>'GRUPO H'!D19</f>
        <v>0</v>
      </c>
      <c r="E55" s="42" t="str">
        <f ca="1">'GRUPO H'!E19</f>
        <v>Proximamente..</v>
      </c>
      <c r="F55" s="58" t="str">
        <f>'GRUPO H'!F19</f>
        <v>Polonia</v>
      </c>
      <c r="G55" s="44">
        <f>IF('GRUPO H'!G19="","",'GRUPO H'!G19)</f>
        <v>1</v>
      </c>
      <c r="H55" s="45" t="str">
        <f>'GRUPO H'!H19</f>
        <v>Colombia</v>
      </c>
      <c r="I55" s="46">
        <f>IF('GRUPO H'!I19="","",'GRUPO H'!I19)</f>
        <v>2</v>
      </c>
      <c r="J55" s="47"/>
      <c r="K55" s="59" t="str">
        <f>Hoja1!B58</f>
        <v>Senegal</v>
      </c>
      <c r="L55" s="60">
        <f>Hoja1!C58</f>
        <v>0</v>
      </c>
      <c r="M55" s="61">
        <f>Hoja1!D58</f>
        <v>1</v>
      </c>
      <c r="N55" s="61">
        <f>Hoja1!E58</f>
        <v>2</v>
      </c>
      <c r="O55" s="61">
        <f>Hoja1!F58</f>
        <v>5</v>
      </c>
      <c r="P55" s="61">
        <f>Hoja1!G58</f>
        <v>7</v>
      </c>
      <c r="Q55" s="61">
        <f>Hoja1!H58</f>
        <v>-2</v>
      </c>
      <c r="R55" s="61">
        <f>Hoja1!I58</f>
        <v>1</v>
      </c>
      <c r="S55" s="62">
        <f>SUM(L55:N55)</f>
        <v>3</v>
      </c>
    </row>
    <row r="56" spans="2:21" ht="12" thickBot="1">
      <c r="B56" s="48">
        <f>'GRUPO H'!B20</f>
        <v>43275</v>
      </c>
      <c r="C56" s="63">
        <f>'GRUPO H'!C20</f>
        <v>0.45833333333333331</v>
      </c>
      <c r="D56" s="64">
        <f>'GRUPO H'!D20</f>
        <v>0</v>
      </c>
      <c r="E56" s="49" t="str">
        <f ca="1">'GRUPO H'!E20</f>
        <v>Proximamente..</v>
      </c>
      <c r="F56" s="65" t="str">
        <f>'GRUPO H'!F20</f>
        <v>Japón</v>
      </c>
      <c r="G56" s="44">
        <f>IF('GRUPO H'!G20="","",'GRUPO H'!G20)</f>
        <v>2</v>
      </c>
      <c r="H56" s="50" t="str">
        <f>'GRUPO H'!H20</f>
        <v>Senegal</v>
      </c>
      <c r="I56" s="46">
        <f>IF('GRUPO H'!I20="","",'GRUPO H'!I20)</f>
        <v>2</v>
      </c>
      <c r="J56" s="47"/>
      <c r="K56" s="67" t="str">
        <f>Hoja1!B59</f>
        <v>Japón</v>
      </c>
      <c r="L56" s="68">
        <f>Hoja1!C59</f>
        <v>0</v>
      </c>
      <c r="M56" s="69">
        <f>Hoja1!D59</f>
        <v>1</v>
      </c>
      <c r="N56" s="69">
        <f>Hoja1!E59</f>
        <v>2</v>
      </c>
      <c r="O56" s="69">
        <f>Hoja1!F59</f>
        <v>5</v>
      </c>
      <c r="P56" s="69">
        <f>Hoja1!G59</f>
        <v>8</v>
      </c>
      <c r="Q56" s="69">
        <f>Hoja1!H59</f>
        <v>-3</v>
      </c>
      <c r="R56" s="69">
        <f>Hoja1!I59</f>
        <v>1</v>
      </c>
      <c r="S56" s="70">
        <f>SUM(L56:N56)</f>
        <v>3</v>
      </c>
    </row>
    <row r="57" spans="2:21" ht="12" thickTop="1">
      <c r="B57" s="66">
        <f>'GRUPO H'!B21</f>
        <v>43279</v>
      </c>
      <c r="C57" s="41">
        <f>'GRUPO H'!C21</f>
        <v>0.41666666666666669</v>
      </c>
      <c r="D57" s="37">
        <f>'GRUPO H'!D21</f>
        <v>0</v>
      </c>
      <c r="E57" s="42" t="str">
        <f ca="1">'GRUPO H'!E21</f>
        <v>Proximamente..</v>
      </c>
      <c r="F57" s="43" t="str">
        <f>'GRUPO H'!F21</f>
        <v>Japón</v>
      </c>
      <c r="G57" s="44">
        <f>IF('GRUPO H'!G21="","",'GRUPO H'!G21)</f>
        <v>1</v>
      </c>
      <c r="H57" s="45" t="str">
        <f>'GRUPO H'!H21</f>
        <v>Polonia</v>
      </c>
      <c r="I57" s="46">
        <f>IF('GRUPO H'!I21="","",'GRUPO H'!I21)</f>
        <v>3</v>
      </c>
      <c r="J57" s="47"/>
    </row>
    <row r="58" spans="2:21" ht="12" thickBot="1">
      <c r="B58" s="48">
        <f>'GRUPO H'!B22</f>
        <v>43279</v>
      </c>
      <c r="C58" s="63">
        <f>'GRUPO H'!C22</f>
        <v>0.41666666666666669</v>
      </c>
      <c r="D58" s="64">
        <f>'GRUPO H'!D22</f>
        <v>0</v>
      </c>
      <c r="E58" s="72" t="str">
        <f ca="1">'GRUPO H'!E22</f>
        <v>Proximamente..</v>
      </c>
      <c r="F58" s="65" t="str">
        <f>'GRUPO H'!F22</f>
        <v>Senegal</v>
      </c>
      <c r="G58" s="73">
        <f>IF('GRUPO H'!G22="","",'GRUPO H'!G22)</f>
        <v>2</v>
      </c>
      <c r="H58" s="50" t="str">
        <f>'GRUPO H'!H22</f>
        <v>Colombia</v>
      </c>
      <c r="I58" s="74">
        <f>IF('GRUPO H'!I22="","",'GRUPO H'!I22)</f>
        <v>3</v>
      </c>
      <c r="J58" s="47"/>
    </row>
    <row r="59" spans="2:21" ht="12" thickTop="1"/>
    <row r="62" spans="2:21">
      <c r="C62" s="38">
        <f>IF('GRUPO A'!G17="","",'GRUPO A'!G17)</f>
        <v>3</v>
      </c>
    </row>
  </sheetData>
  <sheetProtection sheet="1" objects="1" scenarios="1" selectLockedCells="1" selectUnlockedCells="1"/>
  <mergeCells count="9">
    <mergeCell ref="C1:D1"/>
    <mergeCell ref="F45:I45"/>
    <mergeCell ref="F52:I52"/>
    <mergeCell ref="F3:I3"/>
    <mergeCell ref="F10:I10"/>
    <mergeCell ref="F17:I17"/>
    <mergeCell ref="F24:I24"/>
    <mergeCell ref="F31:I31"/>
    <mergeCell ref="F38:I38"/>
  </mergeCells>
  <conditionalFormatting sqref="E4:E9 E11:E16 E18:E23 E25:E30 E32:E37 E39:E44 E46:E51 E53:E58">
    <cfRule type="cellIs" dxfId="8" priority="8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B2:N25"/>
  <sheetViews>
    <sheetView topLeftCell="C1" workbookViewId="0">
      <selection activeCell="H4" sqref="H4:I51"/>
    </sheetView>
  </sheetViews>
  <sheetFormatPr baseColWidth="10" defaultRowHeight="12.75"/>
  <cols>
    <col min="3" max="3" width="12.42578125" bestFit="1" customWidth="1"/>
    <col min="6" max="6" width="9.140625" customWidth="1"/>
    <col min="11" max="11" width="15.28515625" customWidth="1"/>
    <col min="14" max="14" width="9.140625" bestFit="1" customWidth="1"/>
  </cols>
  <sheetData>
    <row r="2" spans="2:14">
      <c r="J2" t="s">
        <v>24</v>
      </c>
      <c r="K2" s="1">
        <f ca="1">NOW()</f>
        <v>43264.436886689815</v>
      </c>
    </row>
    <row r="3" spans="2:14">
      <c r="M3" t="s">
        <v>69</v>
      </c>
      <c r="N3" t="s">
        <v>114</v>
      </c>
    </row>
    <row r="4" spans="2:14">
      <c r="B4" t="s">
        <v>25</v>
      </c>
      <c r="D4" t="s">
        <v>26</v>
      </c>
      <c r="F4" t="s">
        <v>27</v>
      </c>
      <c r="L4" t="s">
        <v>28</v>
      </c>
      <c r="M4" s="2">
        <v>0.54166666666666663</v>
      </c>
      <c r="N4" s="2">
        <f>IF($D$19="+",M4+$C$19,M4-$C$19)</f>
        <v>0.49999999999999994</v>
      </c>
    </row>
    <row r="5" spans="2:14">
      <c r="B5" t="s">
        <v>29</v>
      </c>
      <c r="D5">
        <v>0</v>
      </c>
      <c r="F5">
        <v>0</v>
      </c>
      <c r="H5" s="2">
        <v>0</v>
      </c>
      <c r="L5" t="s">
        <v>30</v>
      </c>
      <c r="M5" s="2">
        <v>0.625</v>
      </c>
      <c r="N5" s="2">
        <f>IF($D$19="+",M5+$C$19,M5-$C$19)</f>
        <v>0.58333333333333337</v>
      </c>
    </row>
    <row r="6" spans="2:14">
      <c r="B6" t="s">
        <v>69</v>
      </c>
      <c r="F6" s="3">
        <v>-3</v>
      </c>
      <c r="H6" s="2">
        <f>M4+0.125</f>
        <v>0.66666666666666663</v>
      </c>
      <c r="L6" t="s">
        <v>32</v>
      </c>
      <c r="M6" s="2">
        <v>0.66666666666666663</v>
      </c>
      <c r="N6" s="2">
        <f>IF($D$19="+",M6+$C$19,M6-$C$19)</f>
        <v>0.625</v>
      </c>
    </row>
    <row r="7" spans="2:14">
      <c r="B7" t="s">
        <v>7</v>
      </c>
      <c r="F7">
        <v>-3</v>
      </c>
      <c r="H7" s="2">
        <f>M4-0.083</f>
        <v>0.45866666666666661</v>
      </c>
      <c r="L7" t="s">
        <v>133</v>
      </c>
      <c r="M7" s="2">
        <v>0.70833333333333304</v>
      </c>
      <c r="N7" s="2">
        <f t="shared" ref="N7:N9" si="0">IF($D$19="+",M7+$C$19,M7-$C$19)</f>
        <v>0.66666666666666641</v>
      </c>
    </row>
    <row r="8" spans="2:14">
      <c r="L8" t="s">
        <v>134</v>
      </c>
      <c r="M8" s="2">
        <v>0.75</v>
      </c>
      <c r="N8" s="2">
        <f t="shared" si="0"/>
        <v>0.70833333333333337</v>
      </c>
    </row>
    <row r="9" spans="2:14">
      <c r="L9" t="s">
        <v>135</v>
      </c>
      <c r="M9" s="2">
        <v>0.79166666666666696</v>
      </c>
      <c r="N9" s="2">
        <f t="shared" si="0"/>
        <v>0.75000000000000033</v>
      </c>
    </row>
    <row r="10" spans="2:14">
      <c r="L10" t="s">
        <v>136</v>
      </c>
      <c r="M10" s="2">
        <v>0.875</v>
      </c>
      <c r="N10" s="2">
        <f>+M10</f>
        <v>0.875</v>
      </c>
    </row>
    <row r="13" spans="2:14">
      <c r="F13" t="s">
        <v>7</v>
      </c>
      <c r="G13" s="2">
        <v>0</v>
      </c>
      <c r="H13" t="s">
        <v>108</v>
      </c>
      <c r="I13" s="17" t="s">
        <v>125</v>
      </c>
    </row>
    <row r="14" spans="2:14">
      <c r="B14" s="22">
        <v>40347</v>
      </c>
      <c r="C14" s="2">
        <v>0.70833333333333337</v>
      </c>
      <c r="D14">
        <f>HOUR(C14)</f>
        <v>17</v>
      </c>
      <c r="F14" t="s">
        <v>113</v>
      </c>
      <c r="G14" s="2">
        <v>4.1666666666666664E-2</v>
      </c>
      <c r="H14" t="s">
        <v>108</v>
      </c>
      <c r="I14" t="s">
        <v>117</v>
      </c>
    </row>
    <row r="15" spans="2:14">
      <c r="F15" t="s">
        <v>69</v>
      </c>
      <c r="G15" s="2">
        <v>0</v>
      </c>
      <c r="H15" t="s">
        <v>108</v>
      </c>
      <c r="I15" t="s">
        <v>118</v>
      </c>
    </row>
    <row r="16" spans="2:14">
      <c r="B16" s="22">
        <f>IF(AND(D19="+",D16&lt;D14),B14+1,B14)</f>
        <v>40347</v>
      </c>
      <c r="C16" s="2">
        <f>IF($D$19="+",C14+$C$19,C14-$C$19)</f>
        <v>0.66666666666666674</v>
      </c>
      <c r="D16" s="3">
        <f>HOUR(C16)</f>
        <v>16</v>
      </c>
      <c r="F16" t="s">
        <v>83</v>
      </c>
      <c r="G16" s="2">
        <v>4.1666666666666664E-2</v>
      </c>
      <c r="H16" t="s">
        <v>108</v>
      </c>
      <c r="I16" t="s">
        <v>119</v>
      </c>
    </row>
    <row r="17" spans="2:9">
      <c r="F17" t="s">
        <v>111</v>
      </c>
      <c r="G17" s="2">
        <v>8.3333333333333329E-2</v>
      </c>
      <c r="H17" t="s">
        <v>108</v>
      </c>
      <c r="I17" t="s">
        <v>126</v>
      </c>
    </row>
    <row r="18" spans="2:9">
      <c r="F18" t="s">
        <v>112</v>
      </c>
      <c r="G18" s="2">
        <v>8.3333333333333329E-2</v>
      </c>
      <c r="H18" t="s">
        <v>108</v>
      </c>
      <c r="I18" t="s">
        <v>120</v>
      </c>
    </row>
    <row r="19" spans="2:9">
      <c r="B19" s="3" t="str">
        <f>Inicio!F24</f>
        <v>Chile</v>
      </c>
      <c r="C19" s="23">
        <f>VLOOKUP(Inicio!F24,F13:H25,2)</f>
        <v>4.1666666666666664E-2</v>
      </c>
      <c r="D19" s="23" t="str">
        <f>VLOOKUP(B19,F13:H25,3)</f>
        <v>-</v>
      </c>
      <c r="F19" t="s">
        <v>74</v>
      </c>
      <c r="G19" s="2">
        <v>0.16666666666666666</v>
      </c>
      <c r="H19" t="s">
        <v>109</v>
      </c>
      <c r="I19" t="s">
        <v>121</v>
      </c>
    </row>
    <row r="20" spans="2:9">
      <c r="F20" t="s">
        <v>53</v>
      </c>
      <c r="G20" s="2">
        <v>0.125</v>
      </c>
      <c r="H20" t="s">
        <v>108</v>
      </c>
      <c r="I20" t="s">
        <v>127</v>
      </c>
    </row>
    <row r="21" spans="2:9">
      <c r="F21" t="s">
        <v>55</v>
      </c>
      <c r="G21" s="2">
        <v>4.1666666666666664E-2</v>
      </c>
      <c r="H21" t="s">
        <v>108</v>
      </c>
      <c r="I21" t="s">
        <v>128</v>
      </c>
    </row>
    <row r="22" spans="2:9">
      <c r="F22" t="s">
        <v>110</v>
      </c>
      <c r="G22" s="2">
        <v>8.3333333333333329E-2</v>
      </c>
      <c r="H22" t="s">
        <v>108</v>
      </c>
      <c r="I22" t="s">
        <v>129</v>
      </c>
    </row>
    <row r="23" spans="2:9">
      <c r="F23" t="s">
        <v>31</v>
      </c>
      <c r="G23" s="2">
        <v>0.25</v>
      </c>
      <c r="H23" t="s">
        <v>109</v>
      </c>
      <c r="I23" t="s">
        <v>130</v>
      </c>
    </row>
    <row r="24" spans="2:9">
      <c r="F24" t="s">
        <v>57</v>
      </c>
      <c r="G24" s="2">
        <v>0</v>
      </c>
      <c r="H24" t="s">
        <v>108</v>
      </c>
      <c r="I24" t="s">
        <v>131</v>
      </c>
    </row>
    <row r="25" spans="2:9">
      <c r="F25" t="s">
        <v>116</v>
      </c>
      <c r="G25" s="2">
        <v>6.25E-2</v>
      </c>
      <c r="H25" t="s">
        <v>108</v>
      </c>
      <c r="I25" t="s">
        <v>132</v>
      </c>
    </row>
  </sheetData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59"/>
  <sheetViews>
    <sheetView topLeftCell="A22" workbookViewId="0">
      <selection activeCell="H4" sqref="H4:I51"/>
    </sheetView>
  </sheetViews>
  <sheetFormatPr baseColWidth="10" defaultColWidth="9.140625" defaultRowHeight="12.75"/>
  <cols>
    <col min="1" max="10" width="9.140625" style="4"/>
    <col min="11" max="11" width="14.140625" style="4" customWidth="1"/>
    <col min="12" max="22" width="9.140625" style="4"/>
    <col min="23" max="23" width="15.85546875" style="4" customWidth="1"/>
    <col min="24" max="24" width="14.140625" style="5" customWidth="1"/>
    <col min="25" max="25" width="9.140625" style="4"/>
    <col min="26" max="26" width="3.42578125" style="4" customWidth="1"/>
    <col min="27" max="27" width="12.28515625" style="4" customWidth="1"/>
    <col min="28" max="29" width="3.140625" style="4" customWidth="1"/>
    <col min="30" max="31" width="3.28515625" style="4" customWidth="1"/>
    <col min="32" max="32" width="3.42578125" style="4" customWidth="1"/>
    <col min="33" max="33" width="3.140625" style="4" customWidth="1"/>
    <col min="34" max="16384" width="9.140625" style="4"/>
  </cols>
  <sheetData>
    <row r="1" spans="1:33">
      <c r="A1"/>
      <c r="B1"/>
      <c r="C1"/>
      <c r="D1"/>
    </row>
    <row r="4" spans="1:33">
      <c r="A4" s="163" t="s">
        <v>33</v>
      </c>
      <c r="B4" s="163"/>
      <c r="C4" s="163"/>
      <c r="D4" s="163"/>
      <c r="E4" s="163"/>
      <c r="F4" s="163"/>
      <c r="G4" s="163"/>
      <c r="H4" s="163"/>
      <c r="I4" s="163"/>
    </row>
    <row r="5" spans="1:33">
      <c r="K5" s="162" t="s">
        <v>1</v>
      </c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X5" s="7"/>
      <c r="Y5" s="8"/>
      <c r="Z5" s="8"/>
      <c r="AA5" s="8"/>
      <c r="AB5" s="8"/>
      <c r="AC5" s="8"/>
      <c r="AD5" s="8"/>
      <c r="AE5" s="8"/>
      <c r="AF5" s="8"/>
      <c r="AG5" s="8"/>
    </row>
    <row r="6" spans="1:33">
      <c r="A6" s="6" t="s">
        <v>34</v>
      </c>
      <c r="B6" s="25" t="s">
        <v>35</v>
      </c>
      <c r="C6" s="25" t="s">
        <v>36</v>
      </c>
      <c r="D6" s="25" t="s">
        <v>37</v>
      </c>
      <c r="E6" s="25" t="s">
        <v>22</v>
      </c>
      <c r="F6" s="25" t="s">
        <v>38</v>
      </c>
      <c r="G6" s="25" t="s">
        <v>39</v>
      </c>
      <c r="H6" s="25" t="s">
        <v>40</v>
      </c>
      <c r="I6" s="25" t="s">
        <v>41</v>
      </c>
      <c r="K6" s="6" t="s">
        <v>35</v>
      </c>
      <c r="L6" s="6" t="s">
        <v>36</v>
      </c>
      <c r="M6" s="6" t="s">
        <v>37</v>
      </c>
      <c r="N6" s="6" t="s">
        <v>22</v>
      </c>
      <c r="O6" s="6" t="s">
        <v>38</v>
      </c>
      <c r="P6" s="6" t="s">
        <v>39</v>
      </c>
      <c r="Q6" s="6" t="s">
        <v>40</v>
      </c>
      <c r="R6" s="6" t="s">
        <v>41</v>
      </c>
      <c r="S6" s="6" t="s">
        <v>42</v>
      </c>
      <c r="T6" s="6" t="s">
        <v>43</v>
      </c>
      <c r="U6" s="6" t="s">
        <v>44</v>
      </c>
      <c r="V6" s="6" t="s">
        <v>45</v>
      </c>
      <c r="W6" s="9" t="s">
        <v>46</v>
      </c>
      <c r="X6" s="10"/>
      <c r="Y6" s="11"/>
      <c r="Z6" s="12"/>
      <c r="AA6" s="12"/>
      <c r="AB6" s="12"/>
      <c r="AC6" s="12"/>
      <c r="AD6" s="12"/>
      <c r="AE6" s="12"/>
      <c r="AF6" s="12"/>
      <c r="AG6" s="12"/>
    </row>
    <row r="7" spans="1:33">
      <c r="A7" s="6">
        <v>1</v>
      </c>
      <c r="B7" s="24" t="str">
        <f>INDEX(K$7:K$11,MATCH($A7,$X$7:$X$11,0))</f>
        <v>Uruguay</v>
      </c>
      <c r="C7" s="24">
        <f t="shared" ref="C7:I7" si="0">INDEX(L$7:L$11,MATCH($A7,$X$7:$X$11,0))</f>
        <v>2</v>
      </c>
      <c r="D7" s="24">
        <f t="shared" si="0"/>
        <v>1</v>
      </c>
      <c r="E7" s="24">
        <f t="shared" si="0"/>
        <v>0</v>
      </c>
      <c r="F7" s="24">
        <f t="shared" si="0"/>
        <v>7</v>
      </c>
      <c r="G7" s="24">
        <f t="shared" si="0"/>
        <v>3</v>
      </c>
      <c r="H7" s="24">
        <f t="shared" si="0"/>
        <v>4</v>
      </c>
      <c r="I7" s="24">
        <f t="shared" si="0"/>
        <v>7</v>
      </c>
      <c r="K7" s="13" t="str">
        <f>equipos!$D2</f>
        <v>Rusia</v>
      </c>
      <c r="L7" s="13">
        <f>'tabla posiciones auxiliar'!N3</f>
        <v>2</v>
      </c>
      <c r="M7" s="13">
        <f>'tabla posiciones auxiliar'!P3</f>
        <v>1</v>
      </c>
      <c r="N7" s="13">
        <f>'tabla posiciones auxiliar'!O3</f>
        <v>0</v>
      </c>
      <c r="O7" s="13">
        <f>'tabla posiciones auxiliar'!Q3</f>
        <v>7</v>
      </c>
      <c r="P7" s="13">
        <f>'tabla posiciones auxiliar'!R3</f>
        <v>4</v>
      </c>
      <c r="Q7" s="13">
        <f>O7-P7</f>
        <v>3</v>
      </c>
      <c r="R7" s="13">
        <f>L7*3+M7</f>
        <v>7</v>
      </c>
      <c r="S7" s="13">
        <f>IF(SUM(L7:N7)=0,ROW()-6,RANK(R7,$R$7:$R$10))</f>
        <v>1</v>
      </c>
      <c r="T7" s="13">
        <f>SUMPRODUCT(($R$7:$R$10=R7)*(Q7&lt;$Q$7:$Q$10))</f>
        <v>1</v>
      </c>
      <c r="U7" s="13">
        <f>S7+T7</f>
        <v>2</v>
      </c>
      <c r="V7" s="24">
        <f>RANK(U7,$U$7:$U$10,1)+COUNTIF($U$7:U7,U7)-1</f>
        <v>2</v>
      </c>
      <c r="W7" s="14">
        <f>R7*100+(O7-P7)*10+O7-ROW(K7)*0.01</f>
        <v>736.93</v>
      </c>
      <c r="X7" s="12">
        <f>RANK(W7,$W$7:$W$10,0)</f>
        <v>2</v>
      </c>
      <c r="Y7" s="15"/>
      <c r="Z7" s="5"/>
      <c r="AA7" s="15"/>
      <c r="AB7" s="15"/>
      <c r="AC7" s="15"/>
      <c r="AD7" s="15"/>
      <c r="AE7" s="15"/>
      <c r="AF7" s="15"/>
      <c r="AG7" s="15"/>
    </row>
    <row r="8" spans="1:33">
      <c r="A8" s="6">
        <v>2</v>
      </c>
      <c r="B8" s="24" t="str">
        <f>INDEX(K$7:K$11,MATCH($A8,$X$7:$X$11,0))</f>
        <v>Rusia</v>
      </c>
      <c r="C8" s="24">
        <f t="shared" ref="C8:I10" si="1">INDEX(L$7:L$11,MATCH($A8,$X$7:$X$11,0))</f>
        <v>2</v>
      </c>
      <c r="D8" s="24">
        <f t="shared" si="1"/>
        <v>1</v>
      </c>
      <c r="E8" s="24">
        <f t="shared" si="1"/>
        <v>0</v>
      </c>
      <c r="F8" s="24">
        <f t="shared" si="1"/>
        <v>7</v>
      </c>
      <c r="G8" s="24">
        <f t="shared" si="1"/>
        <v>4</v>
      </c>
      <c r="H8" s="24">
        <f t="shared" si="1"/>
        <v>3</v>
      </c>
      <c r="I8" s="24">
        <f t="shared" si="1"/>
        <v>7</v>
      </c>
      <c r="K8" s="13" t="str">
        <f>equipos!$D3</f>
        <v>Arabia Saudí</v>
      </c>
      <c r="L8" s="13">
        <f>'tabla posiciones auxiliar'!N4</f>
        <v>0</v>
      </c>
      <c r="M8" s="13">
        <f>'tabla posiciones auxiliar'!P4</f>
        <v>0</v>
      </c>
      <c r="N8" s="13">
        <f>'tabla posiciones auxiliar'!O4</f>
        <v>3</v>
      </c>
      <c r="O8" s="13">
        <f>'tabla posiciones auxiliar'!Q4</f>
        <v>2</v>
      </c>
      <c r="P8" s="13">
        <f>'tabla posiciones auxiliar'!R4</f>
        <v>8</v>
      </c>
      <c r="Q8" s="13">
        <f>O8-P8</f>
        <v>-6</v>
      </c>
      <c r="R8" s="13">
        <f>L8*3+M8</f>
        <v>0</v>
      </c>
      <c r="S8" s="13">
        <f>IF(SUM(L8:N8)=0,ROW()-6,RANK(R8,$R$7:$R$10))</f>
        <v>4</v>
      </c>
      <c r="T8" s="13">
        <f>SUMPRODUCT(($R$7:$R$10=R8)*(Q8&lt;$Q$7:$Q$10))</f>
        <v>0</v>
      </c>
      <c r="U8" s="13">
        <f>S8+T8</f>
        <v>4</v>
      </c>
      <c r="V8" s="24">
        <f>RANK(U8,$U$7:$U$10,1)+COUNTIF($U$7:U8,U8)-1</f>
        <v>4</v>
      </c>
      <c r="W8" s="14">
        <f>R8*100+(O8-P8)*10+O8-ROW(K8)*0.01</f>
        <v>-58.08</v>
      </c>
      <c r="X8" s="12">
        <f>RANK(W8,$W$7:$W$10,0)</f>
        <v>4</v>
      </c>
      <c r="Y8" s="15"/>
      <c r="Z8" s="5"/>
      <c r="AA8" s="15"/>
      <c r="AB8" s="15"/>
      <c r="AC8" s="15"/>
      <c r="AD8" s="15"/>
      <c r="AE8" s="15"/>
      <c r="AF8" s="15"/>
      <c r="AG8" s="15"/>
    </row>
    <row r="9" spans="1:33">
      <c r="A9" s="6">
        <v>3</v>
      </c>
      <c r="B9" s="24" t="str">
        <f>INDEX(K$7:K$11,MATCH($A9,$X$7:$X$11,0))</f>
        <v>Egipto</v>
      </c>
      <c r="C9" s="24">
        <f t="shared" si="1"/>
        <v>1</v>
      </c>
      <c r="D9" s="24">
        <f t="shared" si="1"/>
        <v>0</v>
      </c>
      <c r="E9" s="24">
        <f t="shared" si="1"/>
        <v>2</v>
      </c>
      <c r="F9" s="24">
        <f t="shared" si="1"/>
        <v>4</v>
      </c>
      <c r="G9" s="24">
        <f t="shared" si="1"/>
        <v>5</v>
      </c>
      <c r="H9" s="24">
        <f t="shared" si="1"/>
        <v>-1</v>
      </c>
      <c r="I9" s="24">
        <f t="shared" si="1"/>
        <v>3</v>
      </c>
      <c r="K9" s="13" t="str">
        <f>equipos!$D4</f>
        <v>Egipto</v>
      </c>
      <c r="L9" s="13">
        <f>'tabla posiciones auxiliar'!N5</f>
        <v>1</v>
      </c>
      <c r="M9" s="13">
        <f>'tabla posiciones auxiliar'!P5</f>
        <v>0</v>
      </c>
      <c r="N9" s="13">
        <f>'tabla posiciones auxiliar'!O5</f>
        <v>2</v>
      </c>
      <c r="O9" s="13">
        <f>'tabla posiciones auxiliar'!Q5</f>
        <v>4</v>
      </c>
      <c r="P9" s="13">
        <f>'tabla posiciones auxiliar'!R5</f>
        <v>5</v>
      </c>
      <c r="Q9" s="13">
        <f>O9-P9</f>
        <v>-1</v>
      </c>
      <c r="R9" s="13">
        <f>L9*3+M9</f>
        <v>3</v>
      </c>
      <c r="S9" s="13">
        <f>IF(SUM(L9:N9)=0,ROW()-6,RANK(R9,$R$7:$R$10))</f>
        <v>3</v>
      </c>
      <c r="T9" s="13">
        <f>SUMPRODUCT(($R$7:$R$10=R9)*(Q9&lt;$Q$7:$Q$10))</f>
        <v>0</v>
      </c>
      <c r="U9" s="13">
        <f>S9+T9</f>
        <v>3</v>
      </c>
      <c r="V9" s="24">
        <f>RANK(U9,$U$7:$U$10,1)+COUNTIF($U$7:U9,U9)-1</f>
        <v>3</v>
      </c>
      <c r="W9" s="14">
        <f>R9*100+(O9-P9)*10+O9-ROW(K9)*0.01</f>
        <v>293.91000000000003</v>
      </c>
      <c r="X9" s="12">
        <f>RANK(W9,$W$7:$W$10,0)</f>
        <v>3</v>
      </c>
      <c r="Y9" s="15"/>
      <c r="Z9" s="5"/>
      <c r="AA9" s="15"/>
      <c r="AB9" s="15"/>
      <c r="AC9" s="15"/>
      <c r="AD9" s="15"/>
      <c r="AE9" s="15"/>
      <c r="AF9" s="15"/>
      <c r="AG9" s="15"/>
    </row>
    <row r="10" spans="1:33">
      <c r="A10" s="6">
        <v>4</v>
      </c>
      <c r="B10" s="24" t="str">
        <f>INDEX(K$7:K$11,MATCH($A10,$X$7:$X$11,0))</f>
        <v>Arabia Saudí</v>
      </c>
      <c r="C10" s="24">
        <f t="shared" si="1"/>
        <v>0</v>
      </c>
      <c r="D10" s="24">
        <f t="shared" si="1"/>
        <v>0</v>
      </c>
      <c r="E10" s="24">
        <f t="shared" si="1"/>
        <v>3</v>
      </c>
      <c r="F10" s="24">
        <f t="shared" si="1"/>
        <v>2</v>
      </c>
      <c r="G10" s="24">
        <f t="shared" si="1"/>
        <v>8</v>
      </c>
      <c r="H10" s="24">
        <f t="shared" si="1"/>
        <v>-6</v>
      </c>
      <c r="I10" s="24">
        <f t="shared" si="1"/>
        <v>0</v>
      </c>
      <c r="K10" s="13" t="str">
        <f>equipos!$D5</f>
        <v>Uruguay</v>
      </c>
      <c r="L10" s="13">
        <f>'tabla posiciones auxiliar'!N6</f>
        <v>2</v>
      </c>
      <c r="M10" s="13">
        <f>'tabla posiciones auxiliar'!P6</f>
        <v>1</v>
      </c>
      <c r="N10" s="13">
        <f>'tabla posiciones auxiliar'!O6</f>
        <v>0</v>
      </c>
      <c r="O10" s="13">
        <f>'tabla posiciones auxiliar'!Q6</f>
        <v>7</v>
      </c>
      <c r="P10" s="13">
        <f>'tabla posiciones auxiliar'!R6</f>
        <v>3</v>
      </c>
      <c r="Q10" s="13">
        <f>O10-P10</f>
        <v>4</v>
      </c>
      <c r="R10" s="13">
        <f>L10*3+M10</f>
        <v>7</v>
      </c>
      <c r="S10" s="13">
        <f>IF(SUM(L10:N10)=0,ROW()-6,RANK(R10,$R$7:$R$10))</f>
        <v>1</v>
      </c>
      <c r="T10" s="13">
        <f>SUMPRODUCT(($R$7:$R$10=R10)*(Q10&lt;$Q$7:$Q$10))</f>
        <v>0</v>
      </c>
      <c r="U10" s="13">
        <f>S10+T10</f>
        <v>1</v>
      </c>
      <c r="V10" s="24">
        <f>RANK(U10,$U$7:$U$10,1)+COUNTIF($U$7:U10,U10)-1</f>
        <v>1</v>
      </c>
      <c r="W10" s="14">
        <f>R10*100+(O10-P10)*10+O10-ROW(K10)*0.01</f>
        <v>746.9</v>
      </c>
      <c r="X10" s="12">
        <f>RANK(W10,$W$7:$W$10,0)</f>
        <v>1</v>
      </c>
      <c r="Y10" s="15"/>
      <c r="Z10" s="5"/>
      <c r="AA10" s="15"/>
      <c r="AB10" s="15"/>
      <c r="AC10" s="15"/>
      <c r="AD10" s="15"/>
      <c r="AE10" s="15"/>
      <c r="AF10" s="15"/>
      <c r="AG10" s="15"/>
    </row>
    <row r="11" spans="1:33">
      <c r="A11" s="16"/>
      <c r="B11" s="12"/>
      <c r="C11" s="12"/>
      <c r="D11" s="12"/>
      <c r="E11" s="12"/>
      <c r="F11" s="12"/>
      <c r="G11" s="12"/>
      <c r="H11" s="12"/>
      <c r="I11" s="12"/>
      <c r="J11" s="1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33">
      <c r="K12" s="162" t="s">
        <v>6</v>
      </c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Y12" s="8"/>
      <c r="Z12" s="8"/>
      <c r="AA12" s="8"/>
      <c r="AB12" s="8"/>
      <c r="AC12" s="8"/>
      <c r="AD12" s="8"/>
      <c r="AE12" s="8"/>
      <c r="AF12" s="8"/>
      <c r="AG12" s="8"/>
    </row>
    <row r="13" spans="1:33">
      <c r="A13" s="6" t="s">
        <v>34</v>
      </c>
      <c r="B13" s="25" t="s">
        <v>35</v>
      </c>
      <c r="C13" s="25" t="s">
        <v>36</v>
      </c>
      <c r="D13" s="25" t="s">
        <v>37</v>
      </c>
      <c r="E13" s="25" t="s">
        <v>22</v>
      </c>
      <c r="F13" s="25" t="s">
        <v>38</v>
      </c>
      <c r="G13" s="25" t="s">
        <v>39</v>
      </c>
      <c r="H13" s="25" t="s">
        <v>40</v>
      </c>
      <c r="I13" s="25" t="s">
        <v>41</v>
      </c>
      <c r="K13" s="6" t="s">
        <v>35</v>
      </c>
      <c r="L13" s="6" t="s">
        <v>36</v>
      </c>
      <c r="M13" s="6" t="s">
        <v>37</v>
      </c>
      <c r="N13" s="6" t="s">
        <v>22</v>
      </c>
      <c r="O13" s="6" t="s">
        <v>38</v>
      </c>
      <c r="P13" s="6" t="s">
        <v>39</v>
      </c>
      <c r="Q13" s="6" t="s">
        <v>40</v>
      </c>
      <c r="R13" s="6" t="s">
        <v>41</v>
      </c>
      <c r="S13" s="6" t="s">
        <v>42</v>
      </c>
      <c r="T13" s="6" t="s">
        <v>43</v>
      </c>
      <c r="U13" s="6" t="s">
        <v>44</v>
      </c>
      <c r="V13" s="6" t="s">
        <v>45</v>
      </c>
      <c r="W13" s="9" t="s">
        <v>46</v>
      </c>
      <c r="X13" s="7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>
      <c r="A14" s="6">
        <v>1</v>
      </c>
      <c r="B14" s="24" t="str">
        <f>INDEX(K$14:K$18,MATCH($A14,$X$14:$X$18,0))</f>
        <v>Portugal</v>
      </c>
      <c r="C14" s="24">
        <f t="shared" ref="C14:I14" si="2">INDEX(L$14:L$18,MATCH($A14,$X$14:$X$18,0))</f>
        <v>3</v>
      </c>
      <c r="D14" s="24">
        <f t="shared" si="2"/>
        <v>0</v>
      </c>
      <c r="E14" s="24">
        <f t="shared" si="2"/>
        <v>0</v>
      </c>
      <c r="F14" s="24">
        <f t="shared" si="2"/>
        <v>7</v>
      </c>
      <c r="G14" s="24">
        <f t="shared" si="2"/>
        <v>2</v>
      </c>
      <c r="H14" s="24">
        <f t="shared" si="2"/>
        <v>5</v>
      </c>
      <c r="I14" s="24">
        <f t="shared" si="2"/>
        <v>9</v>
      </c>
      <c r="K14" s="13" t="str">
        <f>equipos!D7</f>
        <v>Portugal</v>
      </c>
      <c r="L14" s="13">
        <f>'tabla posiciones auxiliar'!N10</f>
        <v>3</v>
      </c>
      <c r="M14" s="13">
        <f>'tabla posiciones auxiliar'!P10</f>
        <v>0</v>
      </c>
      <c r="N14" s="13">
        <f>'tabla posiciones auxiliar'!O10</f>
        <v>0</v>
      </c>
      <c r="O14" s="13">
        <f>'tabla posiciones auxiliar'!Q10</f>
        <v>7</v>
      </c>
      <c r="P14" s="13">
        <f>'tabla posiciones auxiliar'!R10</f>
        <v>2</v>
      </c>
      <c r="Q14" s="13">
        <f>O14-P14</f>
        <v>5</v>
      </c>
      <c r="R14" s="13">
        <f>L14*3+M14</f>
        <v>9</v>
      </c>
      <c r="S14" s="13">
        <f>IF(SUM(L14:N14)=0,ROW()-13,RANK(R14,$R$14:$R$17))</f>
        <v>1</v>
      </c>
      <c r="T14" s="13">
        <f>SUMPRODUCT(($R$14:$R$17=R14)*(Q14&lt;$Q$14:$Q$17))</f>
        <v>0</v>
      </c>
      <c r="U14" s="13">
        <f>S14+T14</f>
        <v>1</v>
      </c>
      <c r="V14" s="24">
        <f>RANK(U14,$U$14:$U$17,1)+COUNTIF($U$14:U14,U14)-1</f>
        <v>1</v>
      </c>
      <c r="W14" s="14">
        <f>R14*100+(O14-P14)*10+O14-ROW(K14)*0.01</f>
        <v>956.86</v>
      </c>
      <c r="X14" s="12">
        <f>RANK(W14,$W$14:$W$17,0)</f>
        <v>1</v>
      </c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>
      <c r="A15" s="6">
        <v>2</v>
      </c>
      <c r="B15" s="24" t="str">
        <f>INDEX(K$14:K$18,MATCH($A15,$X$14:$X$18,0))</f>
        <v>España</v>
      </c>
      <c r="C15" s="24">
        <f t="shared" ref="C15:I17" si="3">INDEX(L$14:L$18,MATCH($A15,$X$14:$X$18,0))</f>
        <v>2</v>
      </c>
      <c r="D15" s="24">
        <f t="shared" si="3"/>
        <v>0</v>
      </c>
      <c r="E15" s="24">
        <f t="shared" si="3"/>
        <v>1</v>
      </c>
      <c r="F15" s="24">
        <f t="shared" si="3"/>
        <v>6</v>
      </c>
      <c r="G15" s="24">
        <f t="shared" si="3"/>
        <v>3</v>
      </c>
      <c r="H15" s="24">
        <f t="shared" si="3"/>
        <v>3</v>
      </c>
      <c r="I15" s="24">
        <f t="shared" si="3"/>
        <v>6</v>
      </c>
      <c r="K15" s="13" t="str">
        <f>equipos!D8</f>
        <v>España</v>
      </c>
      <c r="L15" s="13">
        <f>'tabla posiciones auxiliar'!N11</f>
        <v>2</v>
      </c>
      <c r="M15" s="13">
        <f>'tabla posiciones auxiliar'!P11</f>
        <v>0</v>
      </c>
      <c r="N15" s="13">
        <f>'tabla posiciones auxiliar'!O11</f>
        <v>1</v>
      </c>
      <c r="O15" s="13">
        <f>'tabla posiciones auxiliar'!Q11</f>
        <v>6</v>
      </c>
      <c r="P15" s="13">
        <f>'tabla posiciones auxiliar'!R11</f>
        <v>3</v>
      </c>
      <c r="Q15" s="13">
        <f>O15-P15</f>
        <v>3</v>
      </c>
      <c r="R15" s="13">
        <f>L15*3+M15</f>
        <v>6</v>
      </c>
      <c r="S15" s="13">
        <f>IF(SUM(L15:N15)=0,ROW()-13,RANK(R15,$R$14:$R$17))</f>
        <v>2</v>
      </c>
      <c r="T15" s="13">
        <f>SUMPRODUCT(($R$14:$R$17=R15)*(Q15&lt;$Q$14:$Q$17))</f>
        <v>0</v>
      </c>
      <c r="U15" s="13">
        <f>S15+T15</f>
        <v>2</v>
      </c>
      <c r="V15" s="24">
        <f>RANK(U15,$U$14:$U$18,1)+COUNTIF($U$14:U15,U15)-1</f>
        <v>2</v>
      </c>
      <c r="W15" s="14">
        <f>R15*100+(O15-P15)*10+O15-ROW(K15)*0.01</f>
        <v>635.85</v>
      </c>
      <c r="X15" s="12">
        <f>RANK(W15,$W$14:$W$17,0)</f>
        <v>2</v>
      </c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>
      <c r="A16" s="6">
        <v>3</v>
      </c>
      <c r="B16" s="24" t="str">
        <f>INDEX(K$14:K$18,MATCH($A16,$X$14:$X$18,0))</f>
        <v>Irán</v>
      </c>
      <c r="C16" s="24">
        <f t="shared" si="3"/>
        <v>0</v>
      </c>
      <c r="D16" s="24">
        <f t="shared" si="3"/>
        <v>1</v>
      </c>
      <c r="E16" s="24">
        <f t="shared" si="3"/>
        <v>2</v>
      </c>
      <c r="F16" s="24">
        <f t="shared" si="3"/>
        <v>4</v>
      </c>
      <c r="G16" s="24">
        <f t="shared" si="3"/>
        <v>8</v>
      </c>
      <c r="H16" s="24">
        <f t="shared" si="3"/>
        <v>-4</v>
      </c>
      <c r="I16" s="24">
        <f t="shared" si="3"/>
        <v>1</v>
      </c>
      <c r="K16" s="13" t="str">
        <f>equipos!D9</f>
        <v>Marruecos</v>
      </c>
      <c r="L16" s="13">
        <f>'tabla posiciones auxiliar'!N12</f>
        <v>0</v>
      </c>
      <c r="M16" s="13">
        <f>'tabla posiciones auxiliar'!P12</f>
        <v>1</v>
      </c>
      <c r="N16" s="13">
        <f>'tabla posiciones auxiliar'!O12</f>
        <v>2</v>
      </c>
      <c r="O16" s="13">
        <f>'tabla posiciones auxiliar'!Q12</f>
        <v>2</v>
      </c>
      <c r="P16" s="13">
        <f>'tabla posiciones auxiliar'!R12</f>
        <v>6</v>
      </c>
      <c r="Q16" s="13">
        <f>O16-P16</f>
        <v>-4</v>
      </c>
      <c r="R16" s="13">
        <f>L16*3+M16</f>
        <v>1</v>
      </c>
      <c r="S16" s="13">
        <f>IF(SUM(L16:N16)=0,ROW()-13,RANK(R16,$R$14:$R$17))</f>
        <v>3</v>
      </c>
      <c r="T16" s="13">
        <f>SUMPRODUCT(($R$14:$R$17=R16)*(Q16&lt;$Q$14:$Q$17))</f>
        <v>0</v>
      </c>
      <c r="U16" s="13">
        <f>S16+T16</f>
        <v>3</v>
      </c>
      <c r="V16" s="24">
        <f>RANK(U16,$U$14:$U$18,1)+COUNTIF($U$14:U16,U16)-1</f>
        <v>3</v>
      </c>
      <c r="W16" s="14">
        <f>R16*100+(O16-P16)*10+O16-ROW(K16)*0.01</f>
        <v>61.84</v>
      </c>
      <c r="X16" s="12">
        <f>RANK(W16,$W$14:$W$17,0)</f>
        <v>4</v>
      </c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>
      <c r="A17" s="6">
        <v>4</v>
      </c>
      <c r="B17" s="24" t="str">
        <f>INDEX(K$14:K$18,MATCH($A17,$X$14:$X$18,0))</f>
        <v>Marruecos</v>
      </c>
      <c r="C17" s="24">
        <f t="shared" si="3"/>
        <v>0</v>
      </c>
      <c r="D17" s="24">
        <f t="shared" si="3"/>
        <v>1</v>
      </c>
      <c r="E17" s="24">
        <f t="shared" si="3"/>
        <v>2</v>
      </c>
      <c r="F17" s="24">
        <f t="shared" si="3"/>
        <v>2</v>
      </c>
      <c r="G17" s="24">
        <f t="shared" si="3"/>
        <v>6</v>
      </c>
      <c r="H17" s="24">
        <f t="shared" si="3"/>
        <v>-4</v>
      </c>
      <c r="I17" s="24">
        <f t="shared" si="3"/>
        <v>1</v>
      </c>
      <c r="K17" s="13" t="str">
        <f>equipos!D10</f>
        <v>Irán</v>
      </c>
      <c r="L17" s="13">
        <f>'tabla posiciones auxiliar'!N13</f>
        <v>0</v>
      </c>
      <c r="M17" s="13">
        <f>'tabla posiciones auxiliar'!P13</f>
        <v>1</v>
      </c>
      <c r="N17" s="13">
        <f>'tabla posiciones auxiliar'!O13</f>
        <v>2</v>
      </c>
      <c r="O17" s="13">
        <f>'tabla posiciones auxiliar'!Q13</f>
        <v>4</v>
      </c>
      <c r="P17" s="13">
        <f>'tabla posiciones auxiliar'!R13</f>
        <v>8</v>
      </c>
      <c r="Q17" s="13">
        <f>O17-P17</f>
        <v>-4</v>
      </c>
      <c r="R17" s="13">
        <f>L17*3+M17</f>
        <v>1</v>
      </c>
      <c r="S17" s="13">
        <f>IF(SUM(L17:N17)=0,ROW()-13,RANK(R17,$R$14:$R$17))</f>
        <v>3</v>
      </c>
      <c r="T17" s="13">
        <f>SUMPRODUCT(($R$14:$R$17=R17)*(Q17&lt;$Q$14:$Q$17))</f>
        <v>0</v>
      </c>
      <c r="U17" s="13">
        <f>S17+T17</f>
        <v>3</v>
      </c>
      <c r="V17" s="24">
        <f>RANK(U17,$U$14:$U$18,1)+COUNTIF($U$14:U17,U17)-1</f>
        <v>4</v>
      </c>
      <c r="W17" s="14">
        <f>R17*100+(O17-P17)*10+O17-ROW(K17)*0.01</f>
        <v>63.83</v>
      </c>
      <c r="X17" s="12">
        <f>RANK(W17,$W$14:$W$17,0)</f>
        <v>3</v>
      </c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>
      <c r="X18" s="7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>
      <c r="K19" s="162" t="s">
        <v>16</v>
      </c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X19" s="7"/>
      <c r="Y19" s="8"/>
      <c r="Z19" s="8"/>
      <c r="AA19" s="8"/>
      <c r="AB19" s="8"/>
      <c r="AC19" s="8"/>
      <c r="AD19" s="8"/>
      <c r="AE19" s="8"/>
      <c r="AF19" s="8"/>
      <c r="AG19" s="8"/>
    </row>
    <row r="20" spans="1:33">
      <c r="A20" s="6" t="s">
        <v>34</v>
      </c>
      <c r="B20" s="25" t="s">
        <v>35</v>
      </c>
      <c r="C20" s="25" t="s">
        <v>36</v>
      </c>
      <c r="D20" s="25" t="s">
        <v>37</v>
      </c>
      <c r="E20" s="25" t="s">
        <v>22</v>
      </c>
      <c r="F20" s="25" t="s">
        <v>38</v>
      </c>
      <c r="G20" s="25" t="s">
        <v>39</v>
      </c>
      <c r="H20" s="25" t="s">
        <v>40</v>
      </c>
      <c r="I20" s="25" t="s">
        <v>41</v>
      </c>
      <c r="K20" s="6" t="s">
        <v>35</v>
      </c>
      <c r="L20" s="6" t="s">
        <v>36</v>
      </c>
      <c r="M20" s="6" t="s">
        <v>37</v>
      </c>
      <c r="N20" s="6" t="s">
        <v>22</v>
      </c>
      <c r="O20" s="6" t="s">
        <v>38</v>
      </c>
      <c r="P20" s="6" t="s">
        <v>39</v>
      </c>
      <c r="Q20" s="6" t="s">
        <v>40</v>
      </c>
      <c r="R20" s="6" t="s">
        <v>41</v>
      </c>
      <c r="S20" s="6" t="s">
        <v>42</v>
      </c>
      <c r="T20" s="6" t="s">
        <v>43</v>
      </c>
      <c r="U20" s="6" t="s">
        <v>44</v>
      </c>
      <c r="V20" s="6" t="s">
        <v>45</v>
      </c>
      <c r="W20" s="9" t="s">
        <v>46</v>
      </c>
      <c r="X20" s="7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>
      <c r="A21" s="6">
        <v>1</v>
      </c>
      <c r="B21" s="24" t="str">
        <f>INDEX(K$21:K$25,MATCH($A21,$X$21:$X$25,0))</f>
        <v>Francia</v>
      </c>
      <c r="C21" s="24">
        <f t="shared" ref="C21:I21" si="4">INDEX(L$21:L$25,MATCH($A21,$X$21:$X$25,0))</f>
        <v>3</v>
      </c>
      <c r="D21" s="24">
        <f t="shared" si="4"/>
        <v>0</v>
      </c>
      <c r="E21" s="24">
        <f t="shared" si="4"/>
        <v>0</v>
      </c>
      <c r="F21" s="24">
        <f t="shared" si="4"/>
        <v>7</v>
      </c>
      <c r="G21" s="24">
        <f t="shared" si="4"/>
        <v>2</v>
      </c>
      <c r="H21" s="24">
        <f t="shared" si="4"/>
        <v>5</v>
      </c>
      <c r="I21" s="24">
        <f t="shared" si="4"/>
        <v>9</v>
      </c>
      <c r="K21" s="13" t="str">
        <f>equipos!$D12</f>
        <v>Francia</v>
      </c>
      <c r="L21" s="13">
        <f>'tabla posiciones auxiliar'!N17</f>
        <v>3</v>
      </c>
      <c r="M21" s="13">
        <f>'tabla posiciones auxiliar'!P17</f>
        <v>0</v>
      </c>
      <c r="N21" s="13">
        <f>'tabla posiciones auxiliar'!O17</f>
        <v>0</v>
      </c>
      <c r="O21" s="13">
        <f>'tabla posiciones auxiliar'!Q17</f>
        <v>7</v>
      </c>
      <c r="P21" s="13">
        <f>'tabla posiciones auxiliar'!R17</f>
        <v>2</v>
      </c>
      <c r="Q21" s="13">
        <f>O21-P21</f>
        <v>5</v>
      </c>
      <c r="R21" s="13">
        <f>L21*3+M21</f>
        <v>9</v>
      </c>
      <c r="S21" s="13">
        <f>IF(SUM(L21:N21)=0,ROW()-20,RANK(R21,$R$21:$R$24))</f>
        <v>1</v>
      </c>
      <c r="T21" s="13">
        <f>SUMPRODUCT(($R$21:$R$24=R21)*(Q21&lt;$Q$21:$Q$24))</f>
        <v>0</v>
      </c>
      <c r="U21" s="13">
        <f>S21+T21</f>
        <v>1</v>
      </c>
      <c r="V21" s="24">
        <f>RANK(U21,$U$21:$U$24,1)+COUNTIF($U$21:U21,U21)-1</f>
        <v>1</v>
      </c>
      <c r="W21" s="14">
        <f>R21*100+(O21-P21)*10+O21-ROW(K21)*0.01</f>
        <v>956.79</v>
      </c>
      <c r="X21" s="12">
        <f>RANK(W21,$W$21:$W$24,0)</f>
        <v>1</v>
      </c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>
      <c r="A22" s="6">
        <v>2</v>
      </c>
      <c r="B22" s="24" t="str">
        <f>INDEX(K$21:K$25,MATCH($A22,$X$21:$X$25,0))</f>
        <v>Perú</v>
      </c>
      <c r="C22" s="24">
        <f t="shared" ref="C22:I24" si="5">INDEX(L$21:L$25,MATCH($A22,$X$21:$X$25,0))</f>
        <v>2</v>
      </c>
      <c r="D22" s="24">
        <f t="shared" si="5"/>
        <v>0</v>
      </c>
      <c r="E22" s="24">
        <f t="shared" si="5"/>
        <v>1</v>
      </c>
      <c r="F22" s="24">
        <f t="shared" si="5"/>
        <v>5</v>
      </c>
      <c r="G22" s="24">
        <f t="shared" si="5"/>
        <v>3</v>
      </c>
      <c r="H22" s="24">
        <f t="shared" si="5"/>
        <v>2</v>
      </c>
      <c r="I22" s="24">
        <f t="shared" si="5"/>
        <v>6</v>
      </c>
      <c r="K22" s="13" t="str">
        <f>equipos!$D13</f>
        <v>Australia</v>
      </c>
      <c r="L22" s="13">
        <f>'tabla posiciones auxiliar'!N18</f>
        <v>1</v>
      </c>
      <c r="M22" s="13">
        <f>'tabla posiciones auxiliar'!P18</f>
        <v>0</v>
      </c>
      <c r="N22" s="13">
        <f>'tabla posiciones auxiliar'!O18</f>
        <v>2</v>
      </c>
      <c r="O22" s="13">
        <f>'tabla posiciones auxiliar'!Q18</f>
        <v>5</v>
      </c>
      <c r="P22" s="13">
        <f>'tabla posiciones auxiliar'!R18</f>
        <v>8</v>
      </c>
      <c r="Q22" s="13">
        <f>O22-P22</f>
        <v>-3</v>
      </c>
      <c r="R22" s="13">
        <f>L22*3+M22</f>
        <v>3</v>
      </c>
      <c r="S22" s="13">
        <f>IF(SUM(L22:N22)=0,ROW()-20,RANK(R22,$R$21:$R$24))</f>
        <v>3</v>
      </c>
      <c r="T22" s="13">
        <f>SUMPRODUCT(($R$21:$R$24=R22)*(Q22&lt;$Q$21:$Q$24))</f>
        <v>0</v>
      </c>
      <c r="U22" s="13">
        <f>S22+T22</f>
        <v>3</v>
      </c>
      <c r="V22" s="24">
        <f>RANK(U22,$U$21:$U$24,1)+COUNTIF($U$21:U22,U22)-1</f>
        <v>3</v>
      </c>
      <c r="W22" s="14">
        <f>R22*100+(O22-P22)*10+O22-ROW(K22)*0.01</f>
        <v>274.77999999999997</v>
      </c>
      <c r="X22" s="12">
        <f>RANK(W22,$W$21:$W$24,0)</f>
        <v>3</v>
      </c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>
      <c r="A23" s="6">
        <v>3</v>
      </c>
      <c r="B23" s="24" t="str">
        <f>INDEX(K$21:K$25,MATCH($A23,$X$21:$X$25,0))</f>
        <v>Australia</v>
      </c>
      <c r="C23" s="24">
        <f t="shared" si="5"/>
        <v>1</v>
      </c>
      <c r="D23" s="24">
        <f t="shared" si="5"/>
        <v>0</v>
      </c>
      <c r="E23" s="24">
        <f t="shared" si="5"/>
        <v>2</v>
      </c>
      <c r="F23" s="24">
        <f t="shared" si="5"/>
        <v>5</v>
      </c>
      <c r="G23" s="24">
        <f t="shared" si="5"/>
        <v>8</v>
      </c>
      <c r="H23" s="24">
        <f t="shared" si="5"/>
        <v>-3</v>
      </c>
      <c r="I23" s="24">
        <f t="shared" si="5"/>
        <v>3</v>
      </c>
      <c r="K23" s="13" t="str">
        <f>equipos!$D14</f>
        <v>Perú</v>
      </c>
      <c r="L23" s="13">
        <f>'tabla posiciones auxiliar'!N19</f>
        <v>2</v>
      </c>
      <c r="M23" s="13">
        <f>'tabla posiciones auxiliar'!P19</f>
        <v>0</v>
      </c>
      <c r="N23" s="13">
        <f>'tabla posiciones auxiliar'!O19</f>
        <v>1</v>
      </c>
      <c r="O23" s="13">
        <f>'tabla posiciones auxiliar'!Q19</f>
        <v>5</v>
      </c>
      <c r="P23" s="13">
        <f>'tabla posiciones auxiliar'!R19</f>
        <v>3</v>
      </c>
      <c r="Q23" s="13">
        <f>O23-P23</f>
        <v>2</v>
      </c>
      <c r="R23" s="13">
        <f>L23*3+M23</f>
        <v>6</v>
      </c>
      <c r="S23" s="13">
        <f>IF(SUM(L23:N23)=0,ROW()-20,RANK(R23,$R$21:$R$24))</f>
        <v>2</v>
      </c>
      <c r="T23" s="13">
        <f>SUMPRODUCT(($R$21:$R$24=R23)*(Q23&lt;$Q$21:$Q$24))</f>
        <v>0</v>
      </c>
      <c r="U23" s="13">
        <f>S23+T23</f>
        <v>2</v>
      </c>
      <c r="V23" s="24">
        <f>RANK(U23,$U$21:$U$24,1)+COUNTIF($U$21:U23,U23)-1</f>
        <v>2</v>
      </c>
      <c r="W23" s="14">
        <f>R23*100+(O23-P23)*10+O23-ROW(K23)*0.01</f>
        <v>624.77</v>
      </c>
      <c r="X23" s="12">
        <f>RANK(W23,$W$21:$W$24,0)</f>
        <v>2</v>
      </c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>
      <c r="A24" s="6">
        <v>4</v>
      </c>
      <c r="B24" s="24" t="str">
        <f>INDEX(K$21:K$25,MATCH($A24,$X$21:$X$25,0))</f>
        <v>Dinamarca</v>
      </c>
      <c r="C24" s="24">
        <f t="shared" si="5"/>
        <v>0</v>
      </c>
      <c r="D24" s="24">
        <f t="shared" si="5"/>
        <v>0</v>
      </c>
      <c r="E24" s="24">
        <f t="shared" si="5"/>
        <v>3</v>
      </c>
      <c r="F24" s="24">
        <f t="shared" si="5"/>
        <v>3</v>
      </c>
      <c r="G24" s="24">
        <f t="shared" si="5"/>
        <v>7</v>
      </c>
      <c r="H24" s="24">
        <f t="shared" si="5"/>
        <v>-4</v>
      </c>
      <c r="I24" s="24">
        <f t="shared" si="5"/>
        <v>0</v>
      </c>
      <c r="K24" s="13" t="str">
        <f>equipos!$D15</f>
        <v>Dinamarca</v>
      </c>
      <c r="L24" s="13">
        <f>'tabla posiciones auxiliar'!N20</f>
        <v>0</v>
      </c>
      <c r="M24" s="13">
        <f>'tabla posiciones auxiliar'!P20</f>
        <v>0</v>
      </c>
      <c r="N24" s="13">
        <f>'tabla posiciones auxiliar'!O20</f>
        <v>3</v>
      </c>
      <c r="O24" s="13">
        <f>'tabla posiciones auxiliar'!Q20</f>
        <v>3</v>
      </c>
      <c r="P24" s="13">
        <f>'tabla posiciones auxiliar'!R20</f>
        <v>7</v>
      </c>
      <c r="Q24" s="13">
        <f>O24-P24</f>
        <v>-4</v>
      </c>
      <c r="R24" s="13">
        <f>L24*3+M24</f>
        <v>0</v>
      </c>
      <c r="S24" s="13">
        <f>IF(SUM(L24:N24)=0,ROW()-20,RANK(R24,$R$21:$R$24))</f>
        <v>4</v>
      </c>
      <c r="T24" s="13">
        <f>SUMPRODUCT(($R$21:$R$24=R24)*(Q24&lt;$Q$21:$Q$24))</f>
        <v>0</v>
      </c>
      <c r="U24" s="13">
        <f>S24+T24</f>
        <v>4</v>
      </c>
      <c r="V24" s="24">
        <f>RANK(U24,$U$21:$U$24,1)+COUNTIF($U$21:U24,U24)-1</f>
        <v>4</v>
      </c>
      <c r="W24" s="14">
        <f>R24*100+(O24-P24)*10+O24-ROW(K24)*0.01</f>
        <v>-37.24</v>
      </c>
      <c r="X24" s="12">
        <f>RANK(W24,$W$21:$W$24,0)</f>
        <v>4</v>
      </c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>
      <c r="X25" s="7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>
      <c r="K26" s="162" t="s">
        <v>11</v>
      </c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X26" s="7"/>
      <c r="Y26" s="8"/>
      <c r="Z26" s="8"/>
      <c r="AA26" s="8"/>
      <c r="AB26" s="8"/>
      <c r="AC26" s="8"/>
      <c r="AD26" s="8"/>
      <c r="AE26" s="8"/>
      <c r="AF26" s="8"/>
      <c r="AG26" s="8"/>
    </row>
    <row r="27" spans="1:33">
      <c r="A27" s="6" t="s">
        <v>34</v>
      </c>
      <c r="B27" s="25" t="s">
        <v>35</v>
      </c>
      <c r="C27" s="25" t="s">
        <v>36</v>
      </c>
      <c r="D27" s="25" t="s">
        <v>37</v>
      </c>
      <c r="E27" s="25" t="s">
        <v>22</v>
      </c>
      <c r="F27" s="25" t="s">
        <v>38</v>
      </c>
      <c r="G27" s="25" t="s">
        <v>39</v>
      </c>
      <c r="H27" s="25" t="s">
        <v>40</v>
      </c>
      <c r="I27" s="25" t="s">
        <v>41</v>
      </c>
      <c r="K27" s="6" t="s">
        <v>35</v>
      </c>
      <c r="L27" s="6" t="s">
        <v>36</v>
      </c>
      <c r="M27" s="6" t="s">
        <v>37</v>
      </c>
      <c r="N27" s="6" t="s">
        <v>22</v>
      </c>
      <c r="O27" s="6" t="s">
        <v>38</v>
      </c>
      <c r="P27" s="6" t="s">
        <v>39</v>
      </c>
      <c r="Q27" s="6" t="s">
        <v>40</v>
      </c>
      <c r="R27" s="6" t="s">
        <v>41</v>
      </c>
      <c r="S27" s="6" t="s">
        <v>42</v>
      </c>
      <c r="T27" s="6" t="s">
        <v>43</v>
      </c>
      <c r="U27" s="6" t="s">
        <v>44</v>
      </c>
      <c r="V27" s="6" t="s">
        <v>45</v>
      </c>
      <c r="W27" s="9" t="s">
        <v>46</v>
      </c>
      <c r="X27" s="7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>
      <c r="A28" s="6">
        <v>1</v>
      </c>
      <c r="B28" s="24" t="str">
        <f>INDEX(K$28:K$32,MATCH($A28,$X$28:$X$32,0))</f>
        <v>Argentina</v>
      </c>
      <c r="C28" s="24">
        <f t="shared" ref="C28:I28" si="6">INDEX(L$28:L$32,MATCH($A28,$X$28:$X$32,0))</f>
        <v>3</v>
      </c>
      <c r="D28" s="24">
        <f t="shared" si="6"/>
        <v>0</v>
      </c>
      <c r="E28" s="24">
        <f t="shared" si="6"/>
        <v>0</v>
      </c>
      <c r="F28" s="24">
        <f t="shared" si="6"/>
        <v>6</v>
      </c>
      <c r="G28" s="24">
        <f t="shared" si="6"/>
        <v>2</v>
      </c>
      <c r="H28" s="24">
        <f t="shared" si="6"/>
        <v>4</v>
      </c>
      <c r="I28" s="24">
        <f t="shared" si="6"/>
        <v>9</v>
      </c>
      <c r="K28" s="13" t="str">
        <f>equipos!$D17</f>
        <v>Argentina</v>
      </c>
      <c r="L28" s="13">
        <f>'tabla posiciones auxiliar'!N24</f>
        <v>3</v>
      </c>
      <c r="M28" s="13">
        <f>'tabla posiciones auxiliar'!P24</f>
        <v>0</v>
      </c>
      <c r="N28" s="13">
        <f>'tabla posiciones auxiliar'!O24</f>
        <v>0</v>
      </c>
      <c r="O28" s="13">
        <f>'tabla posiciones auxiliar'!Q24</f>
        <v>6</v>
      </c>
      <c r="P28" s="13">
        <f>'tabla posiciones auxiliar'!R24</f>
        <v>2</v>
      </c>
      <c r="Q28" s="13">
        <f>O28-P28</f>
        <v>4</v>
      </c>
      <c r="R28" s="13">
        <f>L28*3+M28</f>
        <v>9</v>
      </c>
      <c r="S28" s="13">
        <f>IF(SUM(L28:N28)=0,ROW()-27,RANK(R28,$R$28:$R$31))</f>
        <v>1</v>
      </c>
      <c r="T28" s="13">
        <f>SUMPRODUCT(($R$28:$R$32=R28)*(Q28&lt;$Q$28:$Q$32))</f>
        <v>0</v>
      </c>
      <c r="U28" s="13">
        <f>S28+T28</f>
        <v>1</v>
      </c>
      <c r="V28" s="24">
        <f>RANK(U28,$U$28:$U$31,1)+COUNTIF($U$28:U28,U28)-1</f>
        <v>1</v>
      </c>
      <c r="W28" s="14">
        <f>R28*100+(O28-P28)*10+O28-ROW(K28)*0.01</f>
        <v>945.72</v>
      </c>
      <c r="X28" s="12">
        <f>RANK(W28,$W$28:$W$31,0)</f>
        <v>1</v>
      </c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>
      <c r="A29" s="6">
        <v>2</v>
      </c>
      <c r="B29" s="24" t="str">
        <f>INDEX(K$28:K$32,MATCH($A29,$X$28:$X$32,0))</f>
        <v>Nigeria</v>
      </c>
      <c r="C29" s="24">
        <f t="shared" ref="C29:I31" si="7">INDEX(L$28:L$32,MATCH($A29,$X$28:$X$32,0))</f>
        <v>2</v>
      </c>
      <c r="D29" s="24">
        <f t="shared" si="7"/>
        <v>0</v>
      </c>
      <c r="E29" s="24">
        <f t="shared" si="7"/>
        <v>1</v>
      </c>
      <c r="F29" s="24">
        <f t="shared" si="7"/>
        <v>5</v>
      </c>
      <c r="G29" s="24">
        <f t="shared" si="7"/>
        <v>3</v>
      </c>
      <c r="H29" s="24">
        <f t="shared" si="7"/>
        <v>2</v>
      </c>
      <c r="I29" s="24">
        <f t="shared" si="7"/>
        <v>6</v>
      </c>
      <c r="K29" s="13" t="str">
        <f>equipos!$D18</f>
        <v>Islandia</v>
      </c>
      <c r="L29" s="13">
        <f>'tabla posiciones auxiliar'!N25</f>
        <v>0</v>
      </c>
      <c r="M29" s="13">
        <f>'tabla posiciones auxiliar'!P25</f>
        <v>1</v>
      </c>
      <c r="N29" s="13">
        <f>'tabla posiciones auxiliar'!O25</f>
        <v>2</v>
      </c>
      <c r="O29" s="13">
        <f>'tabla posiciones auxiliar'!Q25</f>
        <v>2</v>
      </c>
      <c r="P29" s="13">
        <f>'tabla posiciones auxiliar'!R25</f>
        <v>6</v>
      </c>
      <c r="Q29" s="13">
        <f>O29-P29</f>
        <v>-4</v>
      </c>
      <c r="R29" s="13">
        <f>L29*3+M29</f>
        <v>1</v>
      </c>
      <c r="S29" s="13">
        <f>IF(SUM(L29:N29)=0,ROW()-27,RANK(R29,$R$28:$R$31))</f>
        <v>3</v>
      </c>
      <c r="T29" s="13">
        <f>SUMPRODUCT(($R$28:$R$32=R29)*(Q29&lt;$Q$28:$Q$32))</f>
        <v>1</v>
      </c>
      <c r="U29" s="13">
        <f>S29+T29</f>
        <v>4</v>
      </c>
      <c r="V29" s="24">
        <f>RANK(U29,$U$28:$U$31,1)+COUNTIF($U$28:U29,U29)-1</f>
        <v>4</v>
      </c>
      <c r="W29" s="14">
        <f>R29*100+(O29-P29)*10+O29-ROW(K29)*0.01</f>
        <v>61.71</v>
      </c>
      <c r="X29" s="12">
        <f>RANK(W29,$W$28:$W$31,0)</f>
        <v>4</v>
      </c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>
      <c r="A30" s="6">
        <v>3</v>
      </c>
      <c r="B30" s="24" t="str">
        <f>INDEX(K$28:K$32,MATCH($A30,$X$28:$X$32,0))</f>
        <v>Croacia</v>
      </c>
      <c r="C30" s="24">
        <f t="shared" si="7"/>
        <v>0</v>
      </c>
      <c r="D30" s="24">
        <f t="shared" si="7"/>
        <v>1</v>
      </c>
      <c r="E30" s="24">
        <f t="shared" si="7"/>
        <v>2</v>
      </c>
      <c r="F30" s="24">
        <f t="shared" si="7"/>
        <v>4</v>
      </c>
      <c r="G30" s="24">
        <f t="shared" si="7"/>
        <v>6</v>
      </c>
      <c r="H30" s="24">
        <f t="shared" si="7"/>
        <v>-2</v>
      </c>
      <c r="I30" s="24">
        <f t="shared" si="7"/>
        <v>1</v>
      </c>
      <c r="K30" s="13" t="str">
        <f>equipos!$D19</f>
        <v>Croacia</v>
      </c>
      <c r="L30" s="13">
        <f>'tabla posiciones auxiliar'!N26</f>
        <v>0</v>
      </c>
      <c r="M30" s="13">
        <f>'tabla posiciones auxiliar'!P26</f>
        <v>1</v>
      </c>
      <c r="N30" s="13">
        <f>'tabla posiciones auxiliar'!O26</f>
        <v>2</v>
      </c>
      <c r="O30" s="13">
        <f>'tabla posiciones auxiliar'!Q26</f>
        <v>4</v>
      </c>
      <c r="P30" s="13">
        <f>'tabla posiciones auxiliar'!R26</f>
        <v>6</v>
      </c>
      <c r="Q30" s="13">
        <f>O30-P30</f>
        <v>-2</v>
      </c>
      <c r="R30" s="13">
        <f>L30*3+M30</f>
        <v>1</v>
      </c>
      <c r="S30" s="13">
        <f>IF(SUM(L30:N30)=0,ROW()-27,RANK(R30,$R$28:$R$31))</f>
        <v>3</v>
      </c>
      <c r="T30" s="13">
        <f>SUMPRODUCT(($R$28:$R$32=R30)*(Q30&lt;$Q$28:$Q$32))</f>
        <v>0</v>
      </c>
      <c r="U30" s="13">
        <f>S30+T30</f>
        <v>3</v>
      </c>
      <c r="V30" s="24">
        <f>RANK(U30,$U$28:$U$31,1)+COUNTIF($U$28:U30,U30)-1</f>
        <v>3</v>
      </c>
      <c r="W30" s="14">
        <f>R30*100+(O30-P30)*10+O30-ROW(K30)*0.01</f>
        <v>83.7</v>
      </c>
      <c r="X30" s="12">
        <f>RANK(W30,$W$28:$W$31,0)</f>
        <v>3</v>
      </c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>
      <c r="A31" s="6">
        <v>4</v>
      </c>
      <c r="B31" s="24" t="str">
        <f>INDEX(K$28:K$32,MATCH($A31,$X$28:$X$32,0))</f>
        <v>Islandia</v>
      </c>
      <c r="C31" s="24">
        <f t="shared" si="7"/>
        <v>0</v>
      </c>
      <c r="D31" s="24">
        <f t="shared" si="7"/>
        <v>1</v>
      </c>
      <c r="E31" s="24">
        <f t="shared" si="7"/>
        <v>2</v>
      </c>
      <c r="F31" s="24">
        <f t="shared" si="7"/>
        <v>2</v>
      </c>
      <c r="G31" s="24">
        <f t="shared" si="7"/>
        <v>6</v>
      </c>
      <c r="H31" s="24">
        <f t="shared" si="7"/>
        <v>-4</v>
      </c>
      <c r="I31" s="24">
        <f t="shared" si="7"/>
        <v>1</v>
      </c>
      <c r="K31" s="13" t="str">
        <f>equipos!$D20</f>
        <v>Nigeria</v>
      </c>
      <c r="L31" s="13">
        <f>'tabla posiciones auxiliar'!N27</f>
        <v>2</v>
      </c>
      <c r="M31" s="13">
        <f>'tabla posiciones auxiliar'!P27</f>
        <v>0</v>
      </c>
      <c r="N31" s="13">
        <f>'tabla posiciones auxiliar'!O27</f>
        <v>1</v>
      </c>
      <c r="O31" s="13">
        <f>'tabla posiciones auxiliar'!Q27</f>
        <v>5</v>
      </c>
      <c r="P31" s="13">
        <f>'tabla posiciones auxiliar'!R27</f>
        <v>3</v>
      </c>
      <c r="Q31" s="13">
        <f>O31-P31</f>
        <v>2</v>
      </c>
      <c r="R31" s="13">
        <f>L31*3+M31</f>
        <v>6</v>
      </c>
      <c r="S31" s="13">
        <f>IF(SUM(L31:N31)=0,ROW()-27,RANK(R31,$R$28:$R$31))</f>
        <v>2</v>
      </c>
      <c r="T31" s="13">
        <f>SUMPRODUCT(($R$28:$R$32=R31)*(Q31&lt;$Q$28:$Q$32))</f>
        <v>0</v>
      </c>
      <c r="U31" s="13">
        <f>S31+T31</f>
        <v>2</v>
      </c>
      <c r="V31" s="24">
        <f>RANK(U31,$U$28:$U$31,1)+COUNTIF($U$28:U31,U31)-1</f>
        <v>2</v>
      </c>
      <c r="W31" s="14">
        <f>R31*100+(O31-P31)*10+O31-ROW(K31)*0.01</f>
        <v>624.69000000000005</v>
      </c>
      <c r="X31" s="12">
        <f>RANK(W31,$W$28:$W$31,0)</f>
        <v>2</v>
      </c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>
      <c r="X32" s="7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>
      <c r="K33" s="162" t="s">
        <v>12</v>
      </c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X33" s="7"/>
      <c r="Y33" s="8"/>
      <c r="Z33" s="8"/>
      <c r="AA33" s="8"/>
      <c r="AB33" s="8"/>
      <c r="AC33" s="8"/>
      <c r="AD33" s="8"/>
      <c r="AE33" s="8"/>
      <c r="AF33" s="8"/>
      <c r="AG33" s="8"/>
    </row>
    <row r="34" spans="1:33">
      <c r="A34" s="6" t="s">
        <v>34</v>
      </c>
      <c r="B34" s="25" t="s">
        <v>35</v>
      </c>
      <c r="C34" s="25" t="s">
        <v>36</v>
      </c>
      <c r="D34" s="25" t="s">
        <v>37</v>
      </c>
      <c r="E34" s="25" t="s">
        <v>22</v>
      </c>
      <c r="F34" s="25" t="s">
        <v>38</v>
      </c>
      <c r="G34" s="25" t="s">
        <v>39</v>
      </c>
      <c r="H34" s="25" t="s">
        <v>40</v>
      </c>
      <c r="I34" s="25" t="s">
        <v>41</v>
      </c>
      <c r="K34" s="6" t="s">
        <v>35</v>
      </c>
      <c r="L34" s="6" t="s">
        <v>36</v>
      </c>
      <c r="M34" s="6" t="s">
        <v>37</v>
      </c>
      <c r="N34" s="6" t="s">
        <v>22</v>
      </c>
      <c r="O34" s="6" t="s">
        <v>38</v>
      </c>
      <c r="P34" s="6" t="s">
        <v>39</v>
      </c>
      <c r="Q34" s="6" t="s">
        <v>40</v>
      </c>
      <c r="R34" s="6" t="s">
        <v>41</v>
      </c>
      <c r="S34" s="6" t="s">
        <v>42</v>
      </c>
      <c r="T34" s="6" t="s">
        <v>43</v>
      </c>
      <c r="U34" s="6" t="s">
        <v>44</v>
      </c>
      <c r="V34" s="6" t="s">
        <v>45</v>
      </c>
      <c r="W34" s="9" t="s">
        <v>46</v>
      </c>
      <c r="X34" s="7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>
      <c r="A35" s="6">
        <v>1</v>
      </c>
      <c r="B35" s="24" t="str">
        <f>INDEX(K$35:K$39,MATCH($A35,$X$35:$X$39,0))</f>
        <v>Brasil</v>
      </c>
      <c r="C35" s="24">
        <f t="shared" ref="C35:I35" si="8">INDEX(L$35:L$39,MATCH($A35,$X$35:$X$39,0))</f>
        <v>3</v>
      </c>
      <c r="D35" s="24">
        <f t="shared" si="8"/>
        <v>0</v>
      </c>
      <c r="E35" s="24">
        <f t="shared" si="8"/>
        <v>0</v>
      </c>
      <c r="F35" s="24">
        <f t="shared" si="8"/>
        <v>8</v>
      </c>
      <c r="G35" s="24">
        <f t="shared" si="8"/>
        <v>2</v>
      </c>
      <c r="H35" s="24">
        <f t="shared" si="8"/>
        <v>6</v>
      </c>
      <c r="I35" s="24">
        <f t="shared" si="8"/>
        <v>9</v>
      </c>
      <c r="K35" s="13" t="str">
        <f>equipos!$G2</f>
        <v>Brasil</v>
      </c>
      <c r="L35" s="13">
        <f>'tabla posiciones auxiliar'!N31</f>
        <v>3</v>
      </c>
      <c r="M35" s="13">
        <f>'tabla posiciones auxiliar'!P31</f>
        <v>0</v>
      </c>
      <c r="N35" s="13">
        <f>'tabla posiciones auxiliar'!O31</f>
        <v>0</v>
      </c>
      <c r="O35" s="13">
        <f>'tabla posiciones auxiliar'!Q31</f>
        <v>8</v>
      </c>
      <c r="P35" s="13">
        <f>'tabla posiciones auxiliar'!R31</f>
        <v>2</v>
      </c>
      <c r="Q35" s="13">
        <f>O35-P35</f>
        <v>6</v>
      </c>
      <c r="R35" s="13">
        <f>L35*3+M35</f>
        <v>9</v>
      </c>
      <c r="S35" s="13">
        <f>IF(SUM(L35:N35)=0,ROW()-34,RANK(R35,$R$35:$R$38))</f>
        <v>1</v>
      </c>
      <c r="T35" s="13">
        <f>SUMPRODUCT(($R$35:$R$38=R35)*(Q35&lt;$Q$35:$Q$38))</f>
        <v>0</v>
      </c>
      <c r="U35" s="13">
        <f>S35+T35</f>
        <v>1</v>
      </c>
      <c r="V35" s="24">
        <f>RANK(U35,$U$35:$U$38,1)+COUNTIF($U$35:U35,U35)-1</f>
        <v>1</v>
      </c>
      <c r="W35" s="14">
        <f>R35*100+(O35-P35)*10+O35-ROW(K35)*0.01</f>
        <v>967.65</v>
      </c>
      <c r="X35" s="12">
        <f>RANK(W35,$W$35:$W$38,0)</f>
        <v>1</v>
      </c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>
      <c r="A36" s="6">
        <v>2</v>
      </c>
      <c r="B36" s="24" t="str">
        <f>INDEX(K$35:K$39,MATCH($A36,$X$35:$X$39,0))</f>
        <v>Suiza</v>
      </c>
      <c r="C36" s="24">
        <f t="shared" ref="C36:I38" si="9">INDEX(L$35:L$39,MATCH($A36,$X$35:$X$39,0))</f>
        <v>1</v>
      </c>
      <c r="D36" s="24">
        <f t="shared" si="9"/>
        <v>1</v>
      </c>
      <c r="E36" s="24">
        <f t="shared" si="9"/>
        <v>1</v>
      </c>
      <c r="F36" s="24">
        <f t="shared" si="9"/>
        <v>4</v>
      </c>
      <c r="G36" s="24">
        <f t="shared" si="9"/>
        <v>5</v>
      </c>
      <c r="H36" s="24">
        <f t="shared" si="9"/>
        <v>-1</v>
      </c>
      <c r="I36" s="24">
        <f t="shared" si="9"/>
        <v>4</v>
      </c>
      <c r="K36" s="13" t="str">
        <f>equipos!$G3</f>
        <v>Suiza</v>
      </c>
      <c r="L36" s="13">
        <f>'tabla posiciones auxiliar'!N32</f>
        <v>1</v>
      </c>
      <c r="M36" s="13">
        <f>'tabla posiciones auxiliar'!P32</f>
        <v>1</v>
      </c>
      <c r="N36" s="13">
        <f>'tabla posiciones auxiliar'!O32</f>
        <v>1</v>
      </c>
      <c r="O36" s="13">
        <f>'tabla posiciones auxiliar'!Q32</f>
        <v>4</v>
      </c>
      <c r="P36" s="13">
        <f>'tabla posiciones auxiliar'!R32</f>
        <v>5</v>
      </c>
      <c r="Q36" s="13">
        <f>O36-P36</f>
        <v>-1</v>
      </c>
      <c r="R36" s="13">
        <f>L36*3+M36</f>
        <v>4</v>
      </c>
      <c r="S36" s="13">
        <f>IF(SUM(L36:N36)=0,ROW()-34,RANK(R36,$R$35:$R$38))</f>
        <v>2</v>
      </c>
      <c r="T36" s="13">
        <f>SUMPRODUCT(($R$35:$R$38=R36)*(Q36&lt;$Q$35:$Q$38))</f>
        <v>0</v>
      </c>
      <c r="U36" s="13">
        <f>S36+T36</f>
        <v>2</v>
      </c>
      <c r="V36" s="24">
        <f>RANK(U36,$U$35:$U$38,1)+COUNTIF($U$35:U36,U36)-1</f>
        <v>2</v>
      </c>
      <c r="W36" s="14">
        <f>R36*100+(O36-P36)*10+O36-ROW(K36)*0.01</f>
        <v>393.64</v>
      </c>
      <c r="X36" s="12">
        <f>RANK(W36,$W$35:$W$38,0)</f>
        <v>2</v>
      </c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>
      <c r="A37" s="6">
        <v>3</v>
      </c>
      <c r="B37" s="24" t="str">
        <f>INDEX(K$35:K$39,MATCH($A37,$X$35:$X$39,0))</f>
        <v>Costa Rica</v>
      </c>
      <c r="C37" s="24">
        <f t="shared" si="9"/>
        <v>0</v>
      </c>
      <c r="D37" s="24">
        <f t="shared" si="9"/>
        <v>2</v>
      </c>
      <c r="E37" s="24">
        <f t="shared" si="9"/>
        <v>1</v>
      </c>
      <c r="F37" s="24">
        <f t="shared" si="9"/>
        <v>2</v>
      </c>
      <c r="G37" s="24">
        <f t="shared" si="9"/>
        <v>4</v>
      </c>
      <c r="H37" s="24">
        <f t="shared" si="9"/>
        <v>-2</v>
      </c>
      <c r="I37" s="24">
        <f t="shared" si="9"/>
        <v>2</v>
      </c>
      <c r="K37" s="13" t="str">
        <f>equipos!$G4</f>
        <v>Costa Rica</v>
      </c>
      <c r="L37" s="13">
        <f>'tabla posiciones auxiliar'!N33</f>
        <v>0</v>
      </c>
      <c r="M37" s="13">
        <f>'tabla posiciones auxiliar'!P33</f>
        <v>2</v>
      </c>
      <c r="N37" s="13">
        <f>'tabla posiciones auxiliar'!O33</f>
        <v>1</v>
      </c>
      <c r="O37" s="13">
        <f>'tabla posiciones auxiliar'!Q33</f>
        <v>2</v>
      </c>
      <c r="P37" s="13">
        <f>'tabla posiciones auxiliar'!R33</f>
        <v>4</v>
      </c>
      <c r="Q37" s="13">
        <f>O37-P37</f>
        <v>-2</v>
      </c>
      <c r="R37" s="13">
        <f>L37*3+M37</f>
        <v>2</v>
      </c>
      <c r="S37" s="13">
        <f>IF(SUM(L37:N37)=0,ROW()-34,RANK(R37,$R$35:$R$38))</f>
        <v>3</v>
      </c>
      <c r="T37" s="13">
        <f>SUMPRODUCT(($R$35:$R$38=R37)*(Q37&lt;$Q$35:$Q$38))</f>
        <v>0</v>
      </c>
      <c r="U37" s="13">
        <f>S37+T37</f>
        <v>3</v>
      </c>
      <c r="V37" s="24">
        <f>RANK(U37,$U$35:$U$38,1)+COUNTIF($U$35:U37,U37)-1</f>
        <v>3</v>
      </c>
      <c r="W37" s="14">
        <f>R37*100+(O37-P37)*10+O37-ROW(K37)*0.01</f>
        <v>181.63</v>
      </c>
      <c r="X37" s="12">
        <f>RANK(W37,$W$35:$W$38,0)</f>
        <v>3</v>
      </c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>
      <c r="A38" s="6">
        <v>4</v>
      </c>
      <c r="B38" s="24" t="str">
        <f>INDEX(K$35:K$39,MATCH($A38,$X$35:$X$39,0))</f>
        <v>Serbia</v>
      </c>
      <c r="C38" s="24">
        <f t="shared" si="9"/>
        <v>0</v>
      </c>
      <c r="D38" s="24">
        <f t="shared" si="9"/>
        <v>1</v>
      </c>
      <c r="E38" s="24">
        <f t="shared" si="9"/>
        <v>2</v>
      </c>
      <c r="F38" s="24">
        <f t="shared" si="9"/>
        <v>3</v>
      </c>
      <c r="G38" s="24">
        <f t="shared" si="9"/>
        <v>6</v>
      </c>
      <c r="H38" s="24">
        <f t="shared" si="9"/>
        <v>-3</v>
      </c>
      <c r="I38" s="24">
        <f t="shared" si="9"/>
        <v>1</v>
      </c>
      <c r="K38" s="13" t="str">
        <f>equipos!$G5</f>
        <v>Serbia</v>
      </c>
      <c r="L38" s="13">
        <f>'tabla posiciones auxiliar'!N34</f>
        <v>0</v>
      </c>
      <c r="M38" s="13">
        <f>'tabla posiciones auxiliar'!P34</f>
        <v>1</v>
      </c>
      <c r="N38" s="13">
        <f>'tabla posiciones auxiliar'!O34</f>
        <v>2</v>
      </c>
      <c r="O38" s="13">
        <f>'tabla posiciones auxiliar'!Q34</f>
        <v>3</v>
      </c>
      <c r="P38" s="13">
        <f>'tabla posiciones auxiliar'!R34</f>
        <v>6</v>
      </c>
      <c r="Q38" s="13">
        <f>O38-P38</f>
        <v>-3</v>
      </c>
      <c r="R38" s="13">
        <f>L38*3+M38</f>
        <v>1</v>
      </c>
      <c r="S38" s="13">
        <f>IF(SUM(L38:N38)=0,ROW()-34,RANK(R38,$R$35:$R$38))</f>
        <v>4</v>
      </c>
      <c r="T38" s="13">
        <f>SUMPRODUCT(($R$35:$R$38=R38)*(Q38&lt;$Q$35:$Q$38))</f>
        <v>0</v>
      </c>
      <c r="U38" s="13">
        <f>S38+T38</f>
        <v>4</v>
      </c>
      <c r="V38" s="24">
        <f>RANK(U38,$U$35:$U$38,1)+COUNTIF($U$35:U38,U38)-1</f>
        <v>4</v>
      </c>
      <c r="W38" s="14">
        <f>R38*100+(O38-P38)*10+O38-ROW(K38)*0.01</f>
        <v>72.62</v>
      </c>
      <c r="X38" s="12">
        <f>RANK(W38,$W$35:$W$38,0)</f>
        <v>4</v>
      </c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>
      <c r="X39" s="7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>
      <c r="K40" s="162" t="s">
        <v>13</v>
      </c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X40" s="7"/>
      <c r="Y40" s="8"/>
      <c r="Z40" s="8"/>
      <c r="AA40" s="8"/>
      <c r="AB40" s="8"/>
      <c r="AC40" s="8"/>
      <c r="AD40" s="8"/>
      <c r="AE40" s="8"/>
      <c r="AF40" s="8"/>
      <c r="AG40" s="8"/>
    </row>
    <row r="41" spans="1:33">
      <c r="A41" s="6" t="s">
        <v>34</v>
      </c>
      <c r="B41" s="25" t="s">
        <v>35</v>
      </c>
      <c r="C41" s="25" t="s">
        <v>36</v>
      </c>
      <c r="D41" s="25" t="s">
        <v>37</v>
      </c>
      <c r="E41" s="25" t="s">
        <v>22</v>
      </c>
      <c r="F41" s="25" t="s">
        <v>38</v>
      </c>
      <c r="G41" s="25" t="s">
        <v>39</v>
      </c>
      <c r="H41" s="25" t="s">
        <v>40</v>
      </c>
      <c r="I41" s="25" t="s">
        <v>41</v>
      </c>
      <c r="K41" s="6" t="s">
        <v>35</v>
      </c>
      <c r="L41" s="6" t="s">
        <v>36</v>
      </c>
      <c r="M41" s="6" t="s">
        <v>37</v>
      </c>
      <c r="N41" s="6" t="s">
        <v>22</v>
      </c>
      <c r="O41" s="6" t="s">
        <v>38</v>
      </c>
      <c r="P41" s="6" t="s">
        <v>39</v>
      </c>
      <c r="Q41" s="6" t="s">
        <v>40</v>
      </c>
      <c r="R41" s="6" t="s">
        <v>41</v>
      </c>
      <c r="S41" s="6" t="s">
        <v>42</v>
      </c>
      <c r="T41" s="6" t="s">
        <v>43</v>
      </c>
      <c r="U41" s="6" t="s">
        <v>44</v>
      </c>
      <c r="V41" s="6" t="s">
        <v>45</v>
      </c>
      <c r="W41" s="9" t="s">
        <v>46</v>
      </c>
      <c r="X41" s="7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>
      <c r="A42" s="6">
        <v>1</v>
      </c>
      <c r="B42" s="24" t="str">
        <f>INDEX(K$42:K$46,MATCH($A42,$X$42:$X$46,0))</f>
        <v>Alemania</v>
      </c>
      <c r="C42" s="24">
        <f t="shared" ref="C42:I42" si="10">INDEX(L$42:L$46,MATCH($A42,$X$42:$X$46,0))</f>
        <v>3</v>
      </c>
      <c r="D42" s="24">
        <f t="shared" si="10"/>
        <v>0</v>
      </c>
      <c r="E42" s="24">
        <f t="shared" si="10"/>
        <v>0</v>
      </c>
      <c r="F42" s="24">
        <f t="shared" si="10"/>
        <v>8</v>
      </c>
      <c r="G42" s="24">
        <f t="shared" si="10"/>
        <v>3</v>
      </c>
      <c r="H42" s="24">
        <f t="shared" si="10"/>
        <v>5</v>
      </c>
      <c r="I42" s="24">
        <f t="shared" si="10"/>
        <v>9</v>
      </c>
      <c r="K42" s="13" t="str">
        <f>equipos!$G7</f>
        <v>Alemania</v>
      </c>
      <c r="L42" s="13">
        <f>'tabla posiciones auxiliar'!N38</f>
        <v>3</v>
      </c>
      <c r="M42" s="13">
        <f>'tabla posiciones auxiliar'!P38</f>
        <v>0</v>
      </c>
      <c r="N42" s="13">
        <f>'tabla posiciones auxiliar'!O38</f>
        <v>0</v>
      </c>
      <c r="O42" s="13">
        <f>'tabla posiciones auxiliar'!Q38</f>
        <v>8</v>
      </c>
      <c r="P42" s="13">
        <f>'tabla posiciones auxiliar'!R38</f>
        <v>3</v>
      </c>
      <c r="Q42" s="13">
        <f>O42-P42</f>
        <v>5</v>
      </c>
      <c r="R42" s="13">
        <f>L42*3+M42</f>
        <v>9</v>
      </c>
      <c r="S42" s="13">
        <f>IF(SUM(L42:N42)=0,ROW()-41,RANK(R42,$R$42:$R$45))</f>
        <v>1</v>
      </c>
      <c r="T42" s="13">
        <f>SUMPRODUCT(($R$42:$R$45=R42)*(Q42&lt;$Q$42:$Q$45))</f>
        <v>0</v>
      </c>
      <c r="U42" s="13">
        <f>S42+T42</f>
        <v>1</v>
      </c>
      <c r="V42" s="24">
        <f>RANK(U42,$U$42:$U$45,1)+COUNTIF($U$42:U42,U42)-1</f>
        <v>1</v>
      </c>
      <c r="W42" s="14">
        <f>R42*100+(O42-P42)*10+O42-ROW(K42)*0.01</f>
        <v>957.58</v>
      </c>
      <c r="X42" s="12">
        <f>RANK(W42,$W$42:$W$45,0)</f>
        <v>1</v>
      </c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>
      <c r="A43" s="6">
        <v>2</v>
      </c>
      <c r="B43" s="24" t="str">
        <f>INDEX(K$42:K$46,MATCH($A43,$X$42:$X$46,0))</f>
        <v>México</v>
      </c>
      <c r="C43" s="24">
        <f t="shared" ref="C43:I45" si="11">INDEX(L$42:L$46,MATCH($A43,$X$42:$X$46,0))</f>
        <v>1</v>
      </c>
      <c r="D43" s="24">
        <f t="shared" si="11"/>
        <v>1</v>
      </c>
      <c r="E43" s="24">
        <f t="shared" si="11"/>
        <v>1</v>
      </c>
      <c r="F43" s="24">
        <f t="shared" si="11"/>
        <v>5</v>
      </c>
      <c r="G43" s="24">
        <f t="shared" si="11"/>
        <v>6</v>
      </c>
      <c r="H43" s="24">
        <f t="shared" si="11"/>
        <v>-1</v>
      </c>
      <c r="I43" s="24">
        <f t="shared" si="11"/>
        <v>4</v>
      </c>
      <c r="K43" s="13" t="str">
        <f>equipos!$G8</f>
        <v>México</v>
      </c>
      <c r="L43" s="13">
        <f>'tabla posiciones auxiliar'!N39</f>
        <v>1</v>
      </c>
      <c r="M43" s="13">
        <f>'tabla posiciones auxiliar'!P39</f>
        <v>1</v>
      </c>
      <c r="N43" s="13">
        <f>'tabla posiciones auxiliar'!O39</f>
        <v>1</v>
      </c>
      <c r="O43" s="13">
        <f>'tabla posiciones auxiliar'!Q39</f>
        <v>5</v>
      </c>
      <c r="P43" s="13">
        <f>'tabla posiciones auxiliar'!R39</f>
        <v>6</v>
      </c>
      <c r="Q43" s="13">
        <f>O43-P43</f>
        <v>-1</v>
      </c>
      <c r="R43" s="13">
        <f>L43*3+M43</f>
        <v>4</v>
      </c>
      <c r="S43" s="13">
        <f>IF(SUM(L43:N43)=0,ROW()-41,RANK(R43,$R$42:$R$45))</f>
        <v>2</v>
      </c>
      <c r="T43" s="13">
        <f>SUMPRODUCT(($R$42:$R$45=R43)*(Q43&lt;$Q$42:$Q$45))</f>
        <v>0</v>
      </c>
      <c r="U43" s="13">
        <f>S43+T43</f>
        <v>2</v>
      </c>
      <c r="V43" s="24">
        <f>RANK(U43,$U$42:$U$45,1)+COUNTIF($U$42:U43,U43)-1</f>
        <v>2</v>
      </c>
      <c r="W43" s="14">
        <f>R43*100+(O43-P43)*10+O43-ROW(K43)*0.01</f>
        <v>394.57</v>
      </c>
      <c r="X43" s="12">
        <f>RANK(W43,$W$42:$W$45,0)</f>
        <v>2</v>
      </c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>
      <c r="A44" s="6">
        <v>3</v>
      </c>
      <c r="B44" s="24" t="str">
        <f>INDEX(K$42:K$46,MATCH($A44,$X$42:$X$46,0))</f>
        <v>Suecia</v>
      </c>
      <c r="C44" s="24">
        <f t="shared" si="11"/>
        <v>0</v>
      </c>
      <c r="D44" s="24">
        <f t="shared" si="11"/>
        <v>2</v>
      </c>
      <c r="E44" s="24">
        <f t="shared" si="11"/>
        <v>1</v>
      </c>
      <c r="F44" s="24">
        <f t="shared" si="11"/>
        <v>4</v>
      </c>
      <c r="G44" s="24">
        <f t="shared" si="11"/>
        <v>5</v>
      </c>
      <c r="H44" s="24">
        <f t="shared" si="11"/>
        <v>-1</v>
      </c>
      <c r="I44" s="24">
        <f t="shared" si="11"/>
        <v>2</v>
      </c>
      <c r="K44" s="13" t="str">
        <f>equipos!$G9</f>
        <v>Suecia</v>
      </c>
      <c r="L44" s="13">
        <f>'tabla posiciones auxiliar'!N40</f>
        <v>0</v>
      </c>
      <c r="M44" s="13">
        <f>'tabla posiciones auxiliar'!P40</f>
        <v>2</v>
      </c>
      <c r="N44" s="13">
        <f>'tabla posiciones auxiliar'!O40</f>
        <v>1</v>
      </c>
      <c r="O44" s="13">
        <f>'tabla posiciones auxiliar'!Q40</f>
        <v>4</v>
      </c>
      <c r="P44" s="13">
        <f>'tabla posiciones auxiliar'!R40</f>
        <v>5</v>
      </c>
      <c r="Q44" s="13">
        <f>O44-P44</f>
        <v>-1</v>
      </c>
      <c r="R44" s="13">
        <f>L44*3+M44</f>
        <v>2</v>
      </c>
      <c r="S44" s="13">
        <f>IF(SUM(L44:N44)=0,ROW()-41,RANK(R44,$R$42:$R$45))</f>
        <v>3</v>
      </c>
      <c r="T44" s="13">
        <f>SUMPRODUCT(($R$42:$R$45=R44)*(Q44&lt;$Q$42:$Q$45))</f>
        <v>0</v>
      </c>
      <c r="U44" s="13">
        <f>S44+T44</f>
        <v>3</v>
      </c>
      <c r="V44" s="24">
        <f>RANK(U44,$U$42:$U$45,1)+COUNTIF($U$42:U44,U44)-1</f>
        <v>3</v>
      </c>
      <c r="W44" s="14">
        <f>R44*100+(O44-P44)*10+O44-ROW(K44)*0.01</f>
        <v>193.56</v>
      </c>
      <c r="X44" s="12">
        <f>RANK(W44,$W$42:$W$45,0)</f>
        <v>3</v>
      </c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>
      <c r="A45" s="6">
        <v>4</v>
      </c>
      <c r="B45" s="24" t="str">
        <f>INDEX(K$42:K$46,MATCH($A45,$X$42:$X$46,0))</f>
        <v>Corea</v>
      </c>
      <c r="C45" s="24">
        <f t="shared" si="11"/>
        <v>0</v>
      </c>
      <c r="D45" s="24">
        <f t="shared" si="11"/>
        <v>1</v>
      </c>
      <c r="E45" s="24">
        <f t="shared" si="11"/>
        <v>2</v>
      </c>
      <c r="F45" s="24">
        <f t="shared" si="11"/>
        <v>3</v>
      </c>
      <c r="G45" s="24">
        <f t="shared" si="11"/>
        <v>6</v>
      </c>
      <c r="H45" s="24">
        <f t="shared" si="11"/>
        <v>-3</v>
      </c>
      <c r="I45" s="24">
        <f t="shared" si="11"/>
        <v>1</v>
      </c>
      <c r="K45" s="13" t="str">
        <f>equipos!$G10</f>
        <v>Corea</v>
      </c>
      <c r="L45" s="13">
        <f>'tabla posiciones auxiliar'!N41</f>
        <v>0</v>
      </c>
      <c r="M45" s="13">
        <f>'tabla posiciones auxiliar'!P41</f>
        <v>1</v>
      </c>
      <c r="N45" s="13">
        <f>'tabla posiciones auxiliar'!O41</f>
        <v>2</v>
      </c>
      <c r="O45" s="13">
        <f>'tabla posiciones auxiliar'!Q41</f>
        <v>3</v>
      </c>
      <c r="P45" s="13">
        <f>'tabla posiciones auxiliar'!R41</f>
        <v>6</v>
      </c>
      <c r="Q45" s="13">
        <f>O45-P45</f>
        <v>-3</v>
      </c>
      <c r="R45" s="13">
        <f>L45*3+M45</f>
        <v>1</v>
      </c>
      <c r="S45" s="13">
        <f>IF(SUM(L45:N45)=0,ROW()-41,RANK(R45,$R$42:$R$45))</f>
        <v>4</v>
      </c>
      <c r="T45" s="13">
        <f>SUMPRODUCT(($R$42:$R$45=R45)*(Q45&lt;$Q$42:$Q$45))</f>
        <v>0</v>
      </c>
      <c r="U45" s="13">
        <f>S45+T45</f>
        <v>4</v>
      </c>
      <c r="V45" s="24">
        <f>RANK(U45,$U$42:$U$45,1)+COUNTIF($U$42:U45,U45)-1</f>
        <v>4</v>
      </c>
      <c r="W45" s="14">
        <f>R45*100+(O45-P45)*10+O45-ROW(K45)*0.01</f>
        <v>72.55</v>
      </c>
      <c r="X45" s="12">
        <f>RANK(W45,$W$42:$W$45,0)</f>
        <v>4</v>
      </c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>
      <c r="X46" s="7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>
      <c r="K47" s="162" t="s">
        <v>14</v>
      </c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X47" s="7"/>
      <c r="Y47" s="8"/>
      <c r="Z47" s="8"/>
      <c r="AA47" s="8"/>
      <c r="AB47" s="8"/>
      <c r="AC47" s="8"/>
      <c r="AD47" s="8"/>
      <c r="AE47" s="8"/>
      <c r="AF47" s="8"/>
      <c r="AG47" s="8"/>
    </row>
    <row r="48" spans="1:33">
      <c r="A48" s="6" t="s">
        <v>34</v>
      </c>
      <c r="B48" s="25" t="s">
        <v>35</v>
      </c>
      <c r="C48" s="25" t="s">
        <v>36</v>
      </c>
      <c r="D48" s="25" t="s">
        <v>37</v>
      </c>
      <c r="E48" s="25" t="s">
        <v>22</v>
      </c>
      <c r="F48" s="25" t="s">
        <v>38</v>
      </c>
      <c r="G48" s="25" t="s">
        <v>39</v>
      </c>
      <c r="H48" s="25" t="s">
        <v>40</v>
      </c>
      <c r="I48" s="25" t="s">
        <v>41</v>
      </c>
      <c r="K48" s="6" t="s">
        <v>35</v>
      </c>
      <c r="L48" s="6" t="s">
        <v>36</v>
      </c>
      <c r="M48" s="6" t="s">
        <v>37</v>
      </c>
      <c r="N48" s="6" t="s">
        <v>22</v>
      </c>
      <c r="O48" s="6" t="s">
        <v>38</v>
      </c>
      <c r="P48" s="6" t="s">
        <v>39</v>
      </c>
      <c r="Q48" s="6" t="s">
        <v>40</v>
      </c>
      <c r="R48" s="6" t="s">
        <v>41</v>
      </c>
      <c r="S48" s="6" t="s">
        <v>42</v>
      </c>
      <c r="T48" s="6" t="s">
        <v>43</v>
      </c>
      <c r="U48" s="6" t="s">
        <v>44</v>
      </c>
      <c r="V48" s="6" t="s">
        <v>45</v>
      </c>
      <c r="W48" s="9" t="s">
        <v>46</v>
      </c>
      <c r="X48" s="7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>
      <c r="A49" s="6">
        <v>1</v>
      </c>
      <c r="B49" s="24" t="str">
        <f>INDEX(K$49:K$53,MATCH($A49,$X$49:$X$53,0))</f>
        <v>Inglaterra</v>
      </c>
      <c r="C49" s="24">
        <f t="shared" ref="C49:I49" si="12">INDEX(L$49:L$53,MATCH($A49,$X$49:$X$53,0))</f>
        <v>3</v>
      </c>
      <c r="D49" s="24">
        <f t="shared" si="12"/>
        <v>0</v>
      </c>
      <c r="E49" s="24">
        <f t="shared" si="12"/>
        <v>0</v>
      </c>
      <c r="F49" s="24">
        <f t="shared" si="12"/>
        <v>8</v>
      </c>
      <c r="G49" s="24">
        <f t="shared" si="12"/>
        <v>3</v>
      </c>
      <c r="H49" s="24">
        <f t="shared" si="12"/>
        <v>5</v>
      </c>
      <c r="I49" s="24">
        <f t="shared" si="12"/>
        <v>9</v>
      </c>
      <c r="K49" s="13" t="str">
        <f>equipos!$G12</f>
        <v>Bélgica</v>
      </c>
      <c r="L49" s="13">
        <f>'tabla posiciones auxiliar'!N45</f>
        <v>1</v>
      </c>
      <c r="M49" s="13">
        <f>'tabla posiciones auxiliar'!P45</f>
        <v>1</v>
      </c>
      <c r="N49" s="13">
        <f>'tabla posiciones auxiliar'!O45</f>
        <v>1</v>
      </c>
      <c r="O49" s="13">
        <f>'tabla posiciones auxiliar'!Q45</f>
        <v>6</v>
      </c>
      <c r="P49" s="13">
        <f>'tabla posiciones auxiliar'!R45</f>
        <v>6</v>
      </c>
      <c r="Q49" s="13">
        <f>O49-P49</f>
        <v>0</v>
      </c>
      <c r="R49" s="13">
        <f>L49*3+M49</f>
        <v>4</v>
      </c>
      <c r="S49" s="13">
        <f>IF(SUM(L49:N49)=0,ROW()-48,RANK(R49,$R$49:$R$52))</f>
        <v>2</v>
      </c>
      <c r="T49" s="13">
        <f>SUMPRODUCT(($R$49:$R$52=R49)*(Q49&lt;$Q$49:$Q$52))</f>
        <v>0</v>
      </c>
      <c r="U49" s="13">
        <f>S49+T49</f>
        <v>2</v>
      </c>
      <c r="V49" s="24">
        <f>RANK(U49,$U$49:$U$52,1)+COUNTIF($U$49:U49,U49)-1</f>
        <v>2</v>
      </c>
      <c r="W49" s="14">
        <f>R49*100+(O49-P49)*10+O49-ROW(K49)*0.01</f>
        <v>405.51</v>
      </c>
      <c r="X49" s="12">
        <f>RANK(W49,$W$49:$W$52,0)</f>
        <v>2</v>
      </c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>
      <c r="A50" s="6">
        <v>2</v>
      </c>
      <c r="B50" s="24" t="str">
        <f>INDEX(K$49:K$53,MATCH($A50,$X$49:$X$53,0))</f>
        <v>Bélgica</v>
      </c>
      <c r="C50" s="24">
        <f t="shared" ref="C50:I52" si="13">INDEX(L$49:L$53,MATCH($A50,$X$49:$X$53,0))</f>
        <v>1</v>
      </c>
      <c r="D50" s="24">
        <f t="shared" si="13"/>
        <v>1</v>
      </c>
      <c r="E50" s="24">
        <f t="shared" si="13"/>
        <v>1</v>
      </c>
      <c r="F50" s="24">
        <f t="shared" si="13"/>
        <v>6</v>
      </c>
      <c r="G50" s="24">
        <f t="shared" si="13"/>
        <v>6</v>
      </c>
      <c r="H50" s="24">
        <f t="shared" si="13"/>
        <v>0</v>
      </c>
      <c r="I50" s="24">
        <f t="shared" si="13"/>
        <v>4</v>
      </c>
      <c r="K50" s="13" t="str">
        <f>equipos!$G13</f>
        <v>Panamá</v>
      </c>
      <c r="L50" s="13">
        <f>'tabla posiciones auxiliar'!N46</f>
        <v>0</v>
      </c>
      <c r="M50" s="13">
        <f>'tabla posiciones auxiliar'!P46</f>
        <v>1</v>
      </c>
      <c r="N50" s="13">
        <f>'tabla posiciones auxiliar'!O46</f>
        <v>2</v>
      </c>
      <c r="O50" s="13">
        <f>'tabla posiciones auxiliar'!Q46</f>
        <v>2</v>
      </c>
      <c r="P50" s="13">
        <f>'tabla posiciones auxiliar'!R46</f>
        <v>5</v>
      </c>
      <c r="Q50" s="13">
        <f>O50-P50</f>
        <v>-3</v>
      </c>
      <c r="R50" s="13">
        <f>L50*3+M50</f>
        <v>1</v>
      </c>
      <c r="S50" s="13">
        <f>IF(SUM(L50:N50)=0,ROW()-48,RANK(R50,$R$49:$R$52))</f>
        <v>4</v>
      </c>
      <c r="T50" s="13">
        <f>SUMPRODUCT(($R$49:$R$52=R50)*(Q50&lt;$Q$49:$Q$52))</f>
        <v>0</v>
      </c>
      <c r="U50" s="13">
        <f>S50+T50</f>
        <v>4</v>
      </c>
      <c r="V50" s="24">
        <f>RANK(U50,$U$49:$U$52,1)+COUNTIF($U$49:U50,U50)-1</f>
        <v>4</v>
      </c>
      <c r="W50" s="14">
        <f>R50*100+(O50-P50)*10+O50-ROW(K50)*0.01</f>
        <v>71.5</v>
      </c>
      <c r="X50" s="12">
        <f>RANK(W50,$W$49:$W$52,0)</f>
        <v>4</v>
      </c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>
      <c r="A51" s="6">
        <v>3</v>
      </c>
      <c r="B51" s="24" t="str">
        <f>INDEX(K$49:K$53,MATCH($A51,$X$49:$X$53,0))</f>
        <v>Túnez</v>
      </c>
      <c r="C51" s="24">
        <f t="shared" si="13"/>
        <v>0</v>
      </c>
      <c r="D51" s="24">
        <f t="shared" si="13"/>
        <v>2</v>
      </c>
      <c r="E51" s="24">
        <f t="shared" si="13"/>
        <v>1</v>
      </c>
      <c r="F51" s="24">
        <f t="shared" si="13"/>
        <v>4</v>
      </c>
      <c r="G51" s="24">
        <f t="shared" si="13"/>
        <v>6</v>
      </c>
      <c r="H51" s="24">
        <f t="shared" si="13"/>
        <v>-2</v>
      </c>
      <c r="I51" s="24">
        <f t="shared" si="13"/>
        <v>2</v>
      </c>
      <c r="K51" s="13" t="str">
        <f>equipos!$G14</f>
        <v>Túnez</v>
      </c>
      <c r="L51" s="13">
        <f>'tabla posiciones auxiliar'!N47</f>
        <v>0</v>
      </c>
      <c r="M51" s="13">
        <f>'tabla posiciones auxiliar'!P47</f>
        <v>2</v>
      </c>
      <c r="N51" s="13">
        <f>'tabla posiciones auxiliar'!O47</f>
        <v>1</v>
      </c>
      <c r="O51" s="13">
        <f>'tabla posiciones auxiliar'!Q47</f>
        <v>4</v>
      </c>
      <c r="P51" s="13">
        <f>'tabla posiciones auxiliar'!R47</f>
        <v>6</v>
      </c>
      <c r="Q51" s="13">
        <f>O51-P51</f>
        <v>-2</v>
      </c>
      <c r="R51" s="13">
        <f>L51*3+M51</f>
        <v>2</v>
      </c>
      <c r="S51" s="13">
        <f>IF(SUM(L51:N51)=0,ROW()-48,RANK(R51,$R$49:$R$52))</f>
        <v>3</v>
      </c>
      <c r="T51" s="13">
        <f>SUMPRODUCT(($R$49:$R$52=R51)*(Q51&lt;$Q$49:$Q$52))</f>
        <v>0</v>
      </c>
      <c r="U51" s="13">
        <f>S51+T51</f>
        <v>3</v>
      </c>
      <c r="V51" s="24">
        <f>RANK(U51,$U$49:$U$52,1)+COUNTIF($U$49:U51,U51)-1</f>
        <v>3</v>
      </c>
      <c r="W51" s="14">
        <f>R51*100+(O51-P51)*10+O51-ROW(K51)*0.01</f>
        <v>183.49</v>
      </c>
      <c r="X51" s="12">
        <f>RANK(W51,$W$49:$W$52,0)</f>
        <v>3</v>
      </c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>
      <c r="A52" s="6">
        <v>4</v>
      </c>
      <c r="B52" s="24" t="str">
        <f>INDEX(K$49:K$53,MATCH($A52,$X$49:$X$53,0))</f>
        <v>Panamá</v>
      </c>
      <c r="C52" s="24">
        <f t="shared" si="13"/>
        <v>0</v>
      </c>
      <c r="D52" s="24">
        <f t="shared" si="13"/>
        <v>1</v>
      </c>
      <c r="E52" s="24">
        <f t="shared" si="13"/>
        <v>2</v>
      </c>
      <c r="F52" s="24">
        <f t="shared" si="13"/>
        <v>2</v>
      </c>
      <c r="G52" s="24">
        <f t="shared" si="13"/>
        <v>5</v>
      </c>
      <c r="H52" s="24">
        <f t="shared" si="13"/>
        <v>-3</v>
      </c>
      <c r="I52" s="24">
        <f t="shared" si="13"/>
        <v>1</v>
      </c>
      <c r="K52" s="13" t="str">
        <f>equipos!$G15</f>
        <v>Inglaterra</v>
      </c>
      <c r="L52" s="13">
        <f>'tabla posiciones auxiliar'!N48</f>
        <v>3</v>
      </c>
      <c r="M52" s="13">
        <f>'tabla posiciones auxiliar'!P48</f>
        <v>0</v>
      </c>
      <c r="N52" s="13">
        <f>'tabla posiciones auxiliar'!O48</f>
        <v>0</v>
      </c>
      <c r="O52" s="13">
        <f>'tabla posiciones auxiliar'!Q48</f>
        <v>8</v>
      </c>
      <c r="P52" s="13">
        <f>'tabla posiciones auxiliar'!R48</f>
        <v>3</v>
      </c>
      <c r="Q52" s="13">
        <f>O52-P52</f>
        <v>5</v>
      </c>
      <c r="R52" s="13">
        <f>L52*3+M52</f>
        <v>9</v>
      </c>
      <c r="S52" s="13">
        <f>IF(SUM(L52:N52)=0,ROW()-48,RANK(R52,$R$49:$R$52))</f>
        <v>1</v>
      </c>
      <c r="T52" s="13">
        <f>SUMPRODUCT(($R$49:$R$52=R52)*(Q52&lt;$Q$49:$Q$52))</f>
        <v>0</v>
      </c>
      <c r="U52" s="13">
        <f>S52+T52</f>
        <v>1</v>
      </c>
      <c r="V52" s="24">
        <f>RANK(U52,$U$49:$U$52,1)+COUNTIF($U$49:U52,U52)-1</f>
        <v>1</v>
      </c>
      <c r="W52" s="14">
        <f>R52*100+(O52-P52)*10+O52-ROW(K52)*0.01</f>
        <v>957.48</v>
      </c>
      <c r="X52" s="12">
        <f>RANK(W52,$W$49:$W$52,0)</f>
        <v>1</v>
      </c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>
      <c r="X53" s="7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>
      <c r="K54" s="162" t="s">
        <v>15</v>
      </c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X54" s="7"/>
      <c r="Y54" s="8"/>
      <c r="Z54" s="8"/>
      <c r="AA54" s="8"/>
      <c r="AB54" s="8"/>
      <c r="AC54" s="8"/>
      <c r="AD54" s="8"/>
      <c r="AE54" s="8"/>
      <c r="AF54" s="8"/>
      <c r="AG54" s="8"/>
    </row>
    <row r="55" spans="1:33">
      <c r="A55" s="6" t="s">
        <v>34</v>
      </c>
      <c r="B55" s="25" t="s">
        <v>35</v>
      </c>
      <c r="C55" s="25" t="s">
        <v>36</v>
      </c>
      <c r="D55" s="25" t="s">
        <v>37</v>
      </c>
      <c r="E55" s="25" t="s">
        <v>22</v>
      </c>
      <c r="F55" s="25" t="s">
        <v>38</v>
      </c>
      <c r="G55" s="25" t="s">
        <v>39</v>
      </c>
      <c r="H55" s="25" t="s">
        <v>40</v>
      </c>
      <c r="I55" s="25" t="s">
        <v>41</v>
      </c>
      <c r="K55" s="6" t="s">
        <v>35</v>
      </c>
      <c r="L55" s="6" t="s">
        <v>36</v>
      </c>
      <c r="M55" s="6" t="s">
        <v>37</v>
      </c>
      <c r="N55" s="6" t="s">
        <v>22</v>
      </c>
      <c r="O55" s="6" t="s">
        <v>38</v>
      </c>
      <c r="P55" s="6" t="s">
        <v>39</v>
      </c>
      <c r="Q55" s="6" t="s">
        <v>40</v>
      </c>
      <c r="R55" s="6" t="s">
        <v>41</v>
      </c>
      <c r="S55" s="6" t="s">
        <v>42</v>
      </c>
      <c r="T55" s="6" t="s">
        <v>43</v>
      </c>
      <c r="U55" s="6" t="s">
        <v>44</v>
      </c>
      <c r="V55" s="6" t="s">
        <v>45</v>
      </c>
      <c r="W55" s="9" t="s">
        <v>46</v>
      </c>
      <c r="X55" s="7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>
      <c r="A56" s="6">
        <v>1</v>
      </c>
      <c r="B56" s="24" t="str">
        <f>INDEX(K$56:K$60,MATCH($A56,$X$56:$X$60,0))</f>
        <v>Colombia</v>
      </c>
      <c r="C56" s="24">
        <f t="shared" ref="C56:I56" si="14">INDEX(L$56:L$60,MATCH($A56,$X$56:$X$60,0))</f>
        <v>3</v>
      </c>
      <c r="D56" s="24">
        <f t="shared" si="14"/>
        <v>0</v>
      </c>
      <c r="E56" s="24">
        <f t="shared" si="14"/>
        <v>0</v>
      </c>
      <c r="F56" s="24">
        <f t="shared" si="14"/>
        <v>8</v>
      </c>
      <c r="G56" s="24">
        <f t="shared" si="14"/>
        <v>5</v>
      </c>
      <c r="H56" s="24">
        <f t="shared" si="14"/>
        <v>3</v>
      </c>
      <c r="I56" s="24">
        <f t="shared" si="14"/>
        <v>9</v>
      </c>
      <c r="K56" s="13" t="str">
        <f>equipos!$G17</f>
        <v>Polonia</v>
      </c>
      <c r="L56" s="13">
        <f>'tabla posiciones auxiliar'!N52</f>
        <v>2</v>
      </c>
      <c r="M56" s="13">
        <f>'tabla posiciones auxiliar'!P52</f>
        <v>0</v>
      </c>
      <c r="N56" s="13">
        <f>'tabla posiciones auxiliar'!O52</f>
        <v>1</v>
      </c>
      <c r="O56" s="13">
        <f>'tabla posiciones auxiliar'!Q52</f>
        <v>6</v>
      </c>
      <c r="P56" s="13">
        <f>'tabla posiciones auxiliar'!R52</f>
        <v>4</v>
      </c>
      <c r="Q56" s="13">
        <f>O56-P56</f>
        <v>2</v>
      </c>
      <c r="R56" s="13">
        <f>L56*3+M56</f>
        <v>6</v>
      </c>
      <c r="S56" s="13">
        <f>IF(SUM(L56:N56)=0,ROW()-55,RANK(R56,$R$56:$R$59))</f>
        <v>2</v>
      </c>
      <c r="T56" s="13">
        <f>SUMPRODUCT(($R$56:$R$59=R56)*(Q56&lt;$Q$56:$Q$59))</f>
        <v>0</v>
      </c>
      <c r="U56" s="13">
        <f>S56+T56</f>
        <v>2</v>
      </c>
      <c r="V56" s="24">
        <f>RANK(U56,$U$56:$U$59,1)+COUNTIF($U$56:U56,U56)-1</f>
        <v>2</v>
      </c>
      <c r="W56" s="14">
        <f>R56*100+(O56-P56)*10+O56-ROW(K56)*0.01</f>
        <v>625.44000000000005</v>
      </c>
      <c r="X56" s="12">
        <f>RANK(W56,$W$56:$W$59,0)</f>
        <v>2</v>
      </c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>
      <c r="A57" s="6">
        <v>2</v>
      </c>
      <c r="B57" s="24" t="str">
        <f>INDEX(K$56:K$60,MATCH($A57,$X$56:$X$60,0))</f>
        <v>Polonia</v>
      </c>
      <c r="C57" s="24">
        <f t="shared" ref="C57:I59" si="15">INDEX(L$56:L$60,MATCH($A57,$X$56:$X$60,0))</f>
        <v>2</v>
      </c>
      <c r="D57" s="24">
        <f t="shared" si="15"/>
        <v>0</v>
      </c>
      <c r="E57" s="24">
        <f t="shared" si="15"/>
        <v>1</v>
      </c>
      <c r="F57" s="24">
        <f t="shared" si="15"/>
        <v>6</v>
      </c>
      <c r="G57" s="24">
        <f t="shared" si="15"/>
        <v>4</v>
      </c>
      <c r="H57" s="24">
        <f t="shared" si="15"/>
        <v>2</v>
      </c>
      <c r="I57" s="24">
        <f t="shared" si="15"/>
        <v>6</v>
      </c>
      <c r="K57" s="13" t="str">
        <f>equipos!$G18</f>
        <v>Senegal</v>
      </c>
      <c r="L57" s="13">
        <f>'tabla posiciones auxiliar'!N53</f>
        <v>0</v>
      </c>
      <c r="M57" s="13">
        <f>'tabla posiciones auxiliar'!P53</f>
        <v>1</v>
      </c>
      <c r="N57" s="13">
        <f>'tabla posiciones auxiliar'!O53</f>
        <v>2</v>
      </c>
      <c r="O57" s="13">
        <f>'tabla posiciones auxiliar'!Q53</f>
        <v>5</v>
      </c>
      <c r="P57" s="13">
        <f>'tabla posiciones auxiliar'!R53</f>
        <v>7</v>
      </c>
      <c r="Q57" s="13">
        <f>O57-P57</f>
        <v>-2</v>
      </c>
      <c r="R57" s="13">
        <f>L57*3+M57</f>
        <v>1</v>
      </c>
      <c r="S57" s="13">
        <f>IF(SUM(L57:N57)=0,ROW()-55,RANK(R57,$R$56:$R$59))</f>
        <v>3</v>
      </c>
      <c r="T57" s="13">
        <f>SUMPRODUCT(($R$56:$R$59=R57)*(Q57&lt;$Q$56:$Q$59))</f>
        <v>0</v>
      </c>
      <c r="U57" s="13">
        <f>S57+T57</f>
        <v>3</v>
      </c>
      <c r="V57" s="24">
        <f>RANK(U57,$U$56:$U$59,1)+COUNTIF($U$56:U57,U57)-1</f>
        <v>3</v>
      </c>
      <c r="W57" s="14">
        <f>R57*100+(O57-P57)*10+O57-ROW(K57)*0.01</f>
        <v>84.43</v>
      </c>
      <c r="X57" s="12">
        <f>RANK(W57,$W$56:$W$59,0)</f>
        <v>3</v>
      </c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>
      <c r="A58" s="6">
        <v>3</v>
      </c>
      <c r="B58" s="24" t="str">
        <f>INDEX(K$56:K$60,MATCH($A58,$X$56:$X$60,0))</f>
        <v>Senegal</v>
      </c>
      <c r="C58" s="24">
        <f t="shared" si="15"/>
        <v>0</v>
      </c>
      <c r="D58" s="24">
        <f t="shared" si="15"/>
        <v>1</v>
      </c>
      <c r="E58" s="24">
        <f t="shared" si="15"/>
        <v>2</v>
      </c>
      <c r="F58" s="24">
        <f t="shared" si="15"/>
        <v>5</v>
      </c>
      <c r="G58" s="24">
        <f t="shared" si="15"/>
        <v>7</v>
      </c>
      <c r="H58" s="24">
        <f t="shared" si="15"/>
        <v>-2</v>
      </c>
      <c r="I58" s="24">
        <f t="shared" si="15"/>
        <v>1</v>
      </c>
      <c r="K58" s="13" t="str">
        <f>equipos!$G19</f>
        <v>Colombia</v>
      </c>
      <c r="L58" s="13">
        <f>'tabla posiciones auxiliar'!N54</f>
        <v>3</v>
      </c>
      <c r="M58" s="13">
        <f>'tabla posiciones auxiliar'!P54</f>
        <v>0</v>
      </c>
      <c r="N58" s="13">
        <f>'tabla posiciones auxiliar'!O54</f>
        <v>0</v>
      </c>
      <c r="O58" s="13">
        <f>'tabla posiciones auxiliar'!Q54</f>
        <v>8</v>
      </c>
      <c r="P58" s="13">
        <f>'tabla posiciones auxiliar'!R54</f>
        <v>5</v>
      </c>
      <c r="Q58" s="13">
        <f>O58-P58</f>
        <v>3</v>
      </c>
      <c r="R58" s="13">
        <f>L58*3+M58</f>
        <v>9</v>
      </c>
      <c r="S58" s="13">
        <f>IF(SUM(L58:N58)=0,ROW()-55,RANK(R58,$R$56:$R$59))</f>
        <v>1</v>
      </c>
      <c r="T58" s="13">
        <f>SUMPRODUCT(($R$56:$R$59=R58)*(Q58&lt;$Q$56:$Q$59))</f>
        <v>0</v>
      </c>
      <c r="U58" s="13">
        <f>S58+T58</f>
        <v>1</v>
      </c>
      <c r="V58" s="24">
        <f>RANK(U58,$U$56:$U$59,1)+COUNTIF($U$56:U58,U58)-1</f>
        <v>1</v>
      </c>
      <c r="W58" s="14">
        <f>R58*100+(O58-P58)*10+O58-ROW(K58)*0.01</f>
        <v>937.42</v>
      </c>
      <c r="X58" s="12">
        <f>RANK(W58,$W$56:$W$59,0)</f>
        <v>1</v>
      </c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>
      <c r="A59" s="6">
        <v>4</v>
      </c>
      <c r="B59" s="24" t="str">
        <f>INDEX(K$56:K$60,MATCH($A59,$X$56:$X$60,0))</f>
        <v>Japón</v>
      </c>
      <c r="C59" s="24">
        <f t="shared" si="15"/>
        <v>0</v>
      </c>
      <c r="D59" s="24">
        <f t="shared" si="15"/>
        <v>1</v>
      </c>
      <c r="E59" s="24">
        <f t="shared" si="15"/>
        <v>2</v>
      </c>
      <c r="F59" s="24">
        <f t="shared" si="15"/>
        <v>5</v>
      </c>
      <c r="G59" s="24">
        <f t="shared" si="15"/>
        <v>8</v>
      </c>
      <c r="H59" s="24">
        <f t="shared" si="15"/>
        <v>-3</v>
      </c>
      <c r="I59" s="24">
        <f t="shared" si="15"/>
        <v>1</v>
      </c>
      <c r="K59" s="13" t="str">
        <f>equipos!$G20</f>
        <v>Japón</v>
      </c>
      <c r="L59" s="13">
        <f>'tabla posiciones auxiliar'!N55</f>
        <v>0</v>
      </c>
      <c r="M59" s="13">
        <f>'tabla posiciones auxiliar'!P55</f>
        <v>1</v>
      </c>
      <c r="N59" s="13">
        <f>'tabla posiciones auxiliar'!O55</f>
        <v>2</v>
      </c>
      <c r="O59" s="13">
        <f>'tabla posiciones auxiliar'!Q55</f>
        <v>5</v>
      </c>
      <c r="P59" s="13">
        <f>'tabla posiciones auxiliar'!R55</f>
        <v>8</v>
      </c>
      <c r="Q59" s="13">
        <f>O59-P59</f>
        <v>-3</v>
      </c>
      <c r="R59" s="13">
        <f>L59*3+M59</f>
        <v>1</v>
      </c>
      <c r="S59" s="13">
        <f>IF(SUM(L59:N59)=0,ROW()-55,RANK(R59,$R$56:$R$59))</f>
        <v>3</v>
      </c>
      <c r="T59" s="13">
        <f>SUMPRODUCT(($R$56:$R$59=R59)*(Q59&lt;$Q$56:$Q$59))</f>
        <v>1</v>
      </c>
      <c r="U59" s="13">
        <f>S59+T59</f>
        <v>4</v>
      </c>
      <c r="V59" s="24">
        <f>RANK(U59,$U$56:$U$59,1)+COUNTIF($U$56:U59,U59)-1</f>
        <v>4</v>
      </c>
      <c r="W59" s="14">
        <f>R59*100+(O59-P59)*10+O59-ROW(K59)*0.01</f>
        <v>74.41</v>
      </c>
      <c r="X59" s="12">
        <f>RANK(W59,$W$56:$W$59,0)</f>
        <v>4</v>
      </c>
      <c r="Y59" s="15"/>
      <c r="Z59" s="15"/>
      <c r="AA59" s="15"/>
      <c r="AB59" s="15"/>
      <c r="AC59" s="15"/>
      <c r="AD59" s="15"/>
      <c r="AE59" s="15"/>
      <c r="AF59" s="15"/>
      <c r="AG59" s="15"/>
    </row>
  </sheetData>
  <mergeCells count="9">
    <mergeCell ref="K40:V40"/>
    <mergeCell ref="K47:V47"/>
    <mergeCell ref="K54:V54"/>
    <mergeCell ref="A4:I4"/>
    <mergeCell ref="K5:V5"/>
    <mergeCell ref="K12:V12"/>
    <mergeCell ref="K19:V19"/>
    <mergeCell ref="K26:V26"/>
    <mergeCell ref="K33:V3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C2:L20"/>
  <sheetViews>
    <sheetView workbookViewId="0">
      <selection activeCell="H4" sqref="H4:I51"/>
    </sheetView>
  </sheetViews>
  <sheetFormatPr baseColWidth="10" defaultRowHeight="12.75"/>
  <cols>
    <col min="1" max="1" width="17.28515625" customWidth="1"/>
    <col min="3" max="3" width="5.42578125" customWidth="1"/>
    <col min="6" max="6" width="5.140625" customWidth="1"/>
    <col min="9" max="9" width="15.42578125" customWidth="1"/>
    <col min="10" max="10" width="14.140625" customWidth="1"/>
    <col min="11" max="11" width="14.42578125" customWidth="1"/>
    <col min="12" max="12" width="9.85546875" customWidth="1"/>
  </cols>
  <sheetData>
    <row r="2" spans="3:12">
      <c r="C2" s="17" t="s">
        <v>48</v>
      </c>
      <c r="D2" s="17" t="s">
        <v>145</v>
      </c>
      <c r="F2" s="17" t="s">
        <v>49</v>
      </c>
      <c r="G2" s="17" t="s">
        <v>69</v>
      </c>
    </row>
    <row r="3" spans="3:12">
      <c r="C3" s="17" t="s">
        <v>52</v>
      </c>
      <c r="D3" t="s">
        <v>147</v>
      </c>
      <c r="F3" s="17" t="s">
        <v>54</v>
      </c>
      <c r="G3" t="s">
        <v>86</v>
      </c>
    </row>
    <row r="4" spans="3:12">
      <c r="C4" s="17" t="s">
        <v>56</v>
      </c>
      <c r="D4" t="s">
        <v>148</v>
      </c>
      <c r="F4" s="17" t="s">
        <v>58</v>
      </c>
      <c r="G4" t="s">
        <v>141</v>
      </c>
      <c r="I4" s="17" t="s">
        <v>60</v>
      </c>
      <c r="J4" s="17" t="s">
        <v>61</v>
      </c>
      <c r="K4" s="17" t="s">
        <v>62</v>
      </c>
      <c r="L4" s="17" t="s">
        <v>63</v>
      </c>
    </row>
    <row r="5" spans="3:12">
      <c r="C5" s="17" t="s">
        <v>64</v>
      </c>
      <c r="D5" t="s">
        <v>57</v>
      </c>
      <c r="F5" s="17" t="s">
        <v>66</v>
      </c>
      <c r="G5" t="s">
        <v>154</v>
      </c>
      <c r="I5" s="17" t="s">
        <v>69</v>
      </c>
      <c r="J5" s="17" t="s">
        <v>138</v>
      </c>
      <c r="K5" s="17" t="s">
        <v>68</v>
      </c>
      <c r="L5" s="17" t="s">
        <v>143</v>
      </c>
    </row>
    <row r="6" spans="3:12">
      <c r="C6" s="17"/>
      <c r="F6" s="17"/>
      <c r="I6" s="17" t="s">
        <v>7</v>
      </c>
      <c r="J6" s="17" t="s">
        <v>67</v>
      </c>
      <c r="K6" s="17" t="s">
        <v>140</v>
      </c>
      <c r="L6" s="17" t="s">
        <v>144</v>
      </c>
    </row>
    <row r="7" spans="3:12">
      <c r="C7" s="17" t="s">
        <v>71</v>
      </c>
      <c r="D7" s="17" t="s">
        <v>75</v>
      </c>
      <c r="F7" s="17" t="s">
        <v>72</v>
      </c>
      <c r="G7" s="17" t="s">
        <v>47</v>
      </c>
      <c r="I7" s="17" t="s">
        <v>111</v>
      </c>
      <c r="J7" s="17" t="s">
        <v>139</v>
      </c>
      <c r="K7" s="17" t="s">
        <v>59</v>
      </c>
      <c r="L7" s="17" t="s">
        <v>70</v>
      </c>
    </row>
    <row r="8" spans="3:12">
      <c r="C8" s="17" t="s">
        <v>76</v>
      </c>
      <c r="D8" t="s">
        <v>74</v>
      </c>
      <c r="F8" s="17" t="s">
        <v>77</v>
      </c>
      <c r="G8" t="s">
        <v>155</v>
      </c>
      <c r="I8" s="17" t="s">
        <v>57</v>
      </c>
      <c r="J8" s="17" t="s">
        <v>78</v>
      </c>
      <c r="K8" s="17" t="s">
        <v>9</v>
      </c>
      <c r="L8" s="17" t="s">
        <v>65</v>
      </c>
    </row>
    <row r="9" spans="3:12">
      <c r="C9" s="17" t="s">
        <v>79</v>
      </c>
      <c r="D9" t="s">
        <v>149</v>
      </c>
      <c r="F9" s="17" t="s">
        <v>80</v>
      </c>
      <c r="G9" s="18" t="s">
        <v>156</v>
      </c>
      <c r="I9" s="17" t="s">
        <v>137</v>
      </c>
      <c r="J9" s="17" t="s">
        <v>8</v>
      </c>
      <c r="K9" s="17" t="s">
        <v>141</v>
      </c>
      <c r="L9" s="17" t="s">
        <v>10</v>
      </c>
    </row>
    <row r="10" spans="3:12">
      <c r="C10" s="17" t="s">
        <v>81</v>
      </c>
      <c r="D10" t="s">
        <v>150</v>
      </c>
      <c r="F10" s="17" t="s">
        <v>82</v>
      </c>
      <c r="G10" t="s">
        <v>157</v>
      </c>
      <c r="I10" s="17" t="s">
        <v>47</v>
      </c>
      <c r="J10" s="17" t="s">
        <v>83</v>
      </c>
      <c r="K10" s="17" t="s">
        <v>51</v>
      </c>
      <c r="L10" s="17" t="s">
        <v>73</v>
      </c>
    </row>
    <row r="11" spans="3:12">
      <c r="C11" s="17"/>
      <c r="F11" s="17"/>
      <c r="I11" s="17" t="s">
        <v>74</v>
      </c>
      <c r="J11" s="17" t="s">
        <v>112</v>
      </c>
      <c r="K11" s="17" t="s">
        <v>53</v>
      </c>
      <c r="L11" s="17" t="s">
        <v>50</v>
      </c>
    </row>
    <row r="12" spans="3:12">
      <c r="C12" s="17" t="s">
        <v>84</v>
      </c>
      <c r="D12" s="17" t="s">
        <v>65</v>
      </c>
      <c r="F12" s="17" t="s">
        <v>85</v>
      </c>
      <c r="G12" s="17" t="s">
        <v>158</v>
      </c>
      <c r="I12" s="17" t="s">
        <v>86</v>
      </c>
      <c r="J12" s="17"/>
      <c r="K12" s="17" t="s">
        <v>142</v>
      </c>
      <c r="L12" s="17" t="s">
        <v>75</v>
      </c>
    </row>
    <row r="13" spans="3:12">
      <c r="C13" s="17" t="s">
        <v>87</v>
      </c>
      <c r="D13" t="s">
        <v>68</v>
      </c>
      <c r="F13" s="17" t="s">
        <v>88</v>
      </c>
      <c r="G13" s="18" t="s">
        <v>159</v>
      </c>
      <c r="L13" s="17" t="s">
        <v>145</v>
      </c>
    </row>
    <row r="14" spans="3:12">
      <c r="C14" s="17" t="s">
        <v>89</v>
      </c>
      <c r="D14" t="s">
        <v>151</v>
      </c>
      <c r="F14" s="17" t="s">
        <v>90</v>
      </c>
      <c r="G14" t="s">
        <v>160</v>
      </c>
    </row>
    <row r="15" spans="3:12">
      <c r="C15" s="17" t="s">
        <v>91</v>
      </c>
      <c r="D15" t="s">
        <v>152</v>
      </c>
      <c r="F15" s="17" t="s">
        <v>92</v>
      </c>
      <c r="G15" t="s">
        <v>70</v>
      </c>
    </row>
    <row r="16" spans="3:12">
      <c r="C16" s="17"/>
      <c r="F16" s="17"/>
    </row>
    <row r="17" spans="3:7">
      <c r="C17" s="17" t="s">
        <v>93</v>
      </c>
      <c r="D17" s="17" t="s">
        <v>7</v>
      </c>
      <c r="F17" s="17" t="s">
        <v>94</v>
      </c>
      <c r="G17" s="17" t="s">
        <v>161</v>
      </c>
    </row>
    <row r="18" spans="3:7">
      <c r="C18" s="17" t="s">
        <v>95</v>
      </c>
      <c r="D18" t="s">
        <v>153</v>
      </c>
      <c r="F18" s="17" t="s">
        <v>96</v>
      </c>
      <c r="G18" t="s">
        <v>162</v>
      </c>
    </row>
    <row r="19" spans="3:7">
      <c r="C19" s="17" t="s">
        <v>97</v>
      </c>
      <c r="D19" t="s">
        <v>144</v>
      </c>
      <c r="F19" s="17" t="s">
        <v>98</v>
      </c>
      <c r="G19" t="s">
        <v>111</v>
      </c>
    </row>
    <row r="20" spans="3:7">
      <c r="C20" s="17" t="s">
        <v>99</v>
      </c>
      <c r="D20" t="s">
        <v>8</v>
      </c>
      <c r="F20" s="17" t="s">
        <v>100</v>
      </c>
      <c r="G20" t="s">
        <v>163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R57"/>
  <sheetViews>
    <sheetView workbookViewId="0">
      <selection activeCell="H4" sqref="H4:I51"/>
    </sheetView>
  </sheetViews>
  <sheetFormatPr baseColWidth="10" defaultRowHeight="12.75"/>
  <cols>
    <col min="4" max="4" width="18.7109375" customWidth="1"/>
    <col min="5" max="5" width="3.7109375" customWidth="1"/>
    <col min="6" max="6" width="14.5703125" customWidth="1"/>
    <col min="7" max="7" width="4" customWidth="1"/>
  </cols>
  <sheetData>
    <row r="1" spans="1:18">
      <c r="A1" s="164" t="s">
        <v>101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8">
      <c r="A2" s="19" t="s">
        <v>102</v>
      </c>
      <c r="B2" s="19" t="s">
        <v>103</v>
      </c>
      <c r="C2" s="19" t="s">
        <v>104</v>
      </c>
      <c r="D2" s="164" t="s">
        <v>1</v>
      </c>
      <c r="E2" s="164"/>
      <c r="F2" s="164"/>
      <c r="G2" s="164"/>
      <c r="H2" s="19" t="s">
        <v>104</v>
      </c>
      <c r="I2" s="19" t="s">
        <v>103</v>
      </c>
      <c r="J2" s="19" t="s">
        <v>102</v>
      </c>
      <c r="M2" s="26" t="s">
        <v>4</v>
      </c>
      <c r="N2" s="26" t="s">
        <v>122</v>
      </c>
      <c r="O2" s="26" t="s">
        <v>123</v>
      </c>
      <c r="P2" s="26" t="s">
        <v>124</v>
      </c>
      <c r="Q2" s="26" t="s">
        <v>38</v>
      </c>
      <c r="R2" s="26" t="s">
        <v>39</v>
      </c>
    </row>
    <row r="3" spans="1:18">
      <c r="A3" s="20">
        <f>IF(ISBLANK('GRUPO A'!$G17),0,IF(ISBLANK('GRUPO A'!$I17),0,1))</f>
        <v>1</v>
      </c>
      <c r="B3" s="20">
        <f>IF(E3&lt;G3,1,0)</f>
        <v>0</v>
      </c>
      <c r="C3" s="20">
        <f>IF(E3&gt;G3,1,0)</f>
        <v>1</v>
      </c>
      <c r="D3" s="20" t="str">
        <f>equipos!$D$2</f>
        <v>Rusia</v>
      </c>
      <c r="E3" s="20">
        <f>'GRUPO A'!G17</f>
        <v>3</v>
      </c>
      <c r="F3" s="20" t="str">
        <f>equipos!$D$3</f>
        <v>Arabia Saudí</v>
      </c>
      <c r="G3" s="20">
        <f>'GRUPO A'!I17</f>
        <v>1</v>
      </c>
      <c r="H3" s="20">
        <f>IF(G3&gt;E3,1,0)</f>
        <v>0</v>
      </c>
      <c r="I3" s="20">
        <f>IF(G3&lt;E3,1,0)</f>
        <v>1</v>
      </c>
      <c r="J3" s="20">
        <f>IF(ISBLANK('GRUPO A'!$G17),0,IF(ISBLANK('GRUPO A'!$I17),0,1))</f>
        <v>1</v>
      </c>
      <c r="L3" s="20" t="str">
        <f>equipos!D2</f>
        <v>Rusia</v>
      </c>
      <c r="M3">
        <f>A3+A5+J7</f>
        <v>3</v>
      </c>
      <c r="N3">
        <f>C3+C5+H7</f>
        <v>2</v>
      </c>
      <c r="O3">
        <f>B3+B5+I7</f>
        <v>0</v>
      </c>
      <c r="P3">
        <f>M3-(N3+O3)</f>
        <v>1</v>
      </c>
      <c r="Q3">
        <f>E3+E5+G7</f>
        <v>7</v>
      </c>
      <c r="R3">
        <f>G3+G5+E7</f>
        <v>4</v>
      </c>
    </row>
    <row r="4" spans="1:18">
      <c r="A4" s="20">
        <f>IF(ISBLANK('GRUPO A'!$G18),0,IF(ISBLANK('GRUPO A'!$I18),0,1))</f>
        <v>1</v>
      </c>
      <c r="B4" s="20">
        <f t="shared" ref="B4:B57" si="0">IF(E4&lt;G4,1,0)</f>
        <v>1</v>
      </c>
      <c r="C4" s="20">
        <f t="shared" ref="C4:C57" si="1">IF(E4&gt;G4,1,0)</f>
        <v>0</v>
      </c>
      <c r="D4" s="20" t="str">
        <f>equipos!$D$4</f>
        <v>Egipto</v>
      </c>
      <c r="E4" s="20">
        <f>'GRUPO A'!G18</f>
        <v>1</v>
      </c>
      <c r="F4" s="20" t="str">
        <f>equipos!$D$5</f>
        <v>Uruguay</v>
      </c>
      <c r="G4" s="20">
        <f>'GRUPO A'!I18</f>
        <v>2</v>
      </c>
      <c r="H4" s="20">
        <f t="shared" ref="H4:H57" si="2">IF(G4&gt;E4,1,0)</f>
        <v>1</v>
      </c>
      <c r="I4" s="20">
        <f t="shared" ref="I4:I57" si="3">IF(G4&lt;E4,1,0)</f>
        <v>0</v>
      </c>
      <c r="J4" s="20">
        <f>IF(ISBLANK('GRUPO A'!$G18),0,IF(ISBLANK('GRUPO A'!$I18),0,1))</f>
        <v>1</v>
      </c>
      <c r="L4" s="20" t="str">
        <f>equipos!D3</f>
        <v>Arabia Saudí</v>
      </c>
      <c r="M4">
        <f>J3+J6+A8</f>
        <v>3</v>
      </c>
      <c r="N4">
        <f>H3+H6+C8</f>
        <v>0</v>
      </c>
      <c r="O4">
        <f>I3+I6+B8</f>
        <v>3</v>
      </c>
      <c r="P4">
        <f t="shared" ref="P4:P6" si="4">M4-(N4+O4)</f>
        <v>0</v>
      </c>
      <c r="Q4">
        <f>G3+G6+E8</f>
        <v>2</v>
      </c>
      <c r="R4">
        <f>E3+E6+G8</f>
        <v>8</v>
      </c>
    </row>
    <row r="5" spans="1:18">
      <c r="A5" s="20">
        <f>IF(ISBLANK('GRUPO A'!$G19),0,IF(ISBLANK('GRUPO A'!$I19),0,1))</f>
        <v>1</v>
      </c>
      <c r="B5" s="20">
        <f t="shared" si="0"/>
        <v>0</v>
      </c>
      <c r="C5" s="20">
        <f t="shared" si="1"/>
        <v>1</v>
      </c>
      <c r="D5" s="20" t="str">
        <f>equipos!$D$2</f>
        <v>Rusia</v>
      </c>
      <c r="E5" s="20">
        <f>'GRUPO A'!G19</f>
        <v>2</v>
      </c>
      <c r="F5" s="20" t="str">
        <f>equipos!$D$4</f>
        <v>Egipto</v>
      </c>
      <c r="G5" s="20">
        <f>'GRUPO A'!I19</f>
        <v>1</v>
      </c>
      <c r="H5" s="20">
        <f t="shared" si="2"/>
        <v>0</v>
      </c>
      <c r="I5" s="20">
        <f t="shared" si="3"/>
        <v>1</v>
      </c>
      <c r="J5" s="20">
        <f>IF(ISBLANK('GRUPO A'!$G19),0,IF(ISBLANK('GRUPO A'!$I19),0,1))</f>
        <v>1</v>
      </c>
      <c r="L5" s="20" t="str">
        <f>equipos!D4</f>
        <v>Egipto</v>
      </c>
      <c r="M5">
        <f>A4+J5+J8</f>
        <v>3</v>
      </c>
      <c r="N5">
        <f>C4+H5+H8</f>
        <v>1</v>
      </c>
      <c r="O5">
        <f>B4+I5+I8</f>
        <v>2</v>
      </c>
      <c r="P5">
        <f t="shared" si="4"/>
        <v>0</v>
      </c>
      <c r="Q5">
        <f>E4+G5+G8</f>
        <v>4</v>
      </c>
      <c r="R5">
        <f>G4+E5+E8</f>
        <v>5</v>
      </c>
    </row>
    <row r="6" spans="1:18">
      <c r="A6" s="20">
        <f>IF(ISBLANK('GRUPO A'!$G20),0,IF(ISBLANK('GRUPO A'!$I20),0,1))</f>
        <v>1</v>
      </c>
      <c r="B6" s="20">
        <f t="shared" si="0"/>
        <v>0</v>
      </c>
      <c r="C6" s="20">
        <f t="shared" si="1"/>
        <v>1</v>
      </c>
      <c r="D6" s="20" t="str">
        <f>equipos!$D$5</f>
        <v>Uruguay</v>
      </c>
      <c r="E6" s="20">
        <f>'GRUPO A'!G20</f>
        <v>3</v>
      </c>
      <c r="F6" s="20" t="str">
        <f>equipos!$D$3</f>
        <v>Arabia Saudí</v>
      </c>
      <c r="G6" s="20">
        <f>'GRUPO A'!I20</f>
        <v>0</v>
      </c>
      <c r="H6" s="20">
        <f t="shared" si="2"/>
        <v>0</v>
      </c>
      <c r="I6" s="20">
        <f t="shared" si="3"/>
        <v>1</v>
      </c>
      <c r="J6" s="20">
        <f>IF(ISBLANK('GRUPO A'!$G20),0,IF(ISBLANK('GRUPO A'!$I20),0,1))</f>
        <v>1</v>
      </c>
      <c r="L6" s="20" t="str">
        <f>equipos!D5</f>
        <v>Uruguay</v>
      </c>
      <c r="M6">
        <f>J4+A6+A7</f>
        <v>3</v>
      </c>
      <c r="N6">
        <f>H4+C6+C7</f>
        <v>2</v>
      </c>
      <c r="O6">
        <f>I4+B6+B7</f>
        <v>0</v>
      </c>
      <c r="P6">
        <f t="shared" si="4"/>
        <v>1</v>
      </c>
      <c r="Q6">
        <f>G4+E6+E7</f>
        <v>7</v>
      </c>
      <c r="R6">
        <f>E4+G6+G7</f>
        <v>3</v>
      </c>
    </row>
    <row r="7" spans="1:18">
      <c r="A7" s="20">
        <f>IF(ISBLANK('GRUPO A'!$G21),0,IF(ISBLANK('GRUPO A'!$I21),0,1))</f>
        <v>1</v>
      </c>
      <c r="B7" s="20">
        <f t="shared" si="0"/>
        <v>0</v>
      </c>
      <c r="C7" s="20">
        <f t="shared" si="1"/>
        <v>0</v>
      </c>
      <c r="D7" s="20" t="str">
        <f>equipos!$D$5</f>
        <v>Uruguay</v>
      </c>
      <c r="E7" s="20">
        <f>'GRUPO A'!G21</f>
        <v>2</v>
      </c>
      <c r="F7" s="20" t="str">
        <f>equipos!$D$2</f>
        <v>Rusia</v>
      </c>
      <c r="G7" s="20">
        <f>'GRUPO A'!I21</f>
        <v>2</v>
      </c>
      <c r="H7" s="20">
        <f t="shared" si="2"/>
        <v>0</v>
      </c>
      <c r="I7" s="20">
        <f t="shared" si="3"/>
        <v>0</v>
      </c>
      <c r="J7" s="20">
        <f>IF(ISBLANK('GRUPO A'!$G21),0,IF(ISBLANK('GRUPO A'!$I21),0,1))</f>
        <v>1</v>
      </c>
    </row>
    <row r="8" spans="1:18">
      <c r="A8" s="20">
        <f>IF(ISBLANK('GRUPO A'!$G22),0,IF(ISBLANK('GRUPO A'!$I22),0,1))</f>
        <v>1</v>
      </c>
      <c r="B8" s="20">
        <f t="shared" si="0"/>
        <v>1</v>
      </c>
      <c r="C8" s="20">
        <f t="shared" si="1"/>
        <v>0</v>
      </c>
      <c r="D8" s="20" t="str">
        <f>equipos!$D$3</f>
        <v>Arabia Saudí</v>
      </c>
      <c r="E8" s="20">
        <f>'GRUPO A'!G22</f>
        <v>1</v>
      </c>
      <c r="F8" s="20" t="str">
        <f>equipos!$D$4</f>
        <v>Egipto</v>
      </c>
      <c r="G8" s="20">
        <f>'GRUPO A'!I22</f>
        <v>2</v>
      </c>
      <c r="H8" s="20">
        <f t="shared" si="2"/>
        <v>1</v>
      </c>
      <c r="I8" s="20">
        <f t="shared" si="3"/>
        <v>0</v>
      </c>
      <c r="J8" s="20">
        <f>IF(ISBLANK('GRUPO A'!$G22),0,IF(ISBLANK('GRUPO A'!$I22),0,1))</f>
        <v>1</v>
      </c>
    </row>
    <row r="9" spans="1:18">
      <c r="A9" s="20"/>
      <c r="B9" s="20"/>
      <c r="C9" s="20"/>
      <c r="D9" s="164" t="s">
        <v>6</v>
      </c>
      <c r="E9" s="164"/>
      <c r="F9" s="164"/>
      <c r="G9" s="164"/>
      <c r="H9" s="20"/>
      <c r="I9" s="20"/>
      <c r="J9" s="20"/>
      <c r="M9" s="26" t="s">
        <v>4</v>
      </c>
      <c r="N9" s="26" t="s">
        <v>122</v>
      </c>
      <c r="O9" s="26" t="s">
        <v>123</v>
      </c>
      <c r="P9" s="26" t="s">
        <v>124</v>
      </c>
      <c r="Q9" s="26" t="s">
        <v>38</v>
      </c>
      <c r="R9" s="26" t="s">
        <v>39</v>
      </c>
    </row>
    <row r="10" spans="1:18">
      <c r="A10" s="20">
        <f>IF(ISBLANK('GRUPO B'!$G17),0,IF(ISBLANK('GRUPO B'!$I17),0,1))</f>
        <v>1</v>
      </c>
      <c r="B10" s="20">
        <f t="shared" si="0"/>
        <v>0</v>
      </c>
      <c r="C10" s="20">
        <f t="shared" si="1"/>
        <v>1</v>
      </c>
      <c r="D10" s="20" t="str">
        <f>equipos!$D$7</f>
        <v>Portugal</v>
      </c>
      <c r="E10" s="20">
        <f>'GRUPO B'!G17</f>
        <v>2</v>
      </c>
      <c r="F10" s="20" t="str">
        <f>equipos!$D$8</f>
        <v>España</v>
      </c>
      <c r="G10" s="20">
        <f>'GRUPO B'!I17</f>
        <v>1</v>
      </c>
      <c r="H10" s="20">
        <f t="shared" si="2"/>
        <v>0</v>
      </c>
      <c r="I10" s="20">
        <f t="shared" si="3"/>
        <v>1</v>
      </c>
      <c r="J10" s="20">
        <f>IF(ISBLANK('GRUPO B'!$G17),0,IF(ISBLANK('GRUPO B'!$I17),0,1))</f>
        <v>1</v>
      </c>
      <c r="L10" t="str">
        <f>equipos!D7</f>
        <v>Portugal</v>
      </c>
      <c r="M10">
        <f>A10+A12+J14</f>
        <v>3</v>
      </c>
      <c r="N10">
        <f>C10+C12+H14</f>
        <v>3</v>
      </c>
      <c r="O10">
        <f>B10+B12+I14</f>
        <v>0</v>
      </c>
      <c r="P10">
        <f>M10-(N10+O10)</f>
        <v>0</v>
      </c>
      <c r="Q10">
        <f>E10+E12+G14</f>
        <v>7</v>
      </c>
      <c r="R10">
        <f>G10+G12+E14</f>
        <v>2</v>
      </c>
    </row>
    <row r="11" spans="1:18">
      <c r="A11" s="20">
        <f>IF(ISBLANK('GRUPO B'!$G18),0,IF(ISBLANK('GRUPO B'!$I18),0,1))</f>
        <v>1</v>
      </c>
      <c r="B11" s="20">
        <f t="shared" si="0"/>
        <v>0</v>
      </c>
      <c r="C11" s="20">
        <f t="shared" si="1"/>
        <v>0</v>
      </c>
      <c r="D11" s="20" t="str">
        <f>equipos!$D$9</f>
        <v>Marruecos</v>
      </c>
      <c r="E11" s="20">
        <f>'GRUPO B'!G18</f>
        <v>2</v>
      </c>
      <c r="F11" s="20" t="str">
        <f>equipos!$D$10</f>
        <v>Irán</v>
      </c>
      <c r="G11" s="20">
        <f>'GRUPO B'!I18</f>
        <v>2</v>
      </c>
      <c r="H11" s="20">
        <f t="shared" si="2"/>
        <v>0</v>
      </c>
      <c r="I11" s="20">
        <f t="shared" si="3"/>
        <v>0</v>
      </c>
      <c r="J11" s="20">
        <f>IF(ISBLANK('GRUPO B'!$G18),0,IF(ISBLANK('GRUPO B'!$I18),0,1))</f>
        <v>1</v>
      </c>
      <c r="L11" t="str">
        <f>equipos!D8</f>
        <v>España</v>
      </c>
      <c r="M11">
        <f>J10+J13+A15</f>
        <v>3</v>
      </c>
      <c r="N11">
        <f>H10+H13+C15</f>
        <v>2</v>
      </c>
      <c r="O11">
        <f>I10+I13+B15</f>
        <v>1</v>
      </c>
      <c r="P11">
        <f t="shared" ref="P11:P13" si="5">M11-(N11+O11)</f>
        <v>0</v>
      </c>
      <c r="Q11">
        <f>G10+G13+E15</f>
        <v>6</v>
      </c>
      <c r="R11">
        <f>E10+E13+G15</f>
        <v>3</v>
      </c>
    </row>
    <row r="12" spans="1:18">
      <c r="A12" s="20">
        <f>IF(ISBLANK('GRUPO B'!$G19),0,IF(ISBLANK('GRUPO B'!$I19),0,1))</f>
        <v>1</v>
      </c>
      <c r="B12" s="20">
        <f t="shared" si="0"/>
        <v>0</v>
      </c>
      <c r="C12" s="20">
        <f t="shared" si="1"/>
        <v>1</v>
      </c>
      <c r="D12" s="20" t="str">
        <f>equipos!$D$7</f>
        <v>Portugal</v>
      </c>
      <c r="E12" s="20">
        <f>'GRUPO B'!G19</f>
        <v>2</v>
      </c>
      <c r="F12" s="20" t="str">
        <f>equipos!$D$9</f>
        <v>Marruecos</v>
      </c>
      <c r="G12" s="20">
        <f>'GRUPO B'!I19</f>
        <v>0</v>
      </c>
      <c r="H12" s="20">
        <f t="shared" si="2"/>
        <v>0</v>
      </c>
      <c r="I12" s="20">
        <f t="shared" si="3"/>
        <v>1</v>
      </c>
      <c r="J12" s="20">
        <f>IF(ISBLANK('GRUPO B'!$G19),0,IF(ISBLANK('GRUPO B'!$I19),0,1))</f>
        <v>1</v>
      </c>
      <c r="L12" t="str">
        <f>equipos!D9</f>
        <v>Marruecos</v>
      </c>
      <c r="M12">
        <f>A11+J12+J15</f>
        <v>3</v>
      </c>
      <c r="N12">
        <f>C11+H12+H15</f>
        <v>0</v>
      </c>
      <c r="O12">
        <f>B11+I12+I15</f>
        <v>2</v>
      </c>
      <c r="P12">
        <f t="shared" si="5"/>
        <v>1</v>
      </c>
      <c r="Q12">
        <f>E11+G12+G15</f>
        <v>2</v>
      </c>
      <c r="R12">
        <f>G11+E12+E15</f>
        <v>6</v>
      </c>
    </row>
    <row r="13" spans="1:18">
      <c r="A13" s="20">
        <f>IF(ISBLANK('GRUPO B'!$G20),0,IF(ISBLANK('GRUPO B'!$I20),0,1))</f>
        <v>1</v>
      </c>
      <c r="B13" s="20">
        <f t="shared" si="0"/>
        <v>1</v>
      </c>
      <c r="C13" s="20">
        <f t="shared" si="1"/>
        <v>0</v>
      </c>
      <c r="D13" s="20" t="str">
        <f>equipos!$D$10</f>
        <v>Irán</v>
      </c>
      <c r="E13" s="20">
        <f>'GRUPO B'!G20</f>
        <v>1</v>
      </c>
      <c r="F13" s="20" t="str">
        <f>equipos!$D$8</f>
        <v>España</v>
      </c>
      <c r="G13" s="20">
        <f>'GRUPO B'!I20</f>
        <v>3</v>
      </c>
      <c r="H13" s="20">
        <f t="shared" si="2"/>
        <v>1</v>
      </c>
      <c r="I13" s="20">
        <f t="shared" si="3"/>
        <v>0</v>
      </c>
      <c r="J13" s="20">
        <f>IF(ISBLANK('GRUPO B'!$G20),0,IF(ISBLANK('GRUPO B'!$I20),0,1))</f>
        <v>1</v>
      </c>
      <c r="L13" t="str">
        <f>equipos!D10</f>
        <v>Irán</v>
      </c>
      <c r="M13">
        <f>J11+A13+A14</f>
        <v>3</v>
      </c>
      <c r="N13">
        <f>H11+C13+C14</f>
        <v>0</v>
      </c>
      <c r="O13">
        <f>I11+B13+B14</f>
        <v>2</v>
      </c>
      <c r="P13">
        <f t="shared" si="5"/>
        <v>1</v>
      </c>
      <c r="Q13">
        <f>G11+E13+E14</f>
        <v>4</v>
      </c>
      <c r="R13">
        <f>E11+G13+G14</f>
        <v>8</v>
      </c>
    </row>
    <row r="14" spans="1:18">
      <c r="A14" s="20">
        <f>IF(ISBLANK('GRUPO B'!$G21),0,IF(ISBLANK('GRUPO B'!$I21),0,1))</f>
        <v>1</v>
      </c>
      <c r="B14" s="20">
        <f t="shared" si="0"/>
        <v>1</v>
      </c>
      <c r="C14" s="20">
        <f t="shared" si="1"/>
        <v>0</v>
      </c>
      <c r="D14" s="20" t="str">
        <f>equipos!$D$10</f>
        <v>Irán</v>
      </c>
      <c r="E14" s="20">
        <f>'GRUPO B'!G21</f>
        <v>1</v>
      </c>
      <c r="F14" s="20" t="str">
        <f>equipos!$D$7</f>
        <v>Portugal</v>
      </c>
      <c r="G14" s="20">
        <f>'GRUPO B'!I21</f>
        <v>3</v>
      </c>
      <c r="H14" s="20">
        <f t="shared" si="2"/>
        <v>1</v>
      </c>
      <c r="I14" s="20">
        <f t="shared" si="3"/>
        <v>0</v>
      </c>
      <c r="J14" s="20">
        <f>IF(ISBLANK('GRUPO B'!$G21),0,IF(ISBLANK('GRUPO B'!$I21),0,1))</f>
        <v>1</v>
      </c>
    </row>
    <row r="15" spans="1:18">
      <c r="A15" s="20">
        <f>IF(ISBLANK('GRUPO B'!$G22),0,IF(ISBLANK('GRUPO B'!$I22),0,1))</f>
        <v>1</v>
      </c>
      <c r="B15" s="20">
        <f t="shared" si="0"/>
        <v>0</v>
      </c>
      <c r="C15" s="20">
        <f t="shared" si="1"/>
        <v>1</v>
      </c>
      <c r="D15" s="20" t="str">
        <f>equipos!$D$8</f>
        <v>España</v>
      </c>
      <c r="E15" s="20">
        <f>'GRUPO B'!G22</f>
        <v>2</v>
      </c>
      <c r="F15" s="20" t="str">
        <f>equipos!$D$9</f>
        <v>Marruecos</v>
      </c>
      <c r="G15" s="20">
        <f>'GRUPO B'!I22</f>
        <v>0</v>
      </c>
      <c r="H15" s="20">
        <f t="shared" si="2"/>
        <v>0</v>
      </c>
      <c r="I15" s="20">
        <f t="shared" si="3"/>
        <v>1</v>
      </c>
      <c r="J15" s="20">
        <f>IF(ISBLANK('GRUPO B'!$G22),0,IF(ISBLANK('GRUPO B'!$I22),0,1))</f>
        <v>1</v>
      </c>
    </row>
    <row r="16" spans="1:18">
      <c r="A16" s="20"/>
      <c r="B16" s="20"/>
      <c r="C16" s="20"/>
      <c r="D16" s="164" t="s">
        <v>16</v>
      </c>
      <c r="E16" s="164"/>
      <c r="F16" s="164"/>
      <c r="G16" s="164"/>
      <c r="H16" s="20"/>
      <c r="I16" s="20"/>
      <c r="J16" s="20"/>
      <c r="M16" s="26" t="s">
        <v>4</v>
      </c>
      <c r="N16" s="26" t="s">
        <v>122</v>
      </c>
      <c r="O16" s="26" t="s">
        <v>123</v>
      </c>
      <c r="P16" s="26" t="s">
        <v>124</v>
      </c>
      <c r="Q16" s="26" t="s">
        <v>38</v>
      </c>
      <c r="R16" s="26" t="s">
        <v>39</v>
      </c>
    </row>
    <row r="17" spans="1:18">
      <c r="A17" s="20">
        <f>IF(ISBLANK('GRUPO C'!$G17),0,IF(ISBLANK('GRUPO C'!$I17),0,1))</f>
        <v>1</v>
      </c>
      <c r="B17" s="20">
        <f t="shared" si="0"/>
        <v>0</v>
      </c>
      <c r="C17" s="20">
        <f t="shared" si="1"/>
        <v>1</v>
      </c>
      <c r="D17" s="20" t="str">
        <f>equipos!$D$12</f>
        <v>Francia</v>
      </c>
      <c r="E17" s="20">
        <f>'GRUPO C'!G17</f>
        <v>3</v>
      </c>
      <c r="F17" s="20" t="str">
        <f>equipos!$D$13</f>
        <v>Australia</v>
      </c>
      <c r="G17" s="20">
        <f>'GRUPO C'!I17</f>
        <v>1</v>
      </c>
      <c r="H17" s="20">
        <f t="shared" si="2"/>
        <v>0</v>
      </c>
      <c r="I17" s="20">
        <f t="shared" si="3"/>
        <v>1</v>
      </c>
      <c r="J17" s="20">
        <f>IF(ISBLANK('GRUPO C'!$G17),0,IF(ISBLANK('GRUPO C'!$I17),0,1))</f>
        <v>1</v>
      </c>
      <c r="L17" s="20" t="str">
        <f>equipos!D12</f>
        <v>Francia</v>
      </c>
      <c r="M17">
        <f>A17+A19+J21</f>
        <v>3</v>
      </c>
      <c r="N17">
        <f>C17+C19+H21</f>
        <v>3</v>
      </c>
      <c r="O17">
        <f>B17+B19+I21</f>
        <v>0</v>
      </c>
      <c r="P17">
        <f>M17-(N17+O17)</f>
        <v>0</v>
      </c>
      <c r="Q17">
        <f>E17+E19+G21</f>
        <v>7</v>
      </c>
      <c r="R17">
        <f>G17+G19+E21</f>
        <v>2</v>
      </c>
    </row>
    <row r="18" spans="1:18">
      <c r="A18" s="20">
        <f>IF(ISBLANK('GRUPO C'!$G18),0,IF(ISBLANK('GRUPO C'!$I18),0,1))</f>
        <v>1</v>
      </c>
      <c r="B18" s="20">
        <f t="shared" si="0"/>
        <v>0</v>
      </c>
      <c r="C18" s="20">
        <f t="shared" si="1"/>
        <v>1</v>
      </c>
      <c r="D18" s="20" t="str">
        <f>equipos!$D$14</f>
        <v>Perú</v>
      </c>
      <c r="E18" s="20">
        <f>'GRUPO C'!G18</f>
        <v>2</v>
      </c>
      <c r="F18" s="20" t="str">
        <f>equipos!$D$15</f>
        <v>Dinamarca</v>
      </c>
      <c r="G18" s="20">
        <f>'GRUPO C'!I18</f>
        <v>0</v>
      </c>
      <c r="H18" s="20">
        <f t="shared" si="2"/>
        <v>0</v>
      </c>
      <c r="I18" s="20">
        <f t="shared" si="3"/>
        <v>1</v>
      </c>
      <c r="J18" s="20">
        <f>IF(ISBLANK('GRUPO C'!$G18),0,IF(ISBLANK('GRUPO C'!$I18),0,1))</f>
        <v>1</v>
      </c>
      <c r="L18" s="20" t="str">
        <f>equipos!D13</f>
        <v>Australia</v>
      </c>
      <c r="M18">
        <f>J17+J20+A22</f>
        <v>3</v>
      </c>
      <c r="N18">
        <f>H17+H20+C22</f>
        <v>1</v>
      </c>
      <c r="O18">
        <f>I17+I20+B22</f>
        <v>2</v>
      </c>
      <c r="P18">
        <f t="shared" ref="P18:P20" si="6">M18-(N18+O18)</f>
        <v>0</v>
      </c>
      <c r="Q18">
        <f>G17+G20+E22</f>
        <v>5</v>
      </c>
      <c r="R18">
        <f>E17+E20+G22</f>
        <v>8</v>
      </c>
    </row>
    <row r="19" spans="1:18">
      <c r="A19" s="20">
        <f>IF(ISBLANK('GRUPO C'!$G19),0,IF(ISBLANK('GRUPO C'!$I19),0,1))</f>
        <v>1</v>
      </c>
      <c r="B19" s="20">
        <f t="shared" si="0"/>
        <v>0</v>
      </c>
      <c r="C19" s="20">
        <f t="shared" si="1"/>
        <v>1</v>
      </c>
      <c r="D19" s="20" t="str">
        <f>equipos!$D$12</f>
        <v>Francia</v>
      </c>
      <c r="E19" s="20">
        <f>'GRUPO C'!G19</f>
        <v>2</v>
      </c>
      <c r="F19" s="20" t="str">
        <f>equipos!$D$14</f>
        <v>Perú</v>
      </c>
      <c r="G19" s="20">
        <f>'GRUPO C'!I19</f>
        <v>0</v>
      </c>
      <c r="H19" s="20">
        <f t="shared" si="2"/>
        <v>0</v>
      </c>
      <c r="I19" s="20">
        <f t="shared" si="3"/>
        <v>1</v>
      </c>
      <c r="J19" s="20">
        <f>IF(ISBLANK('GRUPO C'!$G19),0,IF(ISBLANK('GRUPO C'!$I19),0,1))</f>
        <v>1</v>
      </c>
      <c r="L19" s="20" t="str">
        <f>equipos!D14</f>
        <v>Perú</v>
      </c>
      <c r="M19">
        <f>A18+J19+J22</f>
        <v>3</v>
      </c>
      <c r="N19">
        <f>C18+H19+H22</f>
        <v>2</v>
      </c>
      <c r="O19">
        <f>B18+I19+I22</f>
        <v>1</v>
      </c>
      <c r="P19">
        <f t="shared" si="6"/>
        <v>0</v>
      </c>
      <c r="Q19">
        <f>E18+G19+G22</f>
        <v>5</v>
      </c>
      <c r="R19">
        <f>G18+E19+E22</f>
        <v>3</v>
      </c>
    </row>
    <row r="20" spans="1:18">
      <c r="A20" s="20">
        <f>IF(ISBLANK('GRUPO C'!$G20),0,IF(ISBLANK('GRUPO C'!$I20),0,1))</f>
        <v>1</v>
      </c>
      <c r="B20" s="20">
        <f t="shared" si="0"/>
        <v>1</v>
      </c>
      <c r="C20" s="20">
        <f t="shared" si="1"/>
        <v>0</v>
      </c>
      <c r="D20" s="20" t="str">
        <f>equipos!$D$15</f>
        <v>Dinamarca</v>
      </c>
      <c r="E20" s="20">
        <f>'GRUPO C'!G20</f>
        <v>2</v>
      </c>
      <c r="F20" s="20" t="str">
        <f>equipos!$D$13</f>
        <v>Australia</v>
      </c>
      <c r="G20" s="20">
        <f>'GRUPO C'!I20</f>
        <v>3</v>
      </c>
      <c r="H20" s="20">
        <f t="shared" si="2"/>
        <v>1</v>
      </c>
      <c r="I20" s="20">
        <f t="shared" si="3"/>
        <v>0</v>
      </c>
      <c r="J20" s="20">
        <f>IF(ISBLANK('GRUPO C'!$G20),0,IF(ISBLANK('GRUPO C'!$I20),0,1))</f>
        <v>1</v>
      </c>
      <c r="L20" s="20" t="str">
        <f>equipos!D15</f>
        <v>Dinamarca</v>
      </c>
      <c r="M20">
        <f>J18+A20+A21</f>
        <v>3</v>
      </c>
      <c r="N20">
        <f>H18+C20+C21</f>
        <v>0</v>
      </c>
      <c r="O20">
        <f>I18+B20+B21</f>
        <v>3</v>
      </c>
      <c r="P20">
        <f t="shared" si="6"/>
        <v>0</v>
      </c>
      <c r="Q20">
        <f>G18+E20+E21</f>
        <v>3</v>
      </c>
      <c r="R20">
        <f>E18+G20+G21</f>
        <v>7</v>
      </c>
    </row>
    <row r="21" spans="1:18">
      <c r="A21" s="20">
        <f>IF(ISBLANK('GRUPO C'!$G21),0,IF(ISBLANK('GRUPO C'!$I21),0,1))</f>
        <v>1</v>
      </c>
      <c r="B21" s="20">
        <f t="shared" si="0"/>
        <v>1</v>
      </c>
      <c r="C21" s="20">
        <f t="shared" si="1"/>
        <v>0</v>
      </c>
      <c r="D21" s="20" t="str">
        <f>equipos!$D$15</f>
        <v>Dinamarca</v>
      </c>
      <c r="E21" s="20">
        <f>'GRUPO C'!G21</f>
        <v>1</v>
      </c>
      <c r="F21" s="20" t="str">
        <f>equipos!$D$12</f>
        <v>Francia</v>
      </c>
      <c r="G21" s="20">
        <f>'GRUPO C'!I21</f>
        <v>2</v>
      </c>
      <c r="H21" s="20">
        <f t="shared" si="2"/>
        <v>1</v>
      </c>
      <c r="I21" s="20">
        <f t="shared" si="3"/>
        <v>0</v>
      </c>
      <c r="J21" s="20">
        <f>IF(ISBLANK('GRUPO C'!$G21),0,IF(ISBLANK('GRUPO C'!$I21),0,1))</f>
        <v>1</v>
      </c>
    </row>
    <row r="22" spans="1:18">
      <c r="A22" s="20">
        <f>IF(ISBLANK('GRUPO C'!$G22),0,IF(ISBLANK('GRUPO C'!$I22),0,1))</f>
        <v>1</v>
      </c>
      <c r="B22" s="20">
        <f t="shared" si="0"/>
        <v>1</v>
      </c>
      <c r="C22" s="20">
        <f t="shared" si="1"/>
        <v>0</v>
      </c>
      <c r="D22" s="20" t="str">
        <f>equipos!$D$13</f>
        <v>Australia</v>
      </c>
      <c r="E22" s="20">
        <f>'GRUPO C'!G22</f>
        <v>1</v>
      </c>
      <c r="F22" s="20" t="str">
        <f>equipos!$D$14</f>
        <v>Perú</v>
      </c>
      <c r="G22" s="20">
        <f>'GRUPO C'!I22</f>
        <v>3</v>
      </c>
      <c r="H22" s="20">
        <f t="shared" si="2"/>
        <v>1</v>
      </c>
      <c r="I22" s="20">
        <f t="shared" si="3"/>
        <v>0</v>
      </c>
      <c r="J22" s="20">
        <f>IF(ISBLANK('GRUPO C'!$G22),0,IF(ISBLANK('GRUPO C'!$I22),0,1))</f>
        <v>1</v>
      </c>
    </row>
    <row r="23" spans="1:18">
      <c r="A23" s="20"/>
      <c r="B23" s="20"/>
      <c r="C23" s="20"/>
      <c r="D23" s="164" t="s">
        <v>11</v>
      </c>
      <c r="E23" s="164"/>
      <c r="F23" s="164"/>
      <c r="G23" s="164"/>
      <c r="H23" s="20"/>
      <c r="I23" s="20"/>
      <c r="J23" s="20"/>
      <c r="M23" s="26" t="s">
        <v>4</v>
      </c>
      <c r="N23" s="26" t="s">
        <v>122</v>
      </c>
      <c r="O23" s="26" t="s">
        <v>123</v>
      </c>
      <c r="P23" s="26" t="s">
        <v>124</v>
      </c>
      <c r="Q23" s="26" t="s">
        <v>38</v>
      </c>
      <c r="R23" s="26" t="s">
        <v>39</v>
      </c>
    </row>
    <row r="24" spans="1:18">
      <c r="A24" s="20">
        <f>IF(ISBLANK('GRUPO D'!$G17),0,IF(ISBLANK('GRUPO D'!$I17),0,1))</f>
        <v>1</v>
      </c>
      <c r="B24" s="20">
        <f t="shared" si="0"/>
        <v>0</v>
      </c>
      <c r="C24" s="20">
        <f t="shared" si="1"/>
        <v>1</v>
      </c>
      <c r="D24" s="20" t="str">
        <f>equipos!$D$17</f>
        <v>Argentina</v>
      </c>
      <c r="E24" s="20">
        <f>'GRUPO D'!G17</f>
        <v>2</v>
      </c>
      <c r="F24" s="20" t="str">
        <f>equipos!$D$18</f>
        <v>Islandia</v>
      </c>
      <c r="G24" s="20">
        <f>'GRUPO D'!I17</f>
        <v>0</v>
      </c>
      <c r="H24" s="20">
        <f t="shared" si="2"/>
        <v>0</v>
      </c>
      <c r="I24" s="20">
        <f t="shared" si="3"/>
        <v>1</v>
      </c>
      <c r="J24" s="20">
        <f>IF(ISBLANK('GRUPO D'!$G17),0,IF(ISBLANK('GRUPO D'!$I17),0,1))</f>
        <v>1</v>
      </c>
      <c r="L24" s="20" t="str">
        <f>equipos!D17</f>
        <v>Argentina</v>
      </c>
      <c r="M24">
        <f>A24+A26+J28</f>
        <v>3</v>
      </c>
      <c r="N24">
        <f>C24+C26+H28</f>
        <v>3</v>
      </c>
      <c r="O24">
        <f>B24+B26+I28</f>
        <v>0</v>
      </c>
      <c r="P24">
        <f>M24-(N24+O24)</f>
        <v>0</v>
      </c>
      <c r="Q24">
        <f>E24+E26+G28</f>
        <v>6</v>
      </c>
      <c r="R24">
        <f>G24+G26+E28</f>
        <v>2</v>
      </c>
    </row>
    <row r="25" spans="1:18">
      <c r="A25" s="20">
        <f>IF(ISBLANK('GRUPO D'!$G18),0,IF(ISBLANK('GRUPO D'!$I18),0,1))</f>
        <v>1</v>
      </c>
      <c r="B25" s="20">
        <f t="shared" si="0"/>
        <v>1</v>
      </c>
      <c r="C25" s="20">
        <f t="shared" si="1"/>
        <v>0</v>
      </c>
      <c r="D25" s="20" t="str">
        <f>equipos!$D$19</f>
        <v>Croacia</v>
      </c>
      <c r="E25" s="20">
        <f>'GRUPO D'!G18</f>
        <v>1</v>
      </c>
      <c r="F25" s="20" t="str">
        <f>equipos!$D$20</f>
        <v>Nigeria</v>
      </c>
      <c r="G25" s="20">
        <f>'GRUPO D'!I18</f>
        <v>2</v>
      </c>
      <c r="H25" s="20">
        <f t="shared" si="2"/>
        <v>1</v>
      </c>
      <c r="I25" s="20">
        <f t="shared" si="3"/>
        <v>0</v>
      </c>
      <c r="J25" s="20">
        <f>IF(ISBLANK('GRUPO D'!$G18),0,IF(ISBLANK('GRUPO D'!$I18),0,1))</f>
        <v>1</v>
      </c>
      <c r="L25" s="20" t="str">
        <f>equipos!D18</f>
        <v>Islandia</v>
      </c>
      <c r="M25">
        <f>J24+J27+A29</f>
        <v>3</v>
      </c>
      <c r="N25">
        <f>H24+H27+C29</f>
        <v>0</v>
      </c>
      <c r="O25">
        <f>I24+I27+B29</f>
        <v>2</v>
      </c>
      <c r="P25">
        <f t="shared" ref="P25:P27" si="7">M25-(N25+O25)</f>
        <v>1</v>
      </c>
      <c r="Q25">
        <f>G24+G27+E29</f>
        <v>2</v>
      </c>
      <c r="R25">
        <f>E24+E27+G29</f>
        <v>6</v>
      </c>
    </row>
    <row r="26" spans="1:18">
      <c r="A26" s="20">
        <f>IF(ISBLANK('GRUPO D'!$G19),0,IF(ISBLANK('GRUPO D'!$I19),0,1))</f>
        <v>1</v>
      </c>
      <c r="B26" s="20">
        <f t="shared" si="0"/>
        <v>0</v>
      </c>
      <c r="C26" s="20">
        <f t="shared" si="1"/>
        <v>1</v>
      </c>
      <c r="D26" s="20" t="str">
        <f>equipos!$D$17</f>
        <v>Argentina</v>
      </c>
      <c r="E26" s="20">
        <f>'GRUPO D'!G19</f>
        <v>2</v>
      </c>
      <c r="F26" s="20" t="str">
        <f>equipos!$D$19</f>
        <v>Croacia</v>
      </c>
      <c r="G26" s="20">
        <f>'GRUPO D'!I19</f>
        <v>1</v>
      </c>
      <c r="H26" s="20">
        <f t="shared" si="2"/>
        <v>0</v>
      </c>
      <c r="I26" s="20">
        <f t="shared" si="3"/>
        <v>1</v>
      </c>
      <c r="J26" s="20">
        <f>IF(ISBLANK('GRUPO D'!$G19),0,IF(ISBLANK('GRUPO D'!$I19),0,1))</f>
        <v>1</v>
      </c>
      <c r="L26" s="20" t="str">
        <f>equipos!D19</f>
        <v>Croacia</v>
      </c>
      <c r="M26">
        <f>A25+J26+J29</f>
        <v>3</v>
      </c>
      <c r="N26">
        <f>C25+H26+H29</f>
        <v>0</v>
      </c>
      <c r="O26">
        <f>B25+I26+I29</f>
        <v>2</v>
      </c>
      <c r="P26">
        <f t="shared" si="7"/>
        <v>1</v>
      </c>
      <c r="Q26">
        <f>E25+G26+G29</f>
        <v>4</v>
      </c>
      <c r="R26">
        <f>G25+E26+E29</f>
        <v>6</v>
      </c>
    </row>
    <row r="27" spans="1:18">
      <c r="A27" s="20">
        <f>IF(ISBLANK('GRUPO D'!$G20),0,IF(ISBLANK('GRUPO D'!$I20),0,1))</f>
        <v>1</v>
      </c>
      <c r="B27" s="20">
        <f t="shared" si="0"/>
        <v>0</v>
      </c>
      <c r="C27" s="20">
        <f t="shared" si="1"/>
        <v>1</v>
      </c>
      <c r="D27" s="20" t="str">
        <f>equipos!$D$20</f>
        <v>Nigeria</v>
      </c>
      <c r="E27" s="20">
        <f>'GRUPO D'!G20</f>
        <v>2</v>
      </c>
      <c r="F27" s="20" t="str">
        <f>equipos!$D$18</f>
        <v>Islandia</v>
      </c>
      <c r="G27" s="20">
        <f>'GRUPO D'!I20</f>
        <v>0</v>
      </c>
      <c r="H27" s="20">
        <f t="shared" si="2"/>
        <v>0</v>
      </c>
      <c r="I27" s="20">
        <f t="shared" si="3"/>
        <v>1</v>
      </c>
      <c r="J27" s="20">
        <f>IF(ISBLANK('GRUPO D'!$G20),0,IF(ISBLANK('GRUPO D'!$I20),0,1))</f>
        <v>1</v>
      </c>
      <c r="L27" s="20" t="str">
        <f>equipos!D20</f>
        <v>Nigeria</v>
      </c>
      <c r="M27">
        <f>J25+A27+A28</f>
        <v>3</v>
      </c>
      <c r="N27">
        <f>H25+C27+C28</f>
        <v>2</v>
      </c>
      <c r="O27">
        <f>I25+B27+B28</f>
        <v>1</v>
      </c>
      <c r="P27">
        <f t="shared" si="7"/>
        <v>0</v>
      </c>
      <c r="Q27">
        <f>G25+E27+E28</f>
        <v>5</v>
      </c>
      <c r="R27">
        <f>E25+G27+G28</f>
        <v>3</v>
      </c>
    </row>
    <row r="28" spans="1:18">
      <c r="A28" s="20">
        <f>IF(ISBLANK('GRUPO D'!$G21),0,IF(ISBLANK('GRUPO D'!$I21),0,1))</f>
        <v>1</v>
      </c>
      <c r="B28" s="20">
        <f t="shared" si="0"/>
        <v>1</v>
      </c>
      <c r="C28" s="20">
        <f t="shared" si="1"/>
        <v>0</v>
      </c>
      <c r="D28" s="20" t="str">
        <f>equipos!$D$20</f>
        <v>Nigeria</v>
      </c>
      <c r="E28" s="20">
        <f>'GRUPO D'!G21</f>
        <v>1</v>
      </c>
      <c r="F28" s="20" t="str">
        <f>equipos!$D$17</f>
        <v>Argentina</v>
      </c>
      <c r="G28" s="20">
        <f>'GRUPO D'!I21</f>
        <v>2</v>
      </c>
      <c r="H28" s="20">
        <f t="shared" si="2"/>
        <v>1</v>
      </c>
      <c r="I28" s="20">
        <f t="shared" si="3"/>
        <v>0</v>
      </c>
      <c r="J28" s="20">
        <f>IF(ISBLANK('GRUPO D'!$G21),0,IF(ISBLANK('GRUPO D'!$I21),0,1))</f>
        <v>1</v>
      </c>
    </row>
    <row r="29" spans="1:18">
      <c r="A29" s="20">
        <f>IF(ISBLANK('GRUPO D'!$G22),0,IF(ISBLANK('GRUPO D'!$I22),0,1))</f>
        <v>1</v>
      </c>
      <c r="B29" s="20">
        <f t="shared" si="0"/>
        <v>0</v>
      </c>
      <c r="C29" s="20">
        <f t="shared" si="1"/>
        <v>0</v>
      </c>
      <c r="D29" s="20" t="str">
        <f>equipos!$D$18</f>
        <v>Islandia</v>
      </c>
      <c r="E29" s="20">
        <f>'GRUPO D'!G22</f>
        <v>2</v>
      </c>
      <c r="F29" s="20" t="str">
        <f>equipos!$D$19</f>
        <v>Croacia</v>
      </c>
      <c r="G29" s="20">
        <f>'GRUPO D'!I22</f>
        <v>2</v>
      </c>
      <c r="H29" s="20">
        <f t="shared" si="2"/>
        <v>0</v>
      </c>
      <c r="I29" s="20">
        <f t="shared" si="3"/>
        <v>0</v>
      </c>
      <c r="J29" s="20">
        <f>IF(ISBLANK('GRUPO D'!$G22),0,IF(ISBLANK('GRUPO D'!$I22),0,1))</f>
        <v>1</v>
      </c>
    </row>
    <row r="30" spans="1:18">
      <c r="A30" s="20"/>
      <c r="B30" s="20"/>
      <c r="C30" s="20"/>
      <c r="D30" s="164" t="s">
        <v>12</v>
      </c>
      <c r="E30" s="164"/>
      <c r="F30" s="164"/>
      <c r="G30" s="164"/>
      <c r="H30" s="20"/>
      <c r="I30" s="20"/>
      <c r="J30" s="20"/>
      <c r="M30" s="26" t="s">
        <v>4</v>
      </c>
      <c r="N30" s="26" t="s">
        <v>122</v>
      </c>
      <c r="O30" s="26" t="s">
        <v>123</v>
      </c>
      <c r="P30" s="26" t="s">
        <v>124</v>
      </c>
      <c r="Q30" s="26" t="s">
        <v>38</v>
      </c>
      <c r="R30" s="26" t="s">
        <v>39</v>
      </c>
    </row>
    <row r="31" spans="1:18">
      <c r="A31" s="20">
        <f>IF(ISBLANK('GRUPO E'!$G17),0,IF(ISBLANK('GRUPO E'!$I17),0,1))</f>
        <v>1</v>
      </c>
      <c r="B31" s="20">
        <f t="shared" si="0"/>
        <v>0</v>
      </c>
      <c r="C31" s="20">
        <f t="shared" si="1"/>
        <v>1</v>
      </c>
      <c r="D31" s="21" t="str">
        <f>equipos!$G$2</f>
        <v>Brasil</v>
      </c>
      <c r="E31" s="20">
        <f>'GRUPO E'!G17</f>
        <v>3</v>
      </c>
      <c r="F31" s="20" t="str">
        <f>equipos!$G$3</f>
        <v>Suiza</v>
      </c>
      <c r="G31" s="20">
        <f>'GRUPO E'!I17</f>
        <v>1</v>
      </c>
      <c r="H31" s="20">
        <f t="shared" si="2"/>
        <v>0</v>
      </c>
      <c r="I31" s="20">
        <f t="shared" si="3"/>
        <v>1</v>
      </c>
      <c r="J31" s="20">
        <f>IF(ISBLANK('GRUPO E'!$G17),0,IF(ISBLANK('GRUPO E'!$I17),0,1))</f>
        <v>1</v>
      </c>
      <c r="L31" s="21" t="str">
        <f>equipos!G2</f>
        <v>Brasil</v>
      </c>
      <c r="M31">
        <f>A31+A33+J35</f>
        <v>3</v>
      </c>
      <c r="N31">
        <f>C31+C33+H35</f>
        <v>3</v>
      </c>
      <c r="O31">
        <f>B31+B33+I35</f>
        <v>0</v>
      </c>
      <c r="P31">
        <f>M31-(N31+O31)</f>
        <v>0</v>
      </c>
      <c r="Q31">
        <f>E31+E33+G35</f>
        <v>8</v>
      </c>
      <c r="R31">
        <f>G31+G33+E35</f>
        <v>2</v>
      </c>
    </row>
    <row r="32" spans="1:18">
      <c r="A32" s="20">
        <f>IF(ISBLANK('GRUPO E'!$G18),0,IF(ISBLANK('GRUPO E'!$I18),0,1))</f>
        <v>1</v>
      </c>
      <c r="B32" s="20">
        <f t="shared" si="0"/>
        <v>0</v>
      </c>
      <c r="C32" s="20">
        <f t="shared" si="1"/>
        <v>0</v>
      </c>
      <c r="D32" s="20" t="str">
        <f>equipos!$G$4</f>
        <v>Costa Rica</v>
      </c>
      <c r="E32" s="20">
        <f>'GRUPO E'!G18</f>
        <v>1</v>
      </c>
      <c r="F32" s="20" t="str">
        <f>equipos!$G$5</f>
        <v>Serbia</v>
      </c>
      <c r="G32" s="20">
        <f>'GRUPO E'!I18</f>
        <v>1</v>
      </c>
      <c r="H32" s="20">
        <f t="shared" si="2"/>
        <v>0</v>
      </c>
      <c r="I32" s="20">
        <f t="shared" si="3"/>
        <v>0</v>
      </c>
      <c r="J32" s="20">
        <f>IF(ISBLANK('GRUPO E'!$G18),0,IF(ISBLANK('GRUPO E'!$I18),0,1))</f>
        <v>1</v>
      </c>
      <c r="L32" s="21" t="str">
        <f>equipos!G3</f>
        <v>Suiza</v>
      </c>
      <c r="M32">
        <f>J31+J34+A36</f>
        <v>3</v>
      </c>
      <c r="N32">
        <f>H31+H34+C36</f>
        <v>1</v>
      </c>
      <c r="O32">
        <f>I31+I34+B36</f>
        <v>1</v>
      </c>
      <c r="P32">
        <f t="shared" ref="P32:P34" si="8">M32-(N32+O32)</f>
        <v>1</v>
      </c>
      <c r="Q32">
        <f>G31+G34+E36</f>
        <v>4</v>
      </c>
      <c r="R32">
        <f>E31+E34+G36</f>
        <v>5</v>
      </c>
    </row>
    <row r="33" spans="1:18">
      <c r="A33" s="20">
        <f>IF(ISBLANK('GRUPO E'!$G19),0,IF(ISBLANK('GRUPO E'!$I19),0,1))</f>
        <v>1</v>
      </c>
      <c r="B33" s="20">
        <f t="shared" si="0"/>
        <v>0</v>
      </c>
      <c r="C33" s="20">
        <f t="shared" si="1"/>
        <v>1</v>
      </c>
      <c r="D33" s="20" t="str">
        <f>equipos!$G$2</f>
        <v>Brasil</v>
      </c>
      <c r="E33" s="20">
        <f>'GRUPO E'!G19</f>
        <v>2</v>
      </c>
      <c r="F33" s="20" t="str">
        <f>equipos!$G$4</f>
        <v>Costa Rica</v>
      </c>
      <c r="G33" s="20">
        <f>'GRUPO E'!I19</f>
        <v>0</v>
      </c>
      <c r="H33" s="20">
        <f t="shared" si="2"/>
        <v>0</v>
      </c>
      <c r="I33" s="20">
        <f t="shared" si="3"/>
        <v>1</v>
      </c>
      <c r="J33" s="20">
        <f>IF(ISBLANK('GRUPO E'!$G19),0,IF(ISBLANK('GRUPO E'!$I19),0,1))</f>
        <v>1</v>
      </c>
      <c r="L33" s="21" t="str">
        <f>equipos!G4</f>
        <v>Costa Rica</v>
      </c>
      <c r="M33">
        <f>A32+J33+J36</f>
        <v>3</v>
      </c>
      <c r="N33">
        <f>C32+H33+H36</f>
        <v>0</v>
      </c>
      <c r="O33">
        <f>B32+I33+I36</f>
        <v>1</v>
      </c>
      <c r="P33">
        <f t="shared" si="8"/>
        <v>2</v>
      </c>
      <c r="Q33">
        <f>E32+G33+G36</f>
        <v>2</v>
      </c>
      <c r="R33">
        <f>G32+E33+E36</f>
        <v>4</v>
      </c>
    </row>
    <row r="34" spans="1:18">
      <c r="A34" s="20">
        <f>IF(ISBLANK('GRUPO E'!$G20),0,IF(ISBLANK('GRUPO E'!$I20),0,1))</f>
        <v>1</v>
      </c>
      <c r="B34" s="20">
        <f t="shared" si="0"/>
        <v>1</v>
      </c>
      <c r="C34" s="20">
        <f t="shared" si="1"/>
        <v>0</v>
      </c>
      <c r="D34" s="20" t="str">
        <f>equipos!$G$5</f>
        <v>Serbia</v>
      </c>
      <c r="E34" s="20">
        <f>'GRUPO E'!G20</f>
        <v>1</v>
      </c>
      <c r="F34" s="20" t="str">
        <f>equipos!$G$3</f>
        <v>Suiza</v>
      </c>
      <c r="G34" s="20">
        <f>'GRUPO E'!I20</f>
        <v>2</v>
      </c>
      <c r="H34" s="20">
        <f t="shared" si="2"/>
        <v>1</v>
      </c>
      <c r="I34" s="20">
        <f t="shared" si="3"/>
        <v>0</v>
      </c>
      <c r="J34" s="20">
        <f>IF(ISBLANK('GRUPO E'!$G20),0,IF(ISBLANK('GRUPO E'!$I20),0,1))</f>
        <v>1</v>
      </c>
      <c r="L34" s="21" t="str">
        <f>equipos!G5</f>
        <v>Serbia</v>
      </c>
      <c r="M34">
        <f>J32+A34+A35</f>
        <v>3</v>
      </c>
      <c r="N34">
        <f>H32+C34+C35</f>
        <v>0</v>
      </c>
      <c r="O34">
        <f>I32+B34+B35</f>
        <v>2</v>
      </c>
      <c r="P34">
        <f t="shared" si="8"/>
        <v>1</v>
      </c>
      <c r="Q34">
        <f>G32+E34+E35</f>
        <v>3</v>
      </c>
      <c r="R34">
        <f>E32+G34+G35</f>
        <v>6</v>
      </c>
    </row>
    <row r="35" spans="1:18">
      <c r="A35" s="20">
        <f>IF(ISBLANK('GRUPO E'!$G21),0,IF(ISBLANK('GRUPO E'!$I21),0,1))</f>
        <v>1</v>
      </c>
      <c r="B35" s="20">
        <f t="shared" si="0"/>
        <v>1</v>
      </c>
      <c r="C35" s="20">
        <f t="shared" si="1"/>
        <v>0</v>
      </c>
      <c r="D35" s="20" t="str">
        <f>equipos!$G$5</f>
        <v>Serbia</v>
      </c>
      <c r="E35" s="20">
        <f>'GRUPO E'!G21</f>
        <v>1</v>
      </c>
      <c r="F35" s="20" t="str">
        <f>equipos!$G$2</f>
        <v>Brasil</v>
      </c>
      <c r="G35" s="20">
        <f>'GRUPO E'!I21</f>
        <v>3</v>
      </c>
      <c r="H35" s="20">
        <f t="shared" si="2"/>
        <v>1</v>
      </c>
      <c r="I35" s="20">
        <f t="shared" si="3"/>
        <v>0</v>
      </c>
      <c r="J35" s="20">
        <f>IF(ISBLANK('GRUPO E'!$G21),0,IF(ISBLANK('GRUPO E'!$I21),0,1))</f>
        <v>1</v>
      </c>
    </row>
    <row r="36" spans="1:18">
      <c r="A36" s="20">
        <f>IF(ISBLANK('GRUPO E'!$G22),0,IF(ISBLANK('GRUPO E'!$I22),0,1))</f>
        <v>1</v>
      </c>
      <c r="B36" s="20">
        <f t="shared" si="0"/>
        <v>0</v>
      </c>
      <c r="C36" s="20">
        <f t="shared" si="1"/>
        <v>0</v>
      </c>
      <c r="D36" s="20" t="str">
        <f>equipos!$G$3</f>
        <v>Suiza</v>
      </c>
      <c r="E36" s="20">
        <f>'GRUPO E'!G22</f>
        <v>1</v>
      </c>
      <c r="F36" s="20" t="str">
        <f>equipos!$G$4</f>
        <v>Costa Rica</v>
      </c>
      <c r="G36" s="20">
        <f>'GRUPO E'!I22</f>
        <v>1</v>
      </c>
      <c r="H36" s="20">
        <f t="shared" si="2"/>
        <v>0</v>
      </c>
      <c r="I36" s="20">
        <f t="shared" si="3"/>
        <v>0</v>
      </c>
      <c r="J36" s="20">
        <f>IF(ISBLANK('GRUPO E'!$G22),0,IF(ISBLANK('GRUPO E'!$I22),0,1))</f>
        <v>1</v>
      </c>
    </row>
    <row r="37" spans="1:18">
      <c r="A37" s="20"/>
      <c r="B37" s="20"/>
      <c r="C37" s="20"/>
      <c r="D37" s="164" t="s">
        <v>13</v>
      </c>
      <c r="E37" s="164"/>
      <c r="F37" s="164"/>
      <c r="G37" s="164"/>
      <c r="H37" s="20"/>
      <c r="I37" s="20"/>
      <c r="J37" s="20"/>
      <c r="M37" s="26" t="s">
        <v>4</v>
      </c>
      <c r="N37" s="26" t="s">
        <v>122</v>
      </c>
      <c r="O37" s="26" t="s">
        <v>123</v>
      </c>
      <c r="P37" s="26" t="s">
        <v>124</v>
      </c>
      <c r="Q37" s="26" t="s">
        <v>38</v>
      </c>
      <c r="R37" s="26" t="s">
        <v>39</v>
      </c>
    </row>
    <row r="38" spans="1:18">
      <c r="A38" s="20">
        <f>IF(ISBLANK('GRUPO F'!$G17),0,IF(ISBLANK('GRUPO F'!$I17),0,1))</f>
        <v>1</v>
      </c>
      <c r="B38" s="20">
        <f t="shared" si="0"/>
        <v>0</v>
      </c>
      <c r="C38" s="20">
        <f t="shared" si="1"/>
        <v>1</v>
      </c>
      <c r="D38" s="20" t="str">
        <f>equipos!$G$7</f>
        <v>Alemania</v>
      </c>
      <c r="E38" s="20">
        <f>'GRUPO F'!G17</f>
        <v>3</v>
      </c>
      <c r="F38" s="20" t="str">
        <f>equipos!$G$8</f>
        <v>México</v>
      </c>
      <c r="G38" s="20">
        <f>'GRUPO F'!I17</f>
        <v>1</v>
      </c>
      <c r="H38" s="20">
        <f t="shared" si="2"/>
        <v>0</v>
      </c>
      <c r="I38" s="20">
        <f t="shared" si="3"/>
        <v>1</v>
      </c>
      <c r="J38" s="20">
        <f>IF(ISBLANK('GRUPO F'!$G17),0,IF(ISBLANK('GRUPO F'!$I17),0,1))</f>
        <v>1</v>
      </c>
      <c r="L38" s="20" t="str">
        <f>equipos!G7</f>
        <v>Alemania</v>
      </c>
      <c r="M38">
        <f>A38+A40+J42</f>
        <v>3</v>
      </c>
      <c r="N38">
        <f>C38+C40+H42</f>
        <v>3</v>
      </c>
      <c r="O38">
        <f>B38+B40+I42</f>
        <v>0</v>
      </c>
      <c r="P38">
        <f>M38-(N38+O38)</f>
        <v>0</v>
      </c>
      <c r="Q38">
        <f>E38+E40+G42</f>
        <v>8</v>
      </c>
      <c r="R38">
        <f>G38+G40+E42</f>
        <v>3</v>
      </c>
    </row>
    <row r="39" spans="1:18">
      <c r="A39" s="20">
        <f>IF(ISBLANK('GRUPO F'!$G18),0,IF(ISBLANK('GRUPO F'!$I18),0,1))</f>
        <v>1</v>
      </c>
      <c r="B39" s="20">
        <f t="shared" si="0"/>
        <v>0</v>
      </c>
      <c r="C39" s="20">
        <f t="shared" si="1"/>
        <v>0</v>
      </c>
      <c r="D39" s="20" t="str">
        <f>equipos!$G$9</f>
        <v>Suecia</v>
      </c>
      <c r="E39" s="20">
        <f>'GRUPO F'!G18</f>
        <v>1</v>
      </c>
      <c r="F39" s="20" t="str">
        <f>equipos!$G$10</f>
        <v>Corea</v>
      </c>
      <c r="G39" s="20">
        <f>'GRUPO F'!I18</f>
        <v>1</v>
      </c>
      <c r="H39" s="20">
        <f t="shared" si="2"/>
        <v>0</v>
      </c>
      <c r="I39" s="20">
        <f t="shared" si="3"/>
        <v>0</v>
      </c>
      <c r="J39" s="20">
        <f>IF(ISBLANK('GRUPO F'!$G18),0,IF(ISBLANK('GRUPO F'!$I18),0,1))</f>
        <v>1</v>
      </c>
      <c r="L39" s="20" t="str">
        <f>equipos!G8</f>
        <v>México</v>
      </c>
      <c r="M39">
        <f>J38+J41+A43</f>
        <v>3</v>
      </c>
      <c r="N39">
        <f>H38+H41+C43</f>
        <v>1</v>
      </c>
      <c r="O39">
        <f>I38+I41+B43</f>
        <v>1</v>
      </c>
      <c r="P39">
        <f t="shared" ref="P39:P41" si="9">M39-(N39+O39)</f>
        <v>1</v>
      </c>
      <c r="Q39">
        <f>G38+G41+E43</f>
        <v>5</v>
      </c>
      <c r="R39">
        <f>E38+E41+G43</f>
        <v>6</v>
      </c>
    </row>
    <row r="40" spans="1:18">
      <c r="A40" s="20">
        <f>IF(ISBLANK('GRUPO F'!$G19),0,IF(ISBLANK('GRUPO F'!$I19),0,1))</f>
        <v>1</v>
      </c>
      <c r="B40" s="20">
        <f t="shared" si="0"/>
        <v>0</v>
      </c>
      <c r="C40" s="20">
        <f t="shared" si="1"/>
        <v>1</v>
      </c>
      <c r="D40" s="20" t="str">
        <f>equipos!$G$7</f>
        <v>Alemania</v>
      </c>
      <c r="E40" s="20">
        <f>'GRUPO F'!G19</f>
        <v>2</v>
      </c>
      <c r="F40" s="20" t="str">
        <f>equipos!$G$9</f>
        <v>Suecia</v>
      </c>
      <c r="G40" s="20">
        <f>'GRUPO F'!I19</f>
        <v>1</v>
      </c>
      <c r="H40" s="20">
        <f t="shared" si="2"/>
        <v>0</v>
      </c>
      <c r="I40" s="20">
        <f t="shared" si="3"/>
        <v>1</v>
      </c>
      <c r="J40" s="20">
        <f>IF(ISBLANK('GRUPO F'!$G19),0,IF(ISBLANK('GRUPO F'!$I19),0,1))</f>
        <v>1</v>
      </c>
      <c r="L40" s="20" t="str">
        <f>equipos!G9</f>
        <v>Suecia</v>
      </c>
      <c r="M40">
        <f>A39+J40+J43</f>
        <v>3</v>
      </c>
      <c r="N40">
        <f>C39+H40+H43</f>
        <v>0</v>
      </c>
      <c r="O40">
        <f>B39+I40+I43</f>
        <v>1</v>
      </c>
      <c r="P40">
        <f t="shared" si="9"/>
        <v>2</v>
      </c>
      <c r="Q40">
        <f>E39+G40+G43</f>
        <v>4</v>
      </c>
      <c r="R40">
        <f>G39+E40+E43</f>
        <v>5</v>
      </c>
    </row>
    <row r="41" spans="1:18">
      <c r="A41" s="20">
        <f>IF(ISBLANK('GRUPO F'!$G20),0,IF(ISBLANK('GRUPO F'!$I20),0,1))</f>
        <v>1</v>
      </c>
      <c r="B41" s="20">
        <f t="shared" si="0"/>
        <v>1</v>
      </c>
      <c r="C41" s="20">
        <f t="shared" si="1"/>
        <v>0</v>
      </c>
      <c r="D41" s="20" t="str">
        <f>equipos!$G$10</f>
        <v>Corea</v>
      </c>
      <c r="E41" s="20">
        <f>'GRUPO F'!G20</f>
        <v>1</v>
      </c>
      <c r="F41" s="20" t="str">
        <f>equipos!$G$8</f>
        <v>México</v>
      </c>
      <c r="G41" s="20">
        <f>'GRUPO F'!I20</f>
        <v>2</v>
      </c>
      <c r="H41" s="20">
        <f t="shared" si="2"/>
        <v>1</v>
      </c>
      <c r="I41" s="20">
        <f t="shared" si="3"/>
        <v>0</v>
      </c>
      <c r="J41" s="20">
        <f>IF(ISBLANK('GRUPO F'!$G20),0,IF(ISBLANK('GRUPO F'!$I20),0,1))</f>
        <v>1</v>
      </c>
      <c r="L41" s="20" t="str">
        <f>equipos!G10</f>
        <v>Corea</v>
      </c>
      <c r="M41">
        <f>J39+A41+A42</f>
        <v>3</v>
      </c>
      <c r="N41">
        <f>H39+C41+C42</f>
        <v>0</v>
      </c>
      <c r="O41">
        <f>I39+B41+B42</f>
        <v>2</v>
      </c>
      <c r="P41">
        <f t="shared" si="9"/>
        <v>1</v>
      </c>
      <c r="Q41">
        <f>G39+E41+E42</f>
        <v>3</v>
      </c>
      <c r="R41">
        <f>E39+G41+G42</f>
        <v>6</v>
      </c>
    </row>
    <row r="42" spans="1:18">
      <c r="A42" s="20">
        <f>IF(ISBLANK('GRUPO F'!$G21),0,IF(ISBLANK('GRUPO F'!$I21),0,1))</f>
        <v>1</v>
      </c>
      <c r="B42" s="20">
        <f t="shared" si="0"/>
        <v>1</v>
      </c>
      <c r="C42" s="20">
        <f t="shared" si="1"/>
        <v>0</v>
      </c>
      <c r="D42" s="20" t="str">
        <f>equipos!$G$10</f>
        <v>Corea</v>
      </c>
      <c r="E42" s="20">
        <f>'GRUPO F'!G21</f>
        <v>1</v>
      </c>
      <c r="F42" s="20" t="str">
        <f>equipos!$G$7</f>
        <v>Alemania</v>
      </c>
      <c r="G42" s="20">
        <f>'GRUPO F'!I21</f>
        <v>3</v>
      </c>
      <c r="H42" s="20">
        <f t="shared" si="2"/>
        <v>1</v>
      </c>
      <c r="I42" s="20">
        <f t="shared" si="3"/>
        <v>0</v>
      </c>
      <c r="J42" s="20">
        <f>IF(ISBLANK('GRUPO F'!$G21),0,IF(ISBLANK('GRUPO F'!$I21),0,1))</f>
        <v>1</v>
      </c>
    </row>
    <row r="43" spans="1:18">
      <c r="A43" s="20">
        <f>IF(ISBLANK('GRUPO F'!$G22),0,IF(ISBLANK('GRUPO F'!$I22),0,1))</f>
        <v>1</v>
      </c>
      <c r="B43" s="20">
        <f t="shared" si="0"/>
        <v>0</v>
      </c>
      <c r="C43" s="20">
        <f t="shared" si="1"/>
        <v>0</v>
      </c>
      <c r="D43" s="20" t="str">
        <f>equipos!$G$8</f>
        <v>México</v>
      </c>
      <c r="E43" s="20">
        <f>'GRUPO F'!G22</f>
        <v>2</v>
      </c>
      <c r="F43" s="20" t="str">
        <f>equipos!$G$9</f>
        <v>Suecia</v>
      </c>
      <c r="G43" s="20">
        <f>'GRUPO F'!I22</f>
        <v>2</v>
      </c>
      <c r="H43" s="20">
        <f t="shared" si="2"/>
        <v>0</v>
      </c>
      <c r="I43" s="20">
        <f t="shared" si="3"/>
        <v>0</v>
      </c>
      <c r="J43" s="20">
        <f>IF(ISBLANK('GRUPO F'!$G22),0,IF(ISBLANK('GRUPO F'!$I22),0,1))</f>
        <v>1</v>
      </c>
    </row>
    <row r="44" spans="1:18">
      <c r="A44" s="20"/>
      <c r="B44" s="20"/>
      <c r="C44" s="20"/>
      <c r="D44" s="164" t="s">
        <v>14</v>
      </c>
      <c r="E44" s="164"/>
      <c r="F44" s="164"/>
      <c r="G44" s="164"/>
      <c r="H44" s="20"/>
      <c r="I44" s="20"/>
      <c r="J44" s="20"/>
      <c r="M44" s="26" t="s">
        <v>4</v>
      </c>
      <c r="N44" s="26" t="s">
        <v>122</v>
      </c>
      <c r="O44" s="26" t="s">
        <v>123</v>
      </c>
      <c r="P44" s="26" t="s">
        <v>124</v>
      </c>
      <c r="Q44" s="26" t="s">
        <v>38</v>
      </c>
      <c r="R44" s="26" t="s">
        <v>39</v>
      </c>
    </row>
    <row r="45" spans="1:18">
      <c r="A45" s="20">
        <f>IF(ISBLANK('GRUPO G'!$G17),0,IF(ISBLANK('GRUPO G'!$I17),0,1))</f>
        <v>1</v>
      </c>
      <c r="B45" s="20">
        <f t="shared" si="0"/>
        <v>0</v>
      </c>
      <c r="C45" s="20">
        <f t="shared" si="1"/>
        <v>1</v>
      </c>
      <c r="D45" s="20" t="str">
        <f>equipos!$G$12</f>
        <v>Bélgica</v>
      </c>
      <c r="E45" s="20">
        <f>'GRUPO G'!G17</f>
        <v>2</v>
      </c>
      <c r="F45" s="20" t="str">
        <f>equipos!$G$13</f>
        <v>Panamá</v>
      </c>
      <c r="G45" s="20">
        <f>'GRUPO G'!I17</f>
        <v>1</v>
      </c>
      <c r="H45" s="20">
        <f t="shared" si="2"/>
        <v>0</v>
      </c>
      <c r="I45" s="20">
        <f t="shared" si="3"/>
        <v>1</v>
      </c>
      <c r="J45" s="20">
        <f>IF(ISBLANK('GRUPO G'!$G17),0,IF(ISBLANK('GRUPO G'!$I17),0,1))</f>
        <v>1</v>
      </c>
      <c r="L45" s="20" t="str">
        <f>equipos!G12</f>
        <v>Bélgica</v>
      </c>
      <c r="M45">
        <f>A45+A47+J49</f>
        <v>3</v>
      </c>
      <c r="N45">
        <f>C45+C47+H49</f>
        <v>1</v>
      </c>
      <c r="O45">
        <f>B45+B47+I49</f>
        <v>1</v>
      </c>
      <c r="P45">
        <f>M45-(N45+O45)</f>
        <v>1</v>
      </c>
      <c r="Q45">
        <f>E45+E47+G49</f>
        <v>6</v>
      </c>
      <c r="R45">
        <f>G45+G47+E49</f>
        <v>6</v>
      </c>
    </row>
    <row r="46" spans="1:18">
      <c r="A46" s="20">
        <f>IF(ISBLANK('GRUPO G'!$G18),0,IF(ISBLANK('GRUPO G'!$I18),0,1))</f>
        <v>1</v>
      </c>
      <c r="B46" s="20">
        <f t="shared" si="0"/>
        <v>1</v>
      </c>
      <c r="C46" s="20">
        <f t="shared" si="1"/>
        <v>0</v>
      </c>
      <c r="D46" s="20" t="str">
        <f>equipos!$G$14</f>
        <v>Túnez</v>
      </c>
      <c r="E46" s="20">
        <f>'GRUPO G'!G18</f>
        <v>1</v>
      </c>
      <c r="F46" s="20" t="str">
        <f>equipos!$G$15</f>
        <v>Inglaterra</v>
      </c>
      <c r="G46" s="20">
        <f>'GRUPO G'!I18</f>
        <v>3</v>
      </c>
      <c r="H46" s="20">
        <f t="shared" si="2"/>
        <v>1</v>
      </c>
      <c r="I46" s="20">
        <f t="shared" si="3"/>
        <v>0</v>
      </c>
      <c r="J46" s="20">
        <f>IF(ISBLANK('GRUPO G'!$G18),0,IF(ISBLANK('GRUPO G'!$I18),0,1))</f>
        <v>1</v>
      </c>
      <c r="L46" s="20" t="str">
        <f>equipos!G13</f>
        <v>Panamá</v>
      </c>
      <c r="M46">
        <f>J45+J48+A50</f>
        <v>3</v>
      </c>
      <c r="N46">
        <f>H45+H48+C50</f>
        <v>0</v>
      </c>
      <c r="O46">
        <f>I45+I48+B50</f>
        <v>2</v>
      </c>
      <c r="P46">
        <f t="shared" ref="P46:P48" si="10">M46-(N46+O46)</f>
        <v>1</v>
      </c>
      <c r="Q46">
        <f>G45+G48+E50</f>
        <v>2</v>
      </c>
      <c r="R46">
        <f>E45+E48+G50</f>
        <v>5</v>
      </c>
    </row>
    <row r="47" spans="1:18">
      <c r="A47" s="20">
        <f>IF(ISBLANK('GRUPO G'!$G19),0,IF(ISBLANK('GRUPO G'!$I19),0,1))</f>
        <v>1</v>
      </c>
      <c r="B47" s="20">
        <f t="shared" si="0"/>
        <v>0</v>
      </c>
      <c r="C47" s="20">
        <f t="shared" si="1"/>
        <v>0</v>
      </c>
      <c r="D47" s="20" t="str">
        <f>equipos!$G$12</f>
        <v>Bélgica</v>
      </c>
      <c r="E47" s="20">
        <f>'GRUPO G'!G19</f>
        <v>2</v>
      </c>
      <c r="F47" s="20" t="str">
        <f>equipos!$G$14</f>
        <v>Túnez</v>
      </c>
      <c r="G47" s="20">
        <f>'GRUPO G'!I19</f>
        <v>2</v>
      </c>
      <c r="H47" s="20">
        <f t="shared" si="2"/>
        <v>0</v>
      </c>
      <c r="I47" s="20">
        <f t="shared" si="3"/>
        <v>0</v>
      </c>
      <c r="J47" s="20">
        <f>IF(ISBLANK('GRUPO G'!$G19),0,IF(ISBLANK('GRUPO G'!$I19),0,1))</f>
        <v>1</v>
      </c>
      <c r="L47" s="20" t="str">
        <f>equipos!G14</f>
        <v>Túnez</v>
      </c>
      <c r="M47">
        <f>A46+J47+J50</f>
        <v>3</v>
      </c>
      <c r="N47">
        <f>C46+H47+H50</f>
        <v>0</v>
      </c>
      <c r="O47">
        <f>B46+I47+I50</f>
        <v>1</v>
      </c>
      <c r="P47">
        <f t="shared" si="10"/>
        <v>2</v>
      </c>
      <c r="Q47">
        <f>E46+G47+G50</f>
        <v>4</v>
      </c>
      <c r="R47">
        <f>G46+E47+E50</f>
        <v>6</v>
      </c>
    </row>
    <row r="48" spans="1:18">
      <c r="A48" s="20">
        <f>IF(ISBLANK('GRUPO G'!$G20),0,IF(ISBLANK('GRUPO G'!$I20),0,1))</f>
        <v>1</v>
      </c>
      <c r="B48" s="20">
        <f t="shared" si="0"/>
        <v>0</v>
      </c>
      <c r="C48" s="20">
        <f t="shared" si="1"/>
        <v>1</v>
      </c>
      <c r="D48" s="20" t="str">
        <f>equipos!$G$15</f>
        <v>Inglaterra</v>
      </c>
      <c r="E48" s="20">
        <f>'GRUPO G'!G20</f>
        <v>2</v>
      </c>
      <c r="F48" s="20" t="str">
        <f>equipos!$G$13</f>
        <v>Panamá</v>
      </c>
      <c r="G48" s="20">
        <f>'GRUPO G'!I20</f>
        <v>0</v>
      </c>
      <c r="H48" s="20">
        <f t="shared" si="2"/>
        <v>0</v>
      </c>
      <c r="I48" s="20">
        <f t="shared" si="3"/>
        <v>1</v>
      </c>
      <c r="J48" s="20">
        <f>IF(ISBLANK('GRUPO G'!$G20),0,IF(ISBLANK('GRUPO G'!$I20),0,1))</f>
        <v>1</v>
      </c>
      <c r="L48" s="20" t="str">
        <f>equipos!G15</f>
        <v>Inglaterra</v>
      </c>
      <c r="M48">
        <f>J46+A48+A49</f>
        <v>3</v>
      </c>
      <c r="N48">
        <f>H46+C48+C49</f>
        <v>3</v>
      </c>
      <c r="O48">
        <f>I46+B48+B49</f>
        <v>0</v>
      </c>
      <c r="P48">
        <f t="shared" si="10"/>
        <v>0</v>
      </c>
      <c r="Q48">
        <f>G46+E48+E49</f>
        <v>8</v>
      </c>
      <c r="R48">
        <f>E46+G48+G49</f>
        <v>3</v>
      </c>
    </row>
    <row r="49" spans="1:18">
      <c r="A49" s="20">
        <f>IF(ISBLANK('GRUPO G'!$G21),0,IF(ISBLANK('GRUPO G'!$I21),0,1))</f>
        <v>1</v>
      </c>
      <c r="B49" s="20">
        <f t="shared" si="0"/>
        <v>0</v>
      </c>
      <c r="C49" s="20">
        <f t="shared" si="1"/>
        <v>1</v>
      </c>
      <c r="D49" s="20" t="str">
        <f>equipos!$G$15</f>
        <v>Inglaterra</v>
      </c>
      <c r="E49" s="20">
        <f>'GRUPO G'!G21</f>
        <v>3</v>
      </c>
      <c r="F49" s="20" t="str">
        <f>equipos!$G$12</f>
        <v>Bélgica</v>
      </c>
      <c r="G49" s="20">
        <f>'GRUPO G'!I21</f>
        <v>2</v>
      </c>
      <c r="H49" s="20">
        <f t="shared" si="2"/>
        <v>0</v>
      </c>
      <c r="I49" s="20">
        <f t="shared" si="3"/>
        <v>1</v>
      </c>
      <c r="J49" s="20">
        <f>IF(ISBLANK('GRUPO G'!$G21),0,IF(ISBLANK('GRUPO G'!$I21),0,1))</f>
        <v>1</v>
      </c>
    </row>
    <row r="50" spans="1:18">
      <c r="A50" s="20">
        <f>IF(ISBLANK('GRUPO G'!$G22),0,IF(ISBLANK('GRUPO G'!$I22),0,1))</f>
        <v>1</v>
      </c>
      <c r="B50" s="20">
        <f t="shared" si="0"/>
        <v>0</v>
      </c>
      <c r="C50" s="20">
        <f t="shared" si="1"/>
        <v>0</v>
      </c>
      <c r="D50" s="20" t="str">
        <f>equipos!$G$13</f>
        <v>Panamá</v>
      </c>
      <c r="E50" s="20">
        <f>'GRUPO G'!G22</f>
        <v>1</v>
      </c>
      <c r="F50" s="20" t="str">
        <f>equipos!$G$14</f>
        <v>Túnez</v>
      </c>
      <c r="G50" s="20">
        <f>'GRUPO G'!I22</f>
        <v>1</v>
      </c>
      <c r="H50" s="20">
        <f t="shared" si="2"/>
        <v>0</v>
      </c>
      <c r="I50" s="20">
        <f t="shared" si="3"/>
        <v>0</v>
      </c>
      <c r="J50" s="20">
        <f>IF(ISBLANK('GRUPO G'!$G22),0,IF(ISBLANK('GRUPO G'!$I22),0,1))</f>
        <v>1</v>
      </c>
    </row>
    <row r="51" spans="1:18">
      <c r="A51" s="20"/>
      <c r="B51" s="20"/>
      <c r="C51" s="20"/>
      <c r="D51" s="164" t="s">
        <v>15</v>
      </c>
      <c r="E51" s="164"/>
      <c r="F51" s="164"/>
      <c r="G51" s="164"/>
      <c r="H51" s="20"/>
      <c r="I51" s="20"/>
      <c r="J51" s="20"/>
      <c r="M51" s="26" t="s">
        <v>4</v>
      </c>
      <c r="N51" s="26" t="s">
        <v>122</v>
      </c>
      <c r="O51" s="26" t="s">
        <v>123</v>
      </c>
      <c r="P51" s="26" t="s">
        <v>124</v>
      </c>
      <c r="Q51" s="26" t="s">
        <v>38</v>
      </c>
      <c r="R51" s="26" t="s">
        <v>39</v>
      </c>
    </row>
    <row r="52" spans="1:18">
      <c r="A52" s="20">
        <f>IF(ISBLANK('GRUPO H'!$G17),0,IF(ISBLANK('GRUPO H'!$I17),0,1))</f>
        <v>1</v>
      </c>
      <c r="B52" s="20">
        <f t="shared" si="0"/>
        <v>0</v>
      </c>
      <c r="C52" s="20">
        <f t="shared" si="1"/>
        <v>1</v>
      </c>
      <c r="D52" s="20" t="str">
        <f>equipos!$G$17</f>
        <v>Polonia</v>
      </c>
      <c r="E52" s="20">
        <f>'GRUPO H'!G17</f>
        <v>2</v>
      </c>
      <c r="F52" s="20" t="str">
        <f>equipos!$G$18</f>
        <v>Senegal</v>
      </c>
      <c r="G52" s="20">
        <f>'GRUPO H'!I17</f>
        <v>1</v>
      </c>
      <c r="H52" s="20">
        <f t="shared" si="2"/>
        <v>0</v>
      </c>
      <c r="I52" s="20">
        <f t="shared" si="3"/>
        <v>1</v>
      </c>
      <c r="J52" s="20">
        <f>IF(ISBLANK('GRUPO H'!$G17),0,IF(ISBLANK('GRUPO H'!$I17),0,1))</f>
        <v>1</v>
      </c>
      <c r="L52" s="20" t="str">
        <f>equipos!G17</f>
        <v>Polonia</v>
      </c>
      <c r="M52">
        <f>A52+A54+J56</f>
        <v>3</v>
      </c>
      <c r="N52">
        <f>C52+C54+H56</f>
        <v>2</v>
      </c>
      <c r="O52">
        <f>B52+B54+I56</f>
        <v>1</v>
      </c>
      <c r="P52">
        <f>M52-(N52+O52)</f>
        <v>0</v>
      </c>
      <c r="Q52">
        <f>E52+E54+G56</f>
        <v>6</v>
      </c>
      <c r="R52">
        <f>G52+G54+E56</f>
        <v>4</v>
      </c>
    </row>
    <row r="53" spans="1:18">
      <c r="A53" s="20">
        <f>IF(ISBLANK('GRUPO H'!$G18),0,IF(ISBLANK('GRUPO H'!$I18),0,1))</f>
        <v>1</v>
      </c>
      <c r="B53" s="20">
        <f t="shared" si="0"/>
        <v>0</v>
      </c>
      <c r="C53" s="20">
        <f t="shared" si="1"/>
        <v>1</v>
      </c>
      <c r="D53" s="20" t="str">
        <f>equipos!$G$19</f>
        <v>Colombia</v>
      </c>
      <c r="E53" s="20">
        <f>'GRUPO H'!G18</f>
        <v>3</v>
      </c>
      <c r="F53" s="20" t="str">
        <f>equipos!$G$20</f>
        <v>Japón</v>
      </c>
      <c r="G53" s="20">
        <f>'GRUPO H'!I18</f>
        <v>2</v>
      </c>
      <c r="H53" s="20">
        <f t="shared" si="2"/>
        <v>0</v>
      </c>
      <c r="I53" s="20">
        <f t="shared" si="3"/>
        <v>1</v>
      </c>
      <c r="J53" s="20">
        <f>IF(ISBLANK('GRUPO H'!$G18),0,IF(ISBLANK('GRUPO H'!$I18),0,1))</f>
        <v>1</v>
      </c>
      <c r="L53" s="20" t="str">
        <f>equipos!G18</f>
        <v>Senegal</v>
      </c>
      <c r="M53">
        <f>J52+J55+A57</f>
        <v>3</v>
      </c>
      <c r="N53">
        <f>H52+H55+C57</f>
        <v>0</v>
      </c>
      <c r="O53">
        <f>I52+I55+B57</f>
        <v>2</v>
      </c>
      <c r="P53">
        <f t="shared" ref="P53:P55" si="11">M53-(N53+O53)</f>
        <v>1</v>
      </c>
      <c r="Q53">
        <f>G52+G55+E57</f>
        <v>5</v>
      </c>
      <c r="R53">
        <f>E52+E55+G57</f>
        <v>7</v>
      </c>
    </row>
    <row r="54" spans="1:18">
      <c r="A54" s="20">
        <f>IF(ISBLANK('GRUPO H'!$G19),0,IF(ISBLANK('GRUPO H'!$I19),0,1))</f>
        <v>1</v>
      </c>
      <c r="B54" s="20">
        <f t="shared" si="0"/>
        <v>1</v>
      </c>
      <c r="C54" s="20">
        <f t="shared" si="1"/>
        <v>0</v>
      </c>
      <c r="D54" s="20" t="str">
        <f>equipos!$G$17</f>
        <v>Polonia</v>
      </c>
      <c r="E54" s="20">
        <f>'GRUPO H'!G19</f>
        <v>1</v>
      </c>
      <c r="F54" s="20" t="str">
        <f>equipos!$G$19</f>
        <v>Colombia</v>
      </c>
      <c r="G54" s="20">
        <f>'GRUPO H'!I19</f>
        <v>2</v>
      </c>
      <c r="H54" s="20">
        <f t="shared" si="2"/>
        <v>1</v>
      </c>
      <c r="I54" s="20">
        <f t="shared" si="3"/>
        <v>0</v>
      </c>
      <c r="J54" s="20">
        <f>IF(ISBLANK('GRUPO H'!$G19),0,IF(ISBLANK('GRUPO H'!$I19),0,1))</f>
        <v>1</v>
      </c>
      <c r="L54" s="20" t="str">
        <f>equipos!G19</f>
        <v>Colombia</v>
      </c>
      <c r="M54">
        <f>A53+J54+J57</f>
        <v>3</v>
      </c>
      <c r="N54">
        <f>C53+H54+H57</f>
        <v>3</v>
      </c>
      <c r="O54">
        <f>B53+I54+I57</f>
        <v>0</v>
      </c>
      <c r="P54">
        <f t="shared" si="11"/>
        <v>0</v>
      </c>
      <c r="Q54">
        <f>E53+G54+G57</f>
        <v>8</v>
      </c>
      <c r="R54">
        <f>G53+E54+E57</f>
        <v>5</v>
      </c>
    </row>
    <row r="55" spans="1:18">
      <c r="A55" s="20">
        <f>IF(ISBLANK('GRUPO H'!$G20),0,IF(ISBLANK('GRUPO H'!$I20),0,1))</f>
        <v>1</v>
      </c>
      <c r="B55" s="20">
        <f t="shared" si="0"/>
        <v>0</v>
      </c>
      <c r="C55" s="20">
        <f t="shared" si="1"/>
        <v>0</v>
      </c>
      <c r="D55" s="20" t="str">
        <f>equipos!$G$20</f>
        <v>Japón</v>
      </c>
      <c r="E55" s="20">
        <f>'GRUPO H'!G20</f>
        <v>2</v>
      </c>
      <c r="F55" s="20" t="str">
        <f>equipos!$G$18</f>
        <v>Senegal</v>
      </c>
      <c r="G55" s="20">
        <f>'GRUPO H'!I20</f>
        <v>2</v>
      </c>
      <c r="H55" s="20">
        <f t="shared" si="2"/>
        <v>0</v>
      </c>
      <c r="I55" s="20">
        <f t="shared" si="3"/>
        <v>0</v>
      </c>
      <c r="J55" s="20">
        <f>IF(ISBLANK('GRUPO H'!$G20),0,IF(ISBLANK('GRUPO H'!$I20),0,1))</f>
        <v>1</v>
      </c>
      <c r="L55" s="20" t="str">
        <f>equipos!G20</f>
        <v>Japón</v>
      </c>
      <c r="M55">
        <f>J53+A55+A56</f>
        <v>3</v>
      </c>
      <c r="N55">
        <f>H53+C55+C56</f>
        <v>0</v>
      </c>
      <c r="O55">
        <f>I53+B55+B56</f>
        <v>2</v>
      </c>
      <c r="P55">
        <f t="shared" si="11"/>
        <v>1</v>
      </c>
      <c r="Q55">
        <f>G53+E55+E56</f>
        <v>5</v>
      </c>
      <c r="R55">
        <f>E53+G55+G56</f>
        <v>8</v>
      </c>
    </row>
    <row r="56" spans="1:18">
      <c r="A56" s="20">
        <f>IF(ISBLANK('GRUPO H'!$G21),0,IF(ISBLANK('GRUPO H'!$I21),0,1))</f>
        <v>1</v>
      </c>
      <c r="B56" s="20">
        <f t="shared" si="0"/>
        <v>1</v>
      </c>
      <c r="C56" s="20">
        <f t="shared" si="1"/>
        <v>0</v>
      </c>
      <c r="D56" s="20" t="str">
        <f>equipos!$G$20</f>
        <v>Japón</v>
      </c>
      <c r="E56" s="20">
        <f>'GRUPO H'!G21</f>
        <v>1</v>
      </c>
      <c r="F56" s="20" t="str">
        <f>equipos!$G$17</f>
        <v>Polonia</v>
      </c>
      <c r="G56" s="20">
        <f>'GRUPO H'!I21</f>
        <v>3</v>
      </c>
      <c r="H56" s="20">
        <f t="shared" si="2"/>
        <v>1</v>
      </c>
      <c r="I56" s="20">
        <f t="shared" si="3"/>
        <v>0</v>
      </c>
      <c r="J56" s="20">
        <f>IF(ISBLANK('GRUPO H'!$G21),0,IF(ISBLANK('GRUPO H'!$I21),0,1))</f>
        <v>1</v>
      </c>
    </row>
    <row r="57" spans="1:18">
      <c r="A57" s="20">
        <f>IF(ISBLANK('GRUPO H'!$G22),0,IF(ISBLANK('GRUPO H'!$I22),0,1))</f>
        <v>1</v>
      </c>
      <c r="B57" s="20">
        <f t="shared" si="0"/>
        <v>1</v>
      </c>
      <c r="C57" s="20">
        <f t="shared" si="1"/>
        <v>0</v>
      </c>
      <c r="D57" s="20" t="str">
        <f>equipos!$G$18</f>
        <v>Senegal</v>
      </c>
      <c r="E57" s="20">
        <f>'GRUPO H'!G22</f>
        <v>2</v>
      </c>
      <c r="F57" s="20" t="str">
        <f>equipos!$G$19</f>
        <v>Colombia</v>
      </c>
      <c r="G57" s="20">
        <f>'GRUPO H'!I22</f>
        <v>3</v>
      </c>
      <c r="H57" s="20">
        <f t="shared" si="2"/>
        <v>1</v>
      </c>
      <c r="I57" s="20">
        <f t="shared" si="3"/>
        <v>0</v>
      </c>
      <c r="J57" s="20">
        <f>IF(ISBLANK('GRUPO H'!$G22),0,IF(ISBLANK('GRUPO H'!$I22),0,1))</f>
        <v>1</v>
      </c>
    </row>
  </sheetData>
  <sheetProtection selectLockedCells="1" selectUnlockedCells="1"/>
  <mergeCells count="9">
    <mergeCell ref="D37:G37"/>
    <mergeCell ref="D44:G44"/>
    <mergeCell ref="D51:G51"/>
    <mergeCell ref="A1:J1"/>
    <mergeCell ref="D2:G2"/>
    <mergeCell ref="D9:G9"/>
    <mergeCell ref="D16:G16"/>
    <mergeCell ref="D23:G23"/>
    <mergeCell ref="D30:G30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" sqref="H4:I51"/>
    </sheetView>
  </sheetViews>
  <sheetFormatPr baseColWidth="10" defaultRowHeight="12.7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2:N56"/>
  <sheetViews>
    <sheetView zoomScaleNormal="100" workbookViewId="0">
      <pane ySplit="2" topLeftCell="A30" activePane="bottomLeft" state="frozenSplit"/>
      <selection activeCell="H4" sqref="H4:I51"/>
      <selection pane="bottomLeft" activeCell="B4" sqref="B4"/>
    </sheetView>
  </sheetViews>
  <sheetFormatPr baseColWidth="10" defaultRowHeight="12.75"/>
  <cols>
    <col min="1" max="1" width="1.42578125" style="27" customWidth="1"/>
    <col min="2" max="2" width="25.7109375" style="27" customWidth="1"/>
    <col min="3" max="3" width="3.28515625" style="27" customWidth="1"/>
    <col min="4" max="4" width="3.42578125" style="27" customWidth="1"/>
    <col min="5" max="5" width="25.7109375" style="27" customWidth="1"/>
    <col min="6" max="6" width="3.7109375" style="27" customWidth="1"/>
    <col min="7" max="7" width="3.42578125" style="27" customWidth="1"/>
    <col min="8" max="8" width="25.7109375" style="27" customWidth="1"/>
    <col min="9" max="9" width="3.42578125" style="27" customWidth="1"/>
    <col min="10" max="10" width="3.5703125" style="27" customWidth="1"/>
    <col min="11" max="11" width="25.7109375" style="27" customWidth="1"/>
    <col min="12" max="12" width="3.7109375" style="27" customWidth="1"/>
    <col min="13" max="13" width="3.5703125" style="27" customWidth="1"/>
    <col min="14" max="14" width="28.7109375" style="27" customWidth="1"/>
    <col min="15" max="16384" width="11.42578125" style="27"/>
  </cols>
  <sheetData>
    <row r="2" spans="2:14" ht="18">
      <c r="B2" s="165" t="s">
        <v>17</v>
      </c>
      <c r="C2" s="166"/>
      <c r="D2" s="167"/>
      <c r="E2" s="165" t="s">
        <v>18</v>
      </c>
      <c r="F2" s="166"/>
      <c r="G2" s="167"/>
      <c r="H2" s="165" t="s">
        <v>19</v>
      </c>
      <c r="I2" s="166"/>
      <c r="J2" s="167"/>
      <c r="K2" s="165" t="s">
        <v>20</v>
      </c>
      <c r="L2" s="166"/>
      <c r="M2" s="166"/>
      <c r="N2" s="89" t="s">
        <v>146</v>
      </c>
    </row>
    <row r="3" spans="2:14" ht="13.5" thickBot="1">
      <c r="C3" s="27" t="s">
        <v>21</v>
      </c>
      <c r="D3" s="27" t="s">
        <v>22</v>
      </c>
    </row>
    <row r="4" spans="2:14">
      <c r="B4" s="77" t="str">
        <f>'GRUPO A'!K23</f>
        <v>Uruguay</v>
      </c>
      <c r="C4" s="78"/>
      <c r="D4" s="79"/>
    </row>
    <row r="5" spans="2:14">
      <c r="B5" s="80"/>
      <c r="C5" s="81"/>
      <c r="D5" s="81"/>
      <c r="E5" s="82"/>
      <c r="F5" s="81"/>
    </row>
    <row r="6" spans="2:14">
      <c r="B6" s="83">
        <v>43281</v>
      </c>
      <c r="C6" s="81"/>
      <c r="D6" s="81"/>
      <c r="E6" s="77" t="str">
        <f>IF(C4="","",IF(C4&gt;C8,B4,IF(C4&lt;C8,B8,IF(D4&gt;D8,B4,IF(D4&lt;D8,B8,"")))))</f>
        <v/>
      </c>
      <c r="F6" s="78"/>
      <c r="G6" s="79"/>
    </row>
    <row r="7" spans="2:14">
      <c r="B7" s="84">
        <v>0.58333333333333337</v>
      </c>
      <c r="C7" s="83"/>
      <c r="D7" s="85"/>
      <c r="E7" s="82"/>
      <c r="F7" s="81"/>
      <c r="H7" s="82"/>
    </row>
    <row r="8" spans="2:14">
      <c r="B8" s="77" t="str">
        <f>'GRUPO B'!K24</f>
        <v>España</v>
      </c>
      <c r="C8" s="78"/>
      <c r="D8" s="86"/>
      <c r="E8" s="80"/>
      <c r="F8" s="80"/>
      <c r="H8" s="82"/>
    </row>
    <row r="9" spans="2:14">
      <c r="E9" s="83">
        <v>43287</v>
      </c>
      <c r="F9" s="87"/>
      <c r="H9" s="77" t="str">
        <f>IF(F6="","",IF(F6&gt;F12,E6,IF(F6&lt;F12,E12,IF(G6&gt;G12,E6,IF(G6&lt;G12,E12,"")))))</f>
        <v/>
      </c>
      <c r="I9" s="78"/>
      <c r="J9" s="79"/>
    </row>
    <row r="10" spans="2:14">
      <c r="B10" s="77" t="str">
        <f>'GRUPO C'!K23</f>
        <v>Francia</v>
      </c>
      <c r="C10" s="78"/>
      <c r="D10" s="79"/>
      <c r="E10" s="84">
        <v>0.41666666666666669</v>
      </c>
      <c r="F10" s="84"/>
      <c r="H10" s="82"/>
      <c r="K10" s="82"/>
    </row>
    <row r="11" spans="2:14">
      <c r="B11" s="80"/>
      <c r="C11" s="81"/>
      <c r="D11" s="81"/>
      <c r="E11" s="82"/>
      <c r="F11" s="81"/>
      <c r="H11" s="82"/>
      <c r="K11" s="82"/>
    </row>
    <row r="12" spans="2:14">
      <c r="B12" s="83">
        <v>43281</v>
      </c>
      <c r="C12" s="81"/>
      <c r="D12" s="81"/>
      <c r="E12" s="77" t="str">
        <f>IF(C10="","",IF(C10&gt;C14,B10,IF(C10&lt;C14,B14,IF(D10&gt;D14,B10,IF(D10&lt;D14,B14,"")))))</f>
        <v/>
      </c>
      <c r="F12" s="78"/>
      <c r="G12" s="86"/>
      <c r="K12" s="82"/>
    </row>
    <row r="13" spans="2:14">
      <c r="B13" s="84">
        <v>0.41666666666666669</v>
      </c>
      <c r="D13" s="85"/>
      <c r="E13" s="82"/>
      <c r="F13" s="81"/>
      <c r="K13" s="82"/>
    </row>
    <row r="14" spans="2:14">
      <c r="B14" s="77" t="str">
        <f>'GRUPO D'!K24</f>
        <v>Nigeria</v>
      </c>
      <c r="C14" s="78"/>
      <c r="D14" s="86"/>
      <c r="H14" s="80"/>
      <c r="K14" s="82"/>
    </row>
    <row r="15" spans="2:14">
      <c r="H15" s="83">
        <v>43291</v>
      </c>
      <c r="K15" s="77" t="str">
        <f>IF(I9="","",IF(I9&gt;I21,H9,IF(I9&lt;I21,H21,IF(J9&gt;J21,H9,IF(J9&lt;J21,H21,"")))))</f>
        <v/>
      </c>
      <c r="L15" s="78"/>
      <c r="M15" s="79"/>
    </row>
    <row r="16" spans="2:14">
      <c r="B16" s="77" t="str">
        <f>'GRUPO E'!K23</f>
        <v>Brasil</v>
      </c>
      <c r="C16" s="78"/>
      <c r="D16" s="79"/>
      <c r="H16" s="84">
        <v>0.58333333333333337</v>
      </c>
      <c r="K16" s="82"/>
      <c r="N16" s="82"/>
    </row>
    <row r="17" spans="2:14">
      <c r="B17" s="80"/>
      <c r="C17" s="81"/>
      <c r="D17" s="81"/>
      <c r="E17" s="82"/>
      <c r="F17" s="81"/>
      <c r="K17" s="82"/>
      <c r="N17" s="82"/>
    </row>
    <row r="18" spans="2:14">
      <c r="B18" s="83">
        <v>43283</v>
      </c>
      <c r="C18" s="81"/>
      <c r="D18" s="81"/>
      <c r="E18" s="77" t="str">
        <f>IF(C16="","",IF(C16&gt;C20,B16,IF(C16&lt;C20,B20,IF(D16&gt;D20,B16,IF(D16&lt;D20,B20,"")))))</f>
        <v/>
      </c>
      <c r="F18" s="78"/>
      <c r="G18" s="79"/>
      <c r="K18" s="82"/>
      <c r="N18" s="82"/>
    </row>
    <row r="19" spans="2:14">
      <c r="B19" s="84">
        <v>0.41666666666666669</v>
      </c>
      <c r="C19" s="83"/>
      <c r="D19" s="85"/>
      <c r="E19" s="82"/>
      <c r="F19" s="81"/>
      <c r="H19" s="82"/>
      <c r="K19" s="82"/>
      <c r="N19" s="82"/>
    </row>
    <row r="20" spans="2:14">
      <c r="B20" s="77" t="str">
        <f>'GRUPO F'!K24</f>
        <v>México</v>
      </c>
      <c r="C20" s="78"/>
      <c r="D20" s="86"/>
      <c r="E20" s="80"/>
      <c r="F20" s="80"/>
      <c r="H20" s="82"/>
      <c r="K20" s="82"/>
      <c r="N20" s="82"/>
    </row>
    <row r="21" spans="2:14">
      <c r="E21" s="83">
        <v>43287</v>
      </c>
      <c r="F21" s="87"/>
      <c r="H21" s="77" t="str">
        <f>IF(F18="","",IF(F18&gt;F24,E18,IF(F18&lt;F24,E24,IF(G18&gt;G24,E18,IF(G18&lt;G24,E24,"")))))</f>
        <v/>
      </c>
      <c r="I21" s="78"/>
      <c r="J21" s="86"/>
      <c r="N21" s="82"/>
    </row>
    <row r="22" spans="2:14">
      <c r="B22" s="77" t="str">
        <f>'GRUPO G'!K23</f>
        <v>Inglaterra</v>
      </c>
      <c r="C22" s="78"/>
      <c r="D22" s="79"/>
      <c r="E22" s="84">
        <v>0.58333333333333337</v>
      </c>
      <c r="F22" s="84"/>
      <c r="H22" s="82"/>
      <c r="N22" s="82"/>
    </row>
    <row r="23" spans="2:14">
      <c r="B23" s="80"/>
      <c r="C23" s="81"/>
      <c r="D23" s="81"/>
      <c r="E23" s="82"/>
      <c r="F23" s="81"/>
      <c r="H23" s="82"/>
      <c r="N23" s="82"/>
    </row>
    <row r="24" spans="2:14">
      <c r="B24" s="83">
        <v>43283</v>
      </c>
      <c r="C24" s="81"/>
      <c r="D24" s="81"/>
      <c r="E24" s="77" t="str">
        <f>IF(C22="","",IF(C22&gt;C26,B22,IF(C22&lt;C26,B26,IF(D22&gt;D26,B22,IF(D22&lt;D26,B26,"")))))</f>
        <v/>
      </c>
      <c r="F24" s="78"/>
      <c r="G24" s="86"/>
      <c r="N24" s="82"/>
    </row>
    <row r="25" spans="2:14">
      <c r="B25" s="84">
        <v>0.58333333333333337</v>
      </c>
      <c r="D25" s="85"/>
      <c r="E25" s="82"/>
      <c r="F25" s="81"/>
      <c r="N25" s="82"/>
    </row>
    <row r="26" spans="2:14" ht="13.5" thickBot="1">
      <c r="B26" s="77" t="str">
        <f>'GRUPO H'!$K$24</f>
        <v>Polonia</v>
      </c>
      <c r="C26" s="78"/>
      <c r="D26" s="86"/>
      <c r="K26" s="80"/>
      <c r="N26" s="82"/>
    </row>
    <row r="27" spans="2:14" ht="18.75" thickBot="1">
      <c r="K27" s="83">
        <v>43296</v>
      </c>
      <c r="N27" s="89" t="str">
        <f>IF(L15="","Campeón del Mundo",IF(L15&gt;L39,K15,IF(L15&lt;L39,K39,IF(M15&gt;M39,K15,IF(M15&lt;M39,K39,"Campeón del Mundo")))))</f>
        <v>Campeón del Mundo</v>
      </c>
    </row>
    <row r="28" spans="2:14" ht="13.5" thickBot="1">
      <c r="B28" s="77" t="str">
        <f>'GRUPO B'!K23</f>
        <v>Portugal</v>
      </c>
      <c r="C28" s="78"/>
      <c r="D28" s="79"/>
      <c r="K28" s="84">
        <v>0.45833333333333331</v>
      </c>
      <c r="N28" s="82"/>
    </row>
    <row r="29" spans="2:14">
      <c r="B29" s="80"/>
      <c r="C29" s="81"/>
      <c r="D29" s="81"/>
      <c r="E29" s="82"/>
      <c r="F29" s="81"/>
      <c r="N29" s="82"/>
    </row>
    <row r="30" spans="2:14">
      <c r="B30" s="83">
        <v>43282</v>
      </c>
      <c r="C30" s="81"/>
      <c r="D30" s="81"/>
      <c r="E30" s="77" t="str">
        <f>IF(C28="","",IF(C28&gt;C32,B28,IF(C28&lt;C32,B32,IF(D28&gt;D32,B28,IF(D28&lt;D32,B32,"")))))</f>
        <v/>
      </c>
      <c r="F30" s="78"/>
      <c r="G30" s="79"/>
      <c r="N30" s="82"/>
    </row>
    <row r="31" spans="2:14">
      <c r="B31" s="84">
        <v>0.41666666666666669</v>
      </c>
      <c r="C31" s="83"/>
      <c r="D31" s="85"/>
      <c r="E31" s="82"/>
      <c r="F31" s="81"/>
      <c r="H31" s="82"/>
      <c r="N31" s="82"/>
    </row>
    <row r="32" spans="2:14">
      <c r="B32" s="77" t="str">
        <f>'GRUPO A'!K24</f>
        <v>Rusia</v>
      </c>
      <c r="C32" s="78"/>
      <c r="D32" s="86"/>
      <c r="E32" s="80"/>
      <c r="F32" s="80"/>
      <c r="H32" s="82"/>
      <c r="N32" s="82"/>
    </row>
    <row r="33" spans="2:14">
      <c r="E33" s="83">
        <v>43288</v>
      </c>
      <c r="F33" s="87"/>
      <c r="H33" s="77" t="str">
        <f>IF(F30="","",IF(F30&gt;F36,E30,IF(F30&lt;F36,E36,IF(G30&gt;G36,E30,IF(G30&lt;G36,E36,"")))))</f>
        <v/>
      </c>
      <c r="I33" s="78"/>
      <c r="J33" s="79"/>
      <c r="N33" s="82"/>
    </row>
    <row r="34" spans="2:14">
      <c r="B34" s="77" t="str">
        <f>'GRUPO D'!K23</f>
        <v>Argentina</v>
      </c>
      <c r="C34" s="78"/>
      <c r="D34" s="79"/>
      <c r="E34" s="84">
        <v>0.41666666666666669</v>
      </c>
      <c r="F34" s="84"/>
      <c r="H34" s="82"/>
      <c r="K34" s="82"/>
      <c r="N34" s="82"/>
    </row>
    <row r="35" spans="2:14">
      <c r="B35" s="80"/>
      <c r="C35" s="81"/>
      <c r="D35" s="81"/>
      <c r="E35" s="82"/>
      <c r="F35" s="81"/>
      <c r="H35" s="82"/>
      <c r="K35" s="82"/>
      <c r="N35" s="82"/>
    </row>
    <row r="36" spans="2:14">
      <c r="B36" s="83">
        <v>43282</v>
      </c>
      <c r="C36" s="81"/>
      <c r="D36" s="81"/>
      <c r="E36" s="77" t="str">
        <f>IF(C34="","",IF(C34&gt;C38,B34,IF(C34&lt;C38,B38,IF(D34&gt;D38,B34,IF(D34&lt;D38,B38,"")))))</f>
        <v/>
      </c>
      <c r="F36" s="78"/>
      <c r="G36" s="86"/>
      <c r="K36" s="82"/>
      <c r="N36" s="82"/>
    </row>
    <row r="37" spans="2:14">
      <c r="B37" s="84">
        <v>0.58333333333333337</v>
      </c>
      <c r="D37" s="85"/>
      <c r="E37" s="82"/>
      <c r="F37" s="81"/>
      <c r="K37" s="82"/>
      <c r="N37" s="82"/>
    </row>
    <row r="38" spans="2:14">
      <c r="B38" s="77" t="str">
        <f>'GRUPO C'!K24</f>
        <v>Perú</v>
      </c>
      <c r="C38" s="78"/>
      <c r="D38" s="86"/>
      <c r="H38" s="80"/>
      <c r="K38" s="82"/>
      <c r="N38" s="82"/>
    </row>
    <row r="39" spans="2:14">
      <c r="H39" s="83">
        <v>43292</v>
      </c>
      <c r="K39" s="77" t="str">
        <f>IF(I33="","",IF(I33&gt;I45,H33,IF(I33&lt;I45,H45,IF(J33&gt;J45,H33,IF(J33&lt;J45,H45,"")))))</f>
        <v/>
      </c>
      <c r="L39" s="78"/>
      <c r="M39" s="86"/>
    </row>
    <row r="40" spans="2:14">
      <c r="B40" s="77" t="str">
        <f>'GRUPO F'!K23</f>
        <v>Alemania</v>
      </c>
      <c r="C40" s="78"/>
      <c r="D40" s="79"/>
      <c r="H40" s="84">
        <v>0.58333333333333337</v>
      </c>
      <c r="K40" s="82"/>
    </row>
    <row r="41" spans="2:14">
      <c r="B41" s="80"/>
      <c r="C41" s="81"/>
      <c r="D41" s="81"/>
      <c r="E41" s="82"/>
      <c r="F41" s="81"/>
      <c r="K41" s="82"/>
    </row>
    <row r="42" spans="2:14">
      <c r="B42" s="83">
        <v>43284</v>
      </c>
      <c r="C42" s="81"/>
      <c r="D42" s="81"/>
      <c r="E42" s="77" t="str">
        <f>IF(C40="","",IF(C40&gt;C44,B40,IF(C40&lt;C44,B44,IF(D40&gt;D44,B40,B44))))</f>
        <v/>
      </c>
      <c r="F42" s="78"/>
      <c r="G42" s="79"/>
      <c r="K42" s="82"/>
    </row>
    <row r="43" spans="2:14">
      <c r="B43" s="84">
        <v>0.41666666666666669</v>
      </c>
      <c r="C43" s="83"/>
      <c r="D43" s="85"/>
      <c r="E43" s="82"/>
      <c r="F43" s="81"/>
      <c r="H43" s="82"/>
      <c r="K43" s="82"/>
    </row>
    <row r="44" spans="2:14">
      <c r="B44" s="77" t="str">
        <f>'GRUPO E'!K24</f>
        <v>Suiza</v>
      </c>
      <c r="C44" s="78"/>
      <c r="D44" s="86"/>
      <c r="E44" s="80"/>
      <c r="F44" s="80"/>
      <c r="H44" s="82"/>
      <c r="K44" s="82"/>
    </row>
    <row r="45" spans="2:14">
      <c r="E45" s="83">
        <v>43288</v>
      </c>
      <c r="F45" s="87"/>
      <c r="H45" s="77" t="str">
        <f>IF(F42="","",IF(F42&gt;F48,E42,IF(F42&lt;F48,E48,IF(G42&gt;G48,E42,IF(G42&lt;G48,E48,"")))))</f>
        <v/>
      </c>
      <c r="I45" s="78"/>
      <c r="J45" s="86"/>
    </row>
    <row r="46" spans="2:14">
      <c r="B46" s="77" t="str">
        <f>'GRUPO H'!K23</f>
        <v>Colombia</v>
      </c>
      <c r="C46" s="78"/>
      <c r="D46" s="79"/>
      <c r="E46" s="84">
        <v>0.58333333333333337</v>
      </c>
      <c r="F46" s="84"/>
      <c r="H46" s="82"/>
    </row>
    <row r="47" spans="2:14">
      <c r="B47" s="80"/>
      <c r="C47" s="81"/>
      <c r="D47" s="81"/>
      <c r="E47" s="82"/>
      <c r="F47" s="81"/>
      <c r="H47" s="82"/>
    </row>
    <row r="48" spans="2:14" ht="16.5" customHeight="1">
      <c r="B48" s="83">
        <v>43284</v>
      </c>
      <c r="C48" s="81"/>
      <c r="D48" s="81"/>
      <c r="E48" s="77" t="str">
        <f>IF(C46="","",IF(C46&gt;C50,B46,IF(C46&lt;C50,B50,IF(D46&gt;D50,B46,B50))))</f>
        <v/>
      </c>
      <c r="F48" s="78"/>
      <c r="G48" s="86"/>
      <c r="K48" s="168" t="s">
        <v>23</v>
      </c>
      <c r="L48" s="168"/>
      <c r="M48" s="168"/>
      <c r="N48" s="168"/>
    </row>
    <row r="49" spans="2:14">
      <c r="B49" s="84">
        <v>0.58333333333333337</v>
      </c>
      <c r="D49" s="85"/>
      <c r="E49" s="82"/>
      <c r="F49" s="81"/>
    </row>
    <row r="50" spans="2:14">
      <c r="B50" s="77" t="str">
        <f>'GRUPO G'!K24</f>
        <v>Bélgica</v>
      </c>
      <c r="C50" s="78"/>
      <c r="D50" s="86"/>
      <c r="K50" s="77" t="str">
        <f>IF(I9="","",IF(I9&lt;I21,H9,IF(I9&gt;I21,H21,IF(J9&lt;J21,H9,H21))))</f>
        <v/>
      </c>
      <c r="L50" s="78"/>
      <c r="M50" s="79"/>
    </row>
    <row r="51" spans="2:14">
      <c r="N51" s="82"/>
    </row>
    <row r="52" spans="2:14">
      <c r="K52" s="80"/>
      <c r="N52" s="82"/>
    </row>
    <row r="53" spans="2:14" ht="23.25">
      <c r="K53" s="83">
        <v>43295</v>
      </c>
      <c r="N53" s="88" t="str">
        <f>IF(L50="","",IF(L50&gt;L56,K50,IF(L50&lt;L56,K56,IF(M50&gt;M56,K50,IF(M50&lt;M56,K56,"")))))</f>
        <v/>
      </c>
    </row>
    <row r="54" spans="2:14">
      <c r="K54" s="84">
        <v>0.41666666666666669</v>
      </c>
      <c r="N54" s="82"/>
    </row>
    <row r="55" spans="2:14">
      <c r="N55" s="82"/>
    </row>
    <row r="56" spans="2:14">
      <c r="K56" s="77" t="str">
        <f>IF(I33="","",IF(I33&lt;I45,H33,IF(I33&gt;I45,H45,IF(J33&lt;J45,H33,H45))))</f>
        <v/>
      </c>
      <c r="L56" s="78"/>
      <c r="M56" s="86"/>
    </row>
  </sheetData>
  <sheetProtection sheet="1" objects="1" scenarios="1"/>
  <mergeCells count="5">
    <mergeCell ref="B2:D2"/>
    <mergeCell ref="E2:G2"/>
    <mergeCell ref="H2:J2"/>
    <mergeCell ref="K2:M2"/>
    <mergeCell ref="K48:N48"/>
  </mergeCells>
  <conditionalFormatting sqref="D4 D10 D16 D22 D28 D34 D40 D46">
    <cfRule type="expression" dxfId="7" priority="1" stopIfTrue="1">
      <formula>AND(C4&lt;&gt;"",C4=C8)</formula>
    </cfRule>
  </conditionalFormatting>
  <conditionalFormatting sqref="D8 D14 D20 D26 D32 D38 D44 D50">
    <cfRule type="expression" dxfId="6" priority="2" stopIfTrue="1">
      <formula>AND(C4&lt;&gt;"",C4=C8)</formula>
    </cfRule>
  </conditionalFormatting>
  <conditionalFormatting sqref="G6 G18 G30 G42 M50">
    <cfRule type="expression" dxfId="5" priority="3" stopIfTrue="1">
      <formula>AND(F6&lt;&gt;"",F6=F12)</formula>
    </cfRule>
  </conditionalFormatting>
  <conditionalFormatting sqref="G12 G24 G36 G48 M56">
    <cfRule type="expression" dxfId="4" priority="4" stopIfTrue="1">
      <formula>AND(F6&lt;&gt;"",F6=F12)</formula>
    </cfRule>
  </conditionalFormatting>
  <conditionalFormatting sqref="J9 J33">
    <cfRule type="expression" dxfId="3" priority="5" stopIfTrue="1">
      <formula>AND(I9&lt;&gt;"",I9=I21)</formula>
    </cfRule>
  </conditionalFormatting>
  <conditionalFormatting sqref="J21 J45">
    <cfRule type="expression" dxfId="2" priority="6" stopIfTrue="1">
      <formula>AND(I9&lt;&gt;"",I9=I21)</formula>
    </cfRule>
  </conditionalFormatting>
  <conditionalFormatting sqref="M15">
    <cfRule type="expression" dxfId="1" priority="7" stopIfTrue="1">
      <formula>AND(L15&lt;&gt;"",L15=L39)</formula>
    </cfRule>
  </conditionalFormatting>
  <conditionalFormatting sqref="M39">
    <cfRule type="expression" dxfId="0" priority="8" stopIfTrue="1">
      <formula>AND(L15&lt;&gt;"",L15=L39)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S36"/>
  <sheetViews>
    <sheetView showGridLines="0" showRowColHeaders="0" zoomScale="85" zoomScaleNormal="85" workbookViewId="0">
      <pane xSplit="20" ySplit="25" topLeftCell="U75" activePane="bottomRight" state="frozenSplit"/>
      <selection activeCell="H37" sqref="H37"/>
      <selection pane="topRight" activeCell="H37" sqref="H37"/>
      <selection pane="bottomLeft" activeCell="H37" sqref="H37"/>
      <selection pane="bottomRight" activeCell="H25" sqref="H25"/>
    </sheetView>
  </sheetViews>
  <sheetFormatPr baseColWidth="10" defaultRowHeight="12.75"/>
  <cols>
    <col min="1" max="1" width="1.7109375" style="94" customWidth="1"/>
    <col min="2" max="2" width="12.42578125" style="94" bestFit="1" customWidth="1"/>
    <col min="3" max="3" width="5.85546875" style="94" customWidth="1"/>
    <col min="4" max="4" width="11.140625" style="94" customWidth="1"/>
    <col min="5" max="5" width="15.28515625" style="94" customWidth="1"/>
    <col min="6" max="6" width="10.42578125" style="94" customWidth="1"/>
    <col min="7" max="7" width="3.7109375" style="94" customWidth="1"/>
    <col min="8" max="8" width="10.85546875" style="94" customWidth="1"/>
    <col min="9" max="9" width="3.7109375" style="94" customWidth="1"/>
    <col min="10" max="10" width="2.140625" style="94" customWidth="1"/>
    <col min="11" max="11" width="13.42578125" style="94" customWidth="1"/>
    <col min="12" max="19" width="5.7109375" style="94" customWidth="1"/>
    <col min="20" max="20" width="15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97">
        <f ca="1">TODAY()</f>
        <v>43264</v>
      </c>
    </row>
    <row r="3" spans="2:19" ht="18">
      <c r="B3" s="98" t="s">
        <v>105</v>
      </c>
      <c r="C3" s="99"/>
      <c r="D3" s="100"/>
      <c r="E3" s="99"/>
    </row>
    <row r="4" spans="2:19">
      <c r="B4" s="101">
        <f ca="1">NOW()</f>
        <v>43264.436886689815</v>
      </c>
      <c r="H4" s="102"/>
    </row>
    <row r="12" spans="2:19" ht="12.75" customHeight="1">
      <c r="B12" s="155" t="s">
        <v>1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</f>
        <v>Equipo</v>
      </c>
      <c r="L16" s="139" t="str">
        <f>'Primera Ronda'!L3</f>
        <v>G</v>
      </c>
      <c r="M16" s="139" t="str">
        <f>'Primera Ronda'!M3</f>
        <v>E</v>
      </c>
      <c r="N16" s="139" t="str">
        <f>'Primera Ronda'!N3</f>
        <v>P</v>
      </c>
      <c r="O16" s="139" t="str">
        <f>'Primera Ronda'!O3</f>
        <v>GF</v>
      </c>
      <c r="P16" s="139" t="str">
        <f>'Primera Ronda'!P3</f>
        <v>GC</v>
      </c>
      <c r="Q16" s="139" t="str">
        <f>'Primera Ronda'!Q3</f>
        <v>DG</v>
      </c>
      <c r="R16" s="139" t="str">
        <f>'Primera Ronda'!R3</f>
        <v>Pts.</v>
      </c>
      <c r="S16" s="142" t="s">
        <v>4</v>
      </c>
    </row>
    <row r="17" spans="2:19" ht="13.5" thickTop="1">
      <c r="B17" s="104">
        <v>43265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equipos!$D$2</f>
        <v>Rusia</v>
      </c>
      <c r="G17" s="108">
        <v>3</v>
      </c>
      <c r="H17" s="109" t="str">
        <f>equipos!$D$3</f>
        <v>Arabia Saudí</v>
      </c>
      <c r="I17" s="110">
        <v>1</v>
      </c>
      <c r="K17" s="111" t="str">
        <f>'Primera Ronda'!K4</f>
        <v>Uruguay</v>
      </c>
      <c r="L17" s="28">
        <f>'Primera Ronda'!L4</f>
        <v>2</v>
      </c>
      <c r="M17" s="29">
        <f>'Primera Ronda'!M4</f>
        <v>1</v>
      </c>
      <c r="N17" s="29">
        <f>'Primera Ronda'!N4</f>
        <v>0</v>
      </c>
      <c r="O17" s="29">
        <f>'Primera Ronda'!O4</f>
        <v>7</v>
      </c>
      <c r="P17" s="29">
        <f>'Primera Ronda'!P4</f>
        <v>3</v>
      </c>
      <c r="Q17" s="29">
        <f>'Primera Ronda'!Q4</f>
        <v>4</v>
      </c>
      <c r="R17" s="29">
        <f>'Primera Ronda'!R4</f>
        <v>7</v>
      </c>
      <c r="S17" s="30">
        <f>SUM(L17:N17)</f>
        <v>3</v>
      </c>
    </row>
    <row r="18" spans="2:19" ht="13.5" thickBot="1">
      <c r="B18" s="112">
        <v>43266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equipos!$D$4</f>
        <v>Egipto</v>
      </c>
      <c r="G18" s="114">
        <v>1</v>
      </c>
      <c r="H18" s="115" t="str">
        <f>equipos!$D$5</f>
        <v>Uruguay</v>
      </c>
      <c r="I18" s="116">
        <v>2</v>
      </c>
      <c r="K18" s="117" t="str">
        <f>'Primera Ronda'!K5</f>
        <v>Rusia</v>
      </c>
      <c r="L18" s="31">
        <f>'Primera Ronda'!L5</f>
        <v>2</v>
      </c>
      <c r="M18" s="32">
        <f>'Primera Ronda'!M5</f>
        <v>1</v>
      </c>
      <c r="N18" s="32">
        <f>'Primera Ronda'!N5</f>
        <v>0</v>
      </c>
      <c r="O18" s="32">
        <f>'Primera Ronda'!O5</f>
        <v>7</v>
      </c>
      <c r="P18" s="32">
        <f>'Primera Ronda'!P5</f>
        <v>4</v>
      </c>
      <c r="Q18" s="32">
        <f>'Primera Ronda'!Q5</f>
        <v>3</v>
      </c>
      <c r="R18" s="32">
        <f>'Primera Ronda'!R5</f>
        <v>7</v>
      </c>
      <c r="S18" s="33">
        <f>SUM(L18:N18)</f>
        <v>3</v>
      </c>
    </row>
    <row r="19" spans="2:19" ht="13.5" thickTop="1">
      <c r="B19" s="118">
        <v>43270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equipos!$D$2</f>
        <v>Rusia</v>
      </c>
      <c r="G19" s="114">
        <v>2</v>
      </c>
      <c r="H19" s="109" t="str">
        <f>equipos!$D$4</f>
        <v>Egipto</v>
      </c>
      <c r="I19" s="116">
        <v>1</v>
      </c>
      <c r="K19" s="117" t="str">
        <f>'Primera Ronda'!K6</f>
        <v>Egipto</v>
      </c>
      <c r="L19" s="31">
        <f>'Primera Ronda'!L6</f>
        <v>1</v>
      </c>
      <c r="M19" s="32">
        <f>'Primera Ronda'!M6</f>
        <v>0</v>
      </c>
      <c r="N19" s="32">
        <f>'Primera Ronda'!N6</f>
        <v>2</v>
      </c>
      <c r="O19" s="32">
        <f>'Primera Ronda'!O6</f>
        <v>4</v>
      </c>
      <c r="P19" s="32">
        <f>'Primera Ronda'!P6</f>
        <v>5</v>
      </c>
      <c r="Q19" s="32">
        <f>'Primera Ronda'!Q6</f>
        <v>-1</v>
      </c>
      <c r="R19" s="32">
        <f>'Primera Ronda'!R6</f>
        <v>3</v>
      </c>
      <c r="S19" s="33">
        <f>SUM(L19:N19)</f>
        <v>3</v>
      </c>
    </row>
    <row r="20" spans="2:19" ht="13.5" thickBot="1">
      <c r="B20" s="112">
        <v>43271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equipos!$D$5</f>
        <v>Uruguay</v>
      </c>
      <c r="G20" s="114">
        <v>3</v>
      </c>
      <c r="H20" s="115" t="str">
        <f>equipos!$D$3</f>
        <v>Arabia Saudí</v>
      </c>
      <c r="I20" s="116">
        <v>0</v>
      </c>
      <c r="K20" s="125" t="str">
        <f>'Primera Ronda'!K7</f>
        <v>Arabia Saudí</v>
      </c>
      <c r="L20" s="34">
        <f>'Primera Ronda'!L7</f>
        <v>0</v>
      </c>
      <c r="M20" s="35">
        <f>'Primera Ronda'!M7</f>
        <v>0</v>
      </c>
      <c r="N20" s="35">
        <f>'Primera Ronda'!N7</f>
        <v>3</v>
      </c>
      <c r="O20" s="35">
        <f>'Primera Ronda'!O7</f>
        <v>2</v>
      </c>
      <c r="P20" s="35">
        <f>'Primera Ronda'!P7</f>
        <v>8</v>
      </c>
      <c r="Q20" s="35">
        <f>'Primera Ronda'!Q7</f>
        <v>-6</v>
      </c>
      <c r="R20" s="35">
        <f>'Primera Ronda'!R7</f>
        <v>0</v>
      </c>
      <c r="S20" s="36">
        <f>SUM(L20:N20)</f>
        <v>3</v>
      </c>
    </row>
    <row r="21" spans="2:19" ht="14.25" thickTop="1" thickBot="1">
      <c r="B21" s="126">
        <v>43276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equipos!$D$5</f>
        <v>Uruguay</v>
      </c>
      <c r="G21" s="114">
        <v>2</v>
      </c>
      <c r="H21" s="109" t="str">
        <f>equipos!$D$2</f>
        <v>Rusia</v>
      </c>
      <c r="I21" s="116">
        <v>2</v>
      </c>
    </row>
    <row r="22" spans="2:19" ht="14.25" thickTop="1" thickBot="1">
      <c r="B22" s="112">
        <v>43276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equipos!$D$3</f>
        <v>Arabia Saudí</v>
      </c>
      <c r="G22" s="127">
        <v>1</v>
      </c>
      <c r="H22" s="115" t="str">
        <f>equipos!$D$4</f>
        <v>Egipto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0.4368055555555555</v>
      </c>
    </row>
    <row r="23" spans="2:19" ht="13.5" thickTop="1">
      <c r="K23" s="153" t="str">
        <f>IF(S17=3,K17,"1A")</f>
        <v>Uruguay</v>
      </c>
      <c r="L23" s="153"/>
      <c r="M23" s="153"/>
      <c r="N23" s="153"/>
      <c r="P23" s="138">
        <f ca="1">HOUR(B4)</f>
        <v>10</v>
      </c>
    </row>
    <row r="24" spans="2:19" ht="12.75" customHeight="1" thickBot="1">
      <c r="K24" s="154" t="str">
        <f>IF(S18=3,K18,"2A")</f>
        <v>Rusia</v>
      </c>
      <c r="L24" s="154"/>
      <c r="M24" s="154"/>
      <c r="N24" s="154"/>
      <c r="P24" s="138">
        <f ca="1">MINUTE(B4)</f>
        <v>29</v>
      </c>
    </row>
    <row r="25" spans="2:19" ht="24.95" customHeight="1"/>
    <row r="27" spans="2:19" ht="12.75" customHeight="1"/>
    <row r="29" spans="2:19">
      <c r="J29" s="106"/>
      <c r="K29" s="106"/>
      <c r="L29" s="106"/>
    </row>
    <row r="30" spans="2:19">
      <c r="J30" s="106"/>
      <c r="K30" s="106"/>
      <c r="L30" s="106"/>
    </row>
    <row r="31" spans="2:19">
      <c r="J31" s="106"/>
      <c r="K31" s="106"/>
      <c r="L31" s="106"/>
    </row>
    <row r="32" spans="2:19">
      <c r="J32" s="106"/>
      <c r="K32" s="106"/>
      <c r="L32" s="106"/>
    </row>
    <row r="33" spans="10:12">
      <c r="J33" s="106"/>
      <c r="K33" s="106"/>
      <c r="L33" s="106"/>
    </row>
    <row r="34" spans="10:12">
      <c r="J34" s="106"/>
      <c r="K34" s="106"/>
      <c r="L34" s="106"/>
    </row>
    <row r="35" spans="10:12">
      <c r="J35" s="106"/>
      <c r="K35" s="106"/>
      <c r="L35" s="106"/>
    </row>
    <row r="36" spans="10:12">
      <c r="J36" s="106"/>
      <c r="K36" s="106"/>
      <c r="L36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7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S34"/>
  <sheetViews>
    <sheetView zoomScale="85" zoomScaleNormal="85" workbookViewId="0">
      <pane xSplit="20" ySplit="25" topLeftCell="U71" activePane="bottomRight" state="frozenSplit"/>
      <selection activeCell="H37" sqref="H37"/>
      <selection pane="topRight" activeCell="H37" sqref="H37"/>
      <selection pane="bottomLeft" activeCell="H37" sqref="H37"/>
      <selection pane="bottomRight" activeCell="F72" sqref="F72"/>
    </sheetView>
  </sheetViews>
  <sheetFormatPr baseColWidth="10" defaultRowHeight="12.75"/>
  <cols>
    <col min="1" max="1" width="1.7109375" style="94" customWidth="1"/>
    <col min="2" max="2" width="12.42578125" style="94" bestFit="1" customWidth="1"/>
    <col min="3" max="3" width="7.28515625" style="94" customWidth="1"/>
    <col min="4" max="4" width="14" style="94" customWidth="1"/>
    <col min="5" max="5" width="15.85546875" style="94" customWidth="1"/>
    <col min="6" max="6" width="10.42578125" style="94" customWidth="1"/>
    <col min="7" max="7" width="3.7109375" style="94" customWidth="1"/>
    <col min="8" max="8" width="10.28515625" style="94" customWidth="1"/>
    <col min="9" max="9" width="3.7109375" style="94" customWidth="1"/>
    <col min="10" max="10" width="2.42578125" style="94" customWidth="1"/>
    <col min="11" max="11" width="14.7109375" style="94" customWidth="1"/>
    <col min="12" max="19" width="5.28515625" style="94" customWidth="1"/>
    <col min="20" max="20" width="30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97">
        <f ca="1">TODAY()</f>
        <v>43264</v>
      </c>
    </row>
    <row r="3" spans="2:19" ht="18">
      <c r="B3" s="98" t="s">
        <v>105</v>
      </c>
      <c r="C3" s="99"/>
      <c r="D3" s="100"/>
      <c r="E3" s="99"/>
    </row>
    <row r="4" spans="2:19">
      <c r="B4" s="101">
        <f ca="1">NOW()</f>
        <v>43264.436886689815</v>
      </c>
    </row>
    <row r="12" spans="2:19" ht="12.75" customHeight="1">
      <c r="B12" s="155" t="s">
        <v>6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Ronda'!K10</f>
        <v>Equipo</v>
      </c>
      <c r="L16" s="139" t="str">
        <f>'Primera Ronda'!L10</f>
        <v>G</v>
      </c>
      <c r="M16" s="139" t="str">
        <f>'Primera Ronda'!M10</f>
        <v>E</v>
      </c>
      <c r="N16" s="139" t="str">
        <f>'Primera Ronda'!N10</f>
        <v>P</v>
      </c>
      <c r="O16" s="139" t="str">
        <f>'Primera Ronda'!O10</f>
        <v>GF</v>
      </c>
      <c r="P16" s="139" t="str">
        <f>'Primera Ronda'!P10</f>
        <v>GC</v>
      </c>
      <c r="Q16" s="139" t="str">
        <f>'Primera Ronda'!Q10</f>
        <v>DG</v>
      </c>
      <c r="R16" s="139" t="str">
        <f>'Primera Ronda'!R10</f>
        <v>Pts.</v>
      </c>
      <c r="S16" s="142" t="str">
        <f>'Primera Ronda'!S10</f>
        <v>PJ</v>
      </c>
    </row>
    <row r="17" spans="2:19" ht="13.5" thickTop="1">
      <c r="B17" s="104">
        <v>43266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juego",IF($P$22&lt;C17,"HOY!","Finalizado")),IF($B$2&gt;B17,"Finalizado","Proximamente...")))</f>
        <v>Proximamente...</v>
      </c>
      <c r="F17" s="107" t="str">
        <f>equipos!$D$7</f>
        <v>Portugal</v>
      </c>
      <c r="G17" s="108">
        <v>2</v>
      </c>
      <c r="H17" s="109" t="str">
        <f>equipos!$D$8</f>
        <v>España</v>
      </c>
      <c r="I17" s="110">
        <v>1</v>
      </c>
      <c r="K17" s="111" t="str">
        <f>'Primera Ronda'!K11</f>
        <v>Portugal</v>
      </c>
      <c r="L17" s="28">
        <f>'Primera Ronda'!L11</f>
        <v>3</v>
      </c>
      <c r="M17" s="29">
        <f>'Primera Ronda'!M11</f>
        <v>0</v>
      </c>
      <c r="N17" s="29">
        <f>'Primera Ronda'!N11</f>
        <v>0</v>
      </c>
      <c r="O17" s="29">
        <f>'Primera Ronda'!O11</f>
        <v>7</v>
      </c>
      <c r="P17" s="29">
        <f>'Primera Ronda'!P11</f>
        <v>2</v>
      </c>
      <c r="Q17" s="29">
        <f>'Primera Ronda'!Q11</f>
        <v>5</v>
      </c>
      <c r="R17" s="29">
        <f>'Primera Ronda'!R11</f>
        <v>9</v>
      </c>
      <c r="S17" s="30">
        <f>'Primera Ronda'!S11</f>
        <v>3</v>
      </c>
    </row>
    <row r="18" spans="2:19" ht="13.5" thickBot="1">
      <c r="B18" s="112">
        <v>43266</v>
      </c>
      <c r="C18" s="100">
        <v>0.45833333333333331</v>
      </c>
      <c r="D18" s="105"/>
      <c r="E18" s="113" t="str">
        <f t="shared" ca="1" si="0"/>
        <v>Proximamente...</v>
      </c>
      <c r="F18" s="107" t="str">
        <f>equipos!$D$9</f>
        <v>Marruecos</v>
      </c>
      <c r="G18" s="114">
        <v>2</v>
      </c>
      <c r="H18" s="115" t="str">
        <f>equipos!$D$10</f>
        <v>Irán</v>
      </c>
      <c r="I18" s="116">
        <v>2</v>
      </c>
      <c r="K18" s="117" t="str">
        <f>'Primera Ronda'!K12</f>
        <v>España</v>
      </c>
      <c r="L18" s="31">
        <f>'Primera Ronda'!L12</f>
        <v>2</v>
      </c>
      <c r="M18" s="32">
        <f>'Primera Ronda'!M12</f>
        <v>0</v>
      </c>
      <c r="N18" s="32">
        <f>'Primera Ronda'!N12</f>
        <v>1</v>
      </c>
      <c r="O18" s="32">
        <f>'Primera Ronda'!O12</f>
        <v>6</v>
      </c>
      <c r="P18" s="32">
        <f>'Primera Ronda'!P12</f>
        <v>3</v>
      </c>
      <c r="Q18" s="32">
        <f>'Primera Ronda'!Q12</f>
        <v>3</v>
      </c>
      <c r="R18" s="32">
        <f>'Primera Ronda'!R12</f>
        <v>6</v>
      </c>
      <c r="S18" s="33">
        <f>'Primera Ronda'!S12</f>
        <v>3</v>
      </c>
    </row>
    <row r="19" spans="2:19" ht="13.5" thickTop="1">
      <c r="B19" s="118">
        <v>43271</v>
      </c>
      <c r="C19" s="119">
        <v>0.33333333333333331</v>
      </c>
      <c r="D19" s="120"/>
      <c r="E19" s="106" t="str">
        <f t="shared" ca="1" si="0"/>
        <v>Proximamente...</v>
      </c>
      <c r="F19" s="121" t="str">
        <f>equipos!$D$7</f>
        <v>Portugal</v>
      </c>
      <c r="G19" s="114">
        <v>2</v>
      </c>
      <c r="H19" s="109" t="str">
        <f>equipos!$D$9</f>
        <v>Marruecos</v>
      </c>
      <c r="I19" s="116">
        <v>0</v>
      </c>
      <c r="K19" s="117" t="str">
        <f>'Primera Ronda'!K13</f>
        <v>Irán</v>
      </c>
      <c r="L19" s="31">
        <f>'Primera Ronda'!L13</f>
        <v>0</v>
      </c>
      <c r="M19" s="32">
        <f>'Primera Ronda'!M13</f>
        <v>1</v>
      </c>
      <c r="N19" s="32">
        <f>'Primera Ronda'!N13</f>
        <v>2</v>
      </c>
      <c r="O19" s="32">
        <f>'Primera Ronda'!O13</f>
        <v>4</v>
      </c>
      <c r="P19" s="32">
        <f>'Primera Ronda'!P13</f>
        <v>8</v>
      </c>
      <c r="Q19" s="32">
        <f>'Primera Ronda'!Q13</f>
        <v>-4</v>
      </c>
      <c r="R19" s="32">
        <f>'Primera Ronda'!R13</f>
        <v>1</v>
      </c>
      <c r="S19" s="33">
        <f>'Primera Ronda'!S13</f>
        <v>3</v>
      </c>
    </row>
    <row r="20" spans="2:19" ht="13.5" thickBot="1">
      <c r="B20" s="112">
        <v>43271</v>
      </c>
      <c r="C20" s="122">
        <v>0.58333333333333337</v>
      </c>
      <c r="D20" s="123"/>
      <c r="E20" s="113" t="str">
        <f t="shared" ca="1" si="0"/>
        <v>Proximamente...</v>
      </c>
      <c r="F20" s="124" t="str">
        <f>equipos!$D$10</f>
        <v>Irán</v>
      </c>
      <c r="G20" s="114">
        <v>1</v>
      </c>
      <c r="H20" s="115" t="str">
        <f>equipos!$D$8</f>
        <v>España</v>
      </c>
      <c r="I20" s="116">
        <v>3</v>
      </c>
      <c r="K20" s="125" t="str">
        <f>'Primera Ronda'!K14</f>
        <v>Marruecos</v>
      </c>
      <c r="L20" s="34">
        <f>'Primera Ronda'!L14</f>
        <v>0</v>
      </c>
      <c r="M20" s="35">
        <f>'Primera Ronda'!M14</f>
        <v>1</v>
      </c>
      <c r="N20" s="35">
        <f>'Primera Ronda'!N14</f>
        <v>2</v>
      </c>
      <c r="O20" s="35">
        <f>'Primera Ronda'!O14</f>
        <v>2</v>
      </c>
      <c r="P20" s="35">
        <f>'Primera Ronda'!P14</f>
        <v>6</v>
      </c>
      <c r="Q20" s="35">
        <f>'Primera Ronda'!Q14</f>
        <v>-4</v>
      </c>
      <c r="R20" s="35">
        <f>'Primera Ronda'!R14</f>
        <v>1</v>
      </c>
      <c r="S20" s="36">
        <f>'Primera Ronda'!S14</f>
        <v>3</v>
      </c>
    </row>
    <row r="21" spans="2:19" ht="14.25" thickTop="1" thickBot="1">
      <c r="B21" s="126">
        <v>43276</v>
      </c>
      <c r="C21" s="100">
        <v>0.58333333333333337</v>
      </c>
      <c r="D21" s="105"/>
      <c r="E21" s="106" t="str">
        <f t="shared" ca="1" si="0"/>
        <v>Proximamente...</v>
      </c>
      <c r="F21" s="107" t="str">
        <f>equipos!$D$10</f>
        <v>Irán</v>
      </c>
      <c r="G21" s="114">
        <v>1</v>
      </c>
      <c r="H21" s="109" t="str">
        <f>equipos!$D$7</f>
        <v>Portugal</v>
      </c>
      <c r="I21" s="116">
        <v>3</v>
      </c>
    </row>
    <row r="22" spans="2:19" ht="14.25" thickTop="1" thickBot="1">
      <c r="B22" s="112">
        <v>43276</v>
      </c>
      <c r="C22" s="122">
        <v>0.58333333333333337</v>
      </c>
      <c r="D22" s="123"/>
      <c r="E22" s="113" t="str">
        <f t="shared" ca="1" si="0"/>
        <v>Proximamente...</v>
      </c>
      <c r="F22" s="124" t="str">
        <f>equipos!$D$8</f>
        <v>España</v>
      </c>
      <c r="G22" s="127">
        <v>2</v>
      </c>
      <c r="H22" s="115" t="str">
        <f>equipos!$D$9</f>
        <v>Marruecos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0.4368055555555555</v>
      </c>
    </row>
    <row r="23" spans="2:19" ht="13.5" thickTop="1">
      <c r="K23" s="153" t="str">
        <f>IF(S17=3,K17,"1B")</f>
        <v>Portugal</v>
      </c>
      <c r="L23" s="153"/>
      <c r="M23" s="153"/>
      <c r="N23" s="153"/>
      <c r="P23" s="138">
        <f ca="1">HOUR(B4)</f>
        <v>10</v>
      </c>
    </row>
    <row r="24" spans="2:19" ht="13.5" thickBot="1">
      <c r="K24" s="154" t="str">
        <f>IF(S18=3,K18,"2B")</f>
        <v>España</v>
      </c>
      <c r="L24" s="154"/>
      <c r="M24" s="154"/>
      <c r="N24" s="154"/>
      <c r="P24" s="138">
        <f ca="1">MINUTE(B4)</f>
        <v>29</v>
      </c>
    </row>
    <row r="25" spans="2:19" ht="24.95" customHeight="1"/>
    <row r="26" spans="2:19" ht="12.75" customHeight="1"/>
    <row r="27" spans="2:19" ht="12.7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6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S34"/>
  <sheetViews>
    <sheetView zoomScale="85" zoomScaleNormal="85" workbookViewId="0">
      <pane xSplit="20" ySplit="25" topLeftCell="U44" activePane="bottomRight" state="frozenSplit"/>
      <selection activeCell="H37" sqref="H37"/>
      <selection pane="topRight" activeCell="H37" sqref="H37"/>
      <selection pane="bottomLeft" activeCell="H37" sqref="H37"/>
      <selection pane="bottomRight" activeCell="I23" sqref="I23"/>
    </sheetView>
  </sheetViews>
  <sheetFormatPr baseColWidth="10" defaultRowHeight="12.75"/>
  <cols>
    <col min="1" max="1" width="1.7109375" style="94" customWidth="1"/>
    <col min="2" max="2" width="12.42578125" style="94" bestFit="1" customWidth="1"/>
    <col min="3" max="3" width="6.85546875" style="94" customWidth="1"/>
    <col min="4" max="4" width="14.28515625" style="94" customWidth="1"/>
    <col min="5" max="5" width="15.28515625" style="94" customWidth="1"/>
    <col min="6" max="6" width="14" style="94" customWidth="1"/>
    <col min="7" max="7" width="3.7109375" style="94" customWidth="1"/>
    <col min="8" max="8" width="14" style="94" customWidth="1"/>
    <col min="9" max="9" width="3.7109375" style="94" customWidth="1"/>
    <col min="10" max="10" width="2.42578125" style="94" customWidth="1"/>
    <col min="11" max="11" width="13.7109375" style="94" customWidth="1"/>
    <col min="12" max="19" width="4.7109375" style="94" customWidth="1"/>
    <col min="20" max="20" width="25.7109375" style="94" customWidth="1"/>
    <col min="21" max="16384" width="11.42578125" style="94"/>
  </cols>
  <sheetData>
    <row r="1" spans="2:19" ht="23.25">
      <c r="B1" s="133" t="s">
        <v>0</v>
      </c>
      <c r="D1" s="95"/>
      <c r="E1" s="96"/>
    </row>
    <row r="2" spans="2:19">
      <c r="B2" s="134">
        <f ca="1">TODAY()</f>
        <v>43264</v>
      </c>
    </row>
    <row r="3" spans="2:19" ht="18">
      <c r="B3" s="135" t="s">
        <v>105</v>
      </c>
      <c r="C3" s="99"/>
      <c r="D3" s="100"/>
      <c r="E3" s="99"/>
    </row>
    <row r="4" spans="2:19">
      <c r="B4" s="136">
        <f ca="1">NOW()</f>
        <v>43264.436886689815</v>
      </c>
    </row>
    <row r="12" spans="2:19" ht="12.75" customHeight="1">
      <c r="B12" s="155" t="s">
        <v>16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Ronda'!K17</f>
        <v>Equipo</v>
      </c>
      <c r="L16" s="139" t="str">
        <f>'Primera Ronda'!L17</f>
        <v>G</v>
      </c>
      <c r="M16" s="139" t="str">
        <f>'Primera Ronda'!M17</f>
        <v>E</v>
      </c>
      <c r="N16" s="139" t="str">
        <f>'Primera Ronda'!N17</f>
        <v>P</v>
      </c>
      <c r="O16" s="139" t="str">
        <f>'Primera Ronda'!O17</f>
        <v>GF</v>
      </c>
      <c r="P16" s="139" t="str">
        <f>'Primera Ronda'!P17</f>
        <v>GC</v>
      </c>
      <c r="Q16" s="139" t="str">
        <f>'Primera Ronda'!Q17</f>
        <v>DG</v>
      </c>
      <c r="R16" s="139" t="str">
        <f>'Primera Ronda'!R17</f>
        <v>Pts.</v>
      </c>
      <c r="S16" s="142" t="str">
        <f>'Primera Ronda'!S17</f>
        <v>PJ</v>
      </c>
    </row>
    <row r="17" spans="2:19" ht="13.5" thickTop="1">
      <c r="B17" s="104">
        <v>43267</v>
      </c>
      <c r="C17" s="100">
        <v>0.25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equipos!$D$12</f>
        <v>Francia</v>
      </c>
      <c r="G17" s="108">
        <v>3</v>
      </c>
      <c r="H17" s="109" t="str">
        <f>equipos!$D$13</f>
        <v>Australia</v>
      </c>
      <c r="I17" s="110">
        <v>1</v>
      </c>
      <c r="K17" s="111" t="str">
        <f>'Primera Ronda'!K18</f>
        <v>Francia</v>
      </c>
      <c r="L17" s="28">
        <f>'Primera Ronda'!L18</f>
        <v>3</v>
      </c>
      <c r="M17" s="29">
        <f>'Primera Ronda'!M18</f>
        <v>0</v>
      </c>
      <c r="N17" s="29">
        <f>'Primera Ronda'!N18</f>
        <v>0</v>
      </c>
      <c r="O17" s="29">
        <f>'Primera Ronda'!O18</f>
        <v>7</v>
      </c>
      <c r="P17" s="29">
        <f>'Primera Ronda'!P18</f>
        <v>2</v>
      </c>
      <c r="Q17" s="29">
        <f>'Primera Ronda'!Q18</f>
        <v>5</v>
      </c>
      <c r="R17" s="29">
        <f>'Primera Ronda'!R18</f>
        <v>9</v>
      </c>
      <c r="S17" s="30">
        <f>'Primera Ronda'!S18</f>
        <v>3</v>
      </c>
    </row>
    <row r="18" spans="2:19" ht="13.5" thickBot="1">
      <c r="B18" s="112">
        <v>43267</v>
      </c>
      <c r="C18" s="100">
        <v>0.5</v>
      </c>
      <c r="D18" s="105"/>
      <c r="E18" s="113" t="str">
        <f t="shared" ca="1" si="0"/>
        <v>Proximamente..</v>
      </c>
      <c r="F18" s="107" t="str">
        <f>equipos!$D$14</f>
        <v>Perú</v>
      </c>
      <c r="G18" s="114">
        <v>2</v>
      </c>
      <c r="H18" s="115" t="str">
        <f>equipos!$D$15</f>
        <v>Dinamarca</v>
      </c>
      <c r="I18" s="116">
        <v>0</v>
      </c>
      <c r="K18" s="117" t="str">
        <f>'Primera Ronda'!K19</f>
        <v>Perú</v>
      </c>
      <c r="L18" s="31">
        <f>'Primera Ronda'!L19</f>
        <v>2</v>
      </c>
      <c r="M18" s="32">
        <f>'Primera Ronda'!M19</f>
        <v>0</v>
      </c>
      <c r="N18" s="32">
        <f>'Primera Ronda'!N19</f>
        <v>1</v>
      </c>
      <c r="O18" s="32">
        <f>'Primera Ronda'!O19</f>
        <v>5</v>
      </c>
      <c r="P18" s="32">
        <f>'Primera Ronda'!P19</f>
        <v>3</v>
      </c>
      <c r="Q18" s="32">
        <f>'Primera Ronda'!Q19</f>
        <v>2</v>
      </c>
      <c r="R18" s="32">
        <f>'Primera Ronda'!R19</f>
        <v>6</v>
      </c>
      <c r="S18" s="33">
        <f>'Primera Ronda'!S19</f>
        <v>3</v>
      </c>
    </row>
    <row r="19" spans="2:19" ht="13.5" thickTop="1">
      <c r="B19" s="118">
        <v>43272</v>
      </c>
      <c r="C19" s="119">
        <v>0.45833333333333331</v>
      </c>
      <c r="D19" s="120"/>
      <c r="E19" s="106" t="str">
        <f t="shared" ca="1" si="0"/>
        <v>Proximamente..</v>
      </c>
      <c r="F19" s="121" t="str">
        <f>equipos!$D$12</f>
        <v>Francia</v>
      </c>
      <c r="G19" s="114">
        <v>2</v>
      </c>
      <c r="H19" s="109" t="str">
        <f>equipos!$D$14</f>
        <v>Perú</v>
      </c>
      <c r="I19" s="116">
        <v>0</v>
      </c>
      <c r="K19" s="117" t="str">
        <f>'Primera Ronda'!K20</f>
        <v>Australia</v>
      </c>
      <c r="L19" s="31">
        <f>'Primera Ronda'!L20</f>
        <v>1</v>
      </c>
      <c r="M19" s="32">
        <f>'Primera Ronda'!M20</f>
        <v>0</v>
      </c>
      <c r="N19" s="32">
        <f>'Primera Ronda'!N20</f>
        <v>2</v>
      </c>
      <c r="O19" s="32">
        <f>'Primera Ronda'!O20</f>
        <v>5</v>
      </c>
      <c r="P19" s="32">
        <f>'Primera Ronda'!P20</f>
        <v>8</v>
      </c>
      <c r="Q19" s="32">
        <f>'Primera Ronda'!Q20</f>
        <v>-3</v>
      </c>
      <c r="R19" s="32">
        <f>'Primera Ronda'!R20</f>
        <v>3</v>
      </c>
      <c r="S19" s="33">
        <f>'Primera Ronda'!S20</f>
        <v>3</v>
      </c>
    </row>
    <row r="20" spans="2:19" ht="13.5" thickBot="1">
      <c r="B20" s="112">
        <v>43272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equipos!$D$15</f>
        <v>Dinamarca</v>
      </c>
      <c r="G20" s="114">
        <v>2</v>
      </c>
      <c r="H20" s="115" t="str">
        <f>equipos!$D$13</f>
        <v>Australia</v>
      </c>
      <c r="I20" s="116">
        <v>3</v>
      </c>
      <c r="K20" s="125" t="str">
        <f>'Primera Ronda'!K21</f>
        <v>Dinamarca</v>
      </c>
      <c r="L20" s="34">
        <f>'Primera Ronda'!L21</f>
        <v>0</v>
      </c>
      <c r="M20" s="35">
        <f>'Primera Ronda'!M21</f>
        <v>0</v>
      </c>
      <c r="N20" s="35">
        <f>'Primera Ronda'!N21</f>
        <v>3</v>
      </c>
      <c r="O20" s="35">
        <f>'Primera Ronda'!O21</f>
        <v>3</v>
      </c>
      <c r="P20" s="35">
        <f>'Primera Ronda'!P21</f>
        <v>7</v>
      </c>
      <c r="Q20" s="35">
        <f>'Primera Ronda'!Q21</f>
        <v>-4</v>
      </c>
      <c r="R20" s="35">
        <f>'Primera Ronda'!R21</f>
        <v>0</v>
      </c>
      <c r="S20" s="36">
        <f>'Primera Ronda'!S21</f>
        <v>3</v>
      </c>
    </row>
    <row r="21" spans="2:19" ht="14.25" thickTop="1" thickBot="1">
      <c r="B21" s="126">
        <v>43277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equipos!$D$15</f>
        <v>Dinamarca</v>
      </c>
      <c r="G21" s="114">
        <v>1</v>
      </c>
      <c r="H21" s="109" t="str">
        <f>equipos!$D$12</f>
        <v>Francia</v>
      </c>
      <c r="I21" s="116">
        <v>2</v>
      </c>
    </row>
    <row r="22" spans="2:19" ht="14.25" thickTop="1" thickBot="1">
      <c r="B22" s="112">
        <v>43277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equipos!$D$13</f>
        <v>Australia</v>
      </c>
      <c r="G22" s="127">
        <v>1</v>
      </c>
      <c r="H22" s="115" t="str">
        <f>equipos!$D$14</f>
        <v>Perú</v>
      </c>
      <c r="I22" s="128">
        <v>3</v>
      </c>
      <c r="K22" s="150" t="s">
        <v>5</v>
      </c>
      <c r="L22" s="151"/>
      <c r="M22" s="151"/>
      <c r="N22" s="152"/>
      <c r="P22" s="137">
        <f ca="1">TIME(P23,P24,0)</f>
        <v>0.4368055555555555</v>
      </c>
    </row>
    <row r="23" spans="2:19" ht="13.5" thickTop="1">
      <c r="K23" s="153" t="str">
        <f>IF(S17=3,K17,"1C")</f>
        <v>Francia</v>
      </c>
      <c r="L23" s="153"/>
      <c r="M23" s="153"/>
      <c r="N23" s="153"/>
      <c r="P23" s="138">
        <f ca="1">HOUR(B4)</f>
        <v>10</v>
      </c>
    </row>
    <row r="24" spans="2:19" ht="13.5" thickBot="1">
      <c r="K24" s="154" t="str">
        <f>IF(S18=3,K18,"2C")</f>
        <v>Perú</v>
      </c>
      <c r="L24" s="154"/>
      <c r="M24" s="154"/>
      <c r="N24" s="154"/>
      <c r="P24" s="138">
        <f ca="1">MINUTE(B4)</f>
        <v>29</v>
      </c>
    </row>
    <row r="25" spans="2:19" ht="35.1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5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S34"/>
  <sheetViews>
    <sheetView zoomScale="85" zoomScaleNormal="85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 activeCell="Q25" sqref="Q25"/>
    </sheetView>
  </sheetViews>
  <sheetFormatPr baseColWidth="10" defaultRowHeight="12.75"/>
  <cols>
    <col min="1" max="1" width="1.7109375" style="94" customWidth="1"/>
    <col min="2" max="2" width="12.42578125" style="94" bestFit="1" customWidth="1"/>
    <col min="3" max="3" width="5.7109375" style="94" bestFit="1" customWidth="1"/>
    <col min="4" max="4" width="13.140625" style="94" bestFit="1" customWidth="1"/>
    <col min="5" max="5" width="16.42578125" style="94" customWidth="1"/>
    <col min="6" max="6" width="11.5703125" style="94" customWidth="1"/>
    <col min="7" max="7" width="3.7109375" style="94" customWidth="1"/>
    <col min="8" max="8" width="11.28515625" style="94" customWidth="1"/>
    <col min="9" max="9" width="3.7109375" style="94" customWidth="1"/>
    <col min="10" max="10" width="2.5703125" style="94" customWidth="1"/>
    <col min="11" max="11" width="13.1406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>
      <c r="B1" s="133" t="s">
        <v>0</v>
      </c>
      <c r="D1" s="95"/>
      <c r="E1" s="96"/>
    </row>
    <row r="2" spans="2:19">
      <c r="B2" s="134">
        <f ca="1">TODAY()</f>
        <v>43264</v>
      </c>
    </row>
    <row r="3" spans="2:19" ht="18">
      <c r="B3" s="135" t="s">
        <v>105</v>
      </c>
      <c r="C3" s="99"/>
      <c r="D3" s="100"/>
      <c r="E3" s="99"/>
    </row>
    <row r="4" spans="2:19">
      <c r="B4" s="136">
        <f ca="1">NOW()</f>
        <v>43264.436886689815</v>
      </c>
    </row>
    <row r="12" spans="2:19" ht="12.75" customHeight="1">
      <c r="B12" s="155" t="s">
        <v>11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Ronda'!K24</f>
        <v>Equipo</v>
      </c>
      <c r="L16" s="139" t="str">
        <f>'Primera Ronda'!L24</f>
        <v>G</v>
      </c>
      <c r="M16" s="139" t="str">
        <f>'Primera Ronda'!M24</f>
        <v>E</v>
      </c>
      <c r="N16" s="139" t="str">
        <f>'Primera Ronda'!N24</f>
        <v>P</v>
      </c>
      <c r="O16" s="139" t="str">
        <f>'Primera Ronda'!O24</f>
        <v>GF</v>
      </c>
      <c r="P16" s="139" t="str">
        <f>'Primera Ronda'!P24</f>
        <v>GC</v>
      </c>
      <c r="Q16" s="139" t="str">
        <f>'Primera Ronda'!Q24</f>
        <v>DG</v>
      </c>
      <c r="R16" s="139" t="str">
        <f>'Primera Ronda'!R24</f>
        <v>Pts.</v>
      </c>
      <c r="S16" s="142" t="str">
        <f>'Primera Ronda'!S24</f>
        <v>PJ</v>
      </c>
    </row>
    <row r="17" spans="2:19" ht="13.5" thickTop="1">
      <c r="B17" s="104">
        <v>43267</v>
      </c>
      <c r="C17" s="100">
        <v>0.375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equipos!$D$17</f>
        <v>Argentina</v>
      </c>
      <c r="G17" s="108">
        <v>2</v>
      </c>
      <c r="H17" s="109" t="str">
        <f>equipos!$D$18</f>
        <v>Islandia</v>
      </c>
      <c r="I17" s="110">
        <v>0</v>
      </c>
      <c r="K17" s="111" t="str">
        <f>'Primera Ronda'!K25</f>
        <v>Argentina</v>
      </c>
      <c r="L17" s="28">
        <f>'Primera Ronda'!L25</f>
        <v>3</v>
      </c>
      <c r="M17" s="29">
        <f>'Primera Ronda'!M25</f>
        <v>0</v>
      </c>
      <c r="N17" s="29">
        <f>'Primera Ronda'!N25</f>
        <v>0</v>
      </c>
      <c r="O17" s="29">
        <f>'Primera Ronda'!O25</f>
        <v>6</v>
      </c>
      <c r="P17" s="29">
        <f>'Primera Ronda'!P25</f>
        <v>2</v>
      </c>
      <c r="Q17" s="29">
        <f>'Primera Ronda'!Q25</f>
        <v>4</v>
      </c>
      <c r="R17" s="29">
        <f>'Primera Ronda'!R25</f>
        <v>9</v>
      </c>
      <c r="S17" s="30">
        <f>'Primera Ronda'!S25</f>
        <v>3</v>
      </c>
    </row>
    <row r="18" spans="2:19" ht="13.5" thickBot="1">
      <c r="B18" s="112">
        <v>43267</v>
      </c>
      <c r="C18" s="100">
        <v>0.625</v>
      </c>
      <c r="D18" s="105"/>
      <c r="E18" s="113" t="str">
        <f t="shared" ca="1" si="0"/>
        <v>Proximamente..</v>
      </c>
      <c r="F18" s="107" t="str">
        <f>equipos!$D$19</f>
        <v>Croacia</v>
      </c>
      <c r="G18" s="114">
        <v>1</v>
      </c>
      <c r="H18" s="115" t="str">
        <f>equipos!$D$20</f>
        <v>Nigeria</v>
      </c>
      <c r="I18" s="116">
        <v>2</v>
      </c>
      <c r="K18" s="117" t="str">
        <f>'Primera Ronda'!K26</f>
        <v>Nigeria</v>
      </c>
      <c r="L18" s="31">
        <f>'Primera Ronda'!L26</f>
        <v>2</v>
      </c>
      <c r="M18" s="32">
        <f>'Primera Ronda'!M26</f>
        <v>0</v>
      </c>
      <c r="N18" s="32">
        <f>'Primera Ronda'!N26</f>
        <v>1</v>
      </c>
      <c r="O18" s="32">
        <f>'Primera Ronda'!O26</f>
        <v>5</v>
      </c>
      <c r="P18" s="32">
        <f>'Primera Ronda'!P26</f>
        <v>3</v>
      </c>
      <c r="Q18" s="32">
        <f>'Primera Ronda'!Q26</f>
        <v>2</v>
      </c>
      <c r="R18" s="32">
        <f>'Primera Ronda'!R26</f>
        <v>6</v>
      </c>
      <c r="S18" s="33">
        <f>'Primera Ronda'!S26</f>
        <v>3</v>
      </c>
    </row>
    <row r="19" spans="2:19" ht="13.5" thickTop="1">
      <c r="B19" s="118">
        <v>43272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equipos!$D$17</f>
        <v>Argentina</v>
      </c>
      <c r="G19" s="114">
        <v>2</v>
      </c>
      <c r="H19" s="109" t="str">
        <f>equipos!$D$19</f>
        <v>Croacia</v>
      </c>
      <c r="I19" s="116">
        <v>1</v>
      </c>
      <c r="K19" s="117" t="str">
        <f>'Primera Ronda'!K27</f>
        <v>Croacia</v>
      </c>
      <c r="L19" s="31">
        <f>'Primera Ronda'!L27</f>
        <v>0</v>
      </c>
      <c r="M19" s="32">
        <f>'Primera Ronda'!M27</f>
        <v>1</v>
      </c>
      <c r="N19" s="32">
        <f>'Primera Ronda'!N27</f>
        <v>2</v>
      </c>
      <c r="O19" s="32">
        <f>'Primera Ronda'!O27</f>
        <v>4</v>
      </c>
      <c r="P19" s="32">
        <f>'Primera Ronda'!P27</f>
        <v>6</v>
      </c>
      <c r="Q19" s="32">
        <f>'Primera Ronda'!Q27</f>
        <v>-2</v>
      </c>
      <c r="R19" s="32">
        <f>'Primera Ronda'!R27</f>
        <v>1</v>
      </c>
      <c r="S19" s="33">
        <f>'Primera Ronda'!S27</f>
        <v>3</v>
      </c>
    </row>
    <row r="20" spans="2:19" ht="13.5" thickBot="1">
      <c r="B20" s="112">
        <v>43273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equipos!$D$20</f>
        <v>Nigeria</v>
      </c>
      <c r="G20" s="114">
        <v>2</v>
      </c>
      <c r="H20" s="115" t="str">
        <f>equipos!$D$18</f>
        <v>Islandia</v>
      </c>
      <c r="I20" s="116">
        <v>0</v>
      </c>
      <c r="K20" s="125" t="str">
        <f>'Primera Ronda'!K28</f>
        <v>Islandia</v>
      </c>
      <c r="L20" s="34">
        <f>'Primera Ronda'!L28</f>
        <v>0</v>
      </c>
      <c r="M20" s="35">
        <f>'Primera Ronda'!M28</f>
        <v>1</v>
      </c>
      <c r="N20" s="35">
        <f>'Primera Ronda'!N28</f>
        <v>2</v>
      </c>
      <c r="O20" s="35">
        <f>'Primera Ronda'!O28</f>
        <v>2</v>
      </c>
      <c r="P20" s="35">
        <f>'Primera Ronda'!P28</f>
        <v>6</v>
      </c>
      <c r="Q20" s="35">
        <f>'Primera Ronda'!Q28</f>
        <v>-4</v>
      </c>
      <c r="R20" s="35">
        <f>'Primera Ronda'!R28</f>
        <v>1</v>
      </c>
      <c r="S20" s="36">
        <f>'Primera Ronda'!S28</f>
        <v>3</v>
      </c>
    </row>
    <row r="21" spans="2:19" ht="14.25" thickTop="1" thickBot="1">
      <c r="B21" s="126">
        <v>43277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equipos!$D$20</f>
        <v>Nigeria</v>
      </c>
      <c r="G21" s="114">
        <v>1</v>
      </c>
      <c r="H21" s="109" t="str">
        <f>equipos!$D$17</f>
        <v>Argentina</v>
      </c>
      <c r="I21" s="116">
        <v>2</v>
      </c>
    </row>
    <row r="22" spans="2:19" ht="14.25" thickTop="1" thickBot="1">
      <c r="B22" s="112">
        <v>43277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equipos!$D$18</f>
        <v>Islandia</v>
      </c>
      <c r="G22" s="127">
        <v>2</v>
      </c>
      <c r="H22" s="115" t="str">
        <f>equipos!$D$19</f>
        <v>Croacia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0.4368055555555555</v>
      </c>
    </row>
    <row r="23" spans="2:19" ht="13.5" thickTop="1">
      <c r="K23" s="153" t="str">
        <f>IF(S17=3,K17,"1D")</f>
        <v>Argentina</v>
      </c>
      <c r="L23" s="153"/>
      <c r="M23" s="153"/>
      <c r="N23" s="153"/>
      <c r="P23" s="138">
        <f ca="1">HOUR(B4)</f>
        <v>10</v>
      </c>
    </row>
    <row r="24" spans="2:19" ht="13.5" thickBot="1">
      <c r="K24" s="154" t="str">
        <f>IF(S18=3,K18,"2D")</f>
        <v>Nigeria</v>
      </c>
      <c r="L24" s="154"/>
      <c r="M24" s="154"/>
      <c r="N24" s="154"/>
      <c r="P24" s="138">
        <f ca="1">MINUTE(B4)</f>
        <v>29</v>
      </c>
    </row>
    <row r="25" spans="2:19" ht="35.1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4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S34"/>
  <sheetViews>
    <sheetView zoomScale="85" zoomScaleNormal="85" workbookViewId="0">
      <pane xSplit="20" ySplit="26" topLeftCell="U48" activePane="bottomRight" state="frozenSplit"/>
      <selection activeCell="H37" sqref="H37"/>
      <selection pane="topRight" activeCell="H37" sqref="H37"/>
      <selection pane="bottomLeft" activeCell="H37" sqref="H37"/>
      <selection pane="bottomRight" activeCell="I23" sqref="I23"/>
    </sheetView>
  </sheetViews>
  <sheetFormatPr baseColWidth="10" defaultRowHeight="12.75"/>
  <cols>
    <col min="1" max="1" width="1.7109375" style="94" customWidth="1"/>
    <col min="2" max="2" width="12.140625" style="94" bestFit="1" customWidth="1"/>
    <col min="3" max="3" width="7" style="94" customWidth="1"/>
    <col min="4" max="4" width="14.85546875" style="94" customWidth="1"/>
    <col min="5" max="5" width="17" style="94" customWidth="1"/>
    <col min="6" max="6" width="10.140625" style="94" customWidth="1"/>
    <col min="7" max="7" width="3.7109375" style="94" customWidth="1"/>
    <col min="8" max="8" width="10.7109375" style="94" customWidth="1"/>
    <col min="9" max="9" width="3.7109375" style="94" customWidth="1"/>
    <col min="10" max="10" width="2.28515625" style="94" customWidth="1"/>
    <col min="11" max="11" width="12.57031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>
      <c r="B1" s="133" t="s">
        <v>0</v>
      </c>
      <c r="D1" s="95"/>
      <c r="E1" s="96"/>
    </row>
    <row r="2" spans="2:19">
      <c r="B2" s="134">
        <f ca="1">TODAY()</f>
        <v>43264</v>
      </c>
    </row>
    <row r="3" spans="2:19" ht="18">
      <c r="B3" s="135" t="s">
        <v>105</v>
      </c>
      <c r="C3" s="99"/>
      <c r="D3" s="100"/>
      <c r="E3" s="99"/>
    </row>
    <row r="4" spans="2:19">
      <c r="B4" s="136">
        <f ca="1">NOW()</f>
        <v>43264.436886689815</v>
      </c>
    </row>
    <row r="12" spans="2:19" ht="12.75" customHeight="1">
      <c r="B12" s="155" t="s">
        <v>12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Ronda'!K31</f>
        <v>Equipo</v>
      </c>
      <c r="L16" s="139" t="str">
        <f>'Primera Ronda'!L31</f>
        <v>G</v>
      </c>
      <c r="M16" s="139" t="str">
        <f>'Primera Ronda'!M31</f>
        <v>E</v>
      </c>
      <c r="N16" s="139" t="str">
        <f>'Primera Ronda'!N31</f>
        <v>P</v>
      </c>
      <c r="O16" s="139" t="str">
        <f>'Primera Ronda'!O31</f>
        <v>GF</v>
      </c>
      <c r="P16" s="139" t="str">
        <f>'Primera Ronda'!P31</f>
        <v>GC</v>
      </c>
      <c r="Q16" s="139" t="str">
        <f>'Primera Ronda'!Q31</f>
        <v>DG</v>
      </c>
      <c r="R16" s="139" t="str">
        <f>'Primera Ronda'!R31</f>
        <v>Pts.</v>
      </c>
      <c r="S16" s="142" t="str">
        <f>'Primera Ronda'!S31</f>
        <v>PJ</v>
      </c>
    </row>
    <row r="17" spans="2:19" ht="13.5" thickTop="1">
      <c r="B17" s="104">
        <v>43268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equipos!$G$2</f>
        <v>Brasil</v>
      </c>
      <c r="G17" s="108">
        <v>3</v>
      </c>
      <c r="H17" s="109" t="str">
        <f>equipos!$G$3</f>
        <v>Suiza</v>
      </c>
      <c r="I17" s="110">
        <v>1</v>
      </c>
      <c r="K17" s="111" t="str">
        <f>'Primera Ronda'!K32</f>
        <v>Brasil</v>
      </c>
      <c r="L17" s="28">
        <f>'Primera Ronda'!L32</f>
        <v>3</v>
      </c>
      <c r="M17" s="29">
        <f>'Primera Ronda'!M32</f>
        <v>0</v>
      </c>
      <c r="N17" s="29">
        <f>'Primera Ronda'!N32</f>
        <v>0</v>
      </c>
      <c r="O17" s="29">
        <f>'Primera Ronda'!O32</f>
        <v>8</v>
      </c>
      <c r="P17" s="29">
        <f>'Primera Ronda'!P32</f>
        <v>2</v>
      </c>
      <c r="Q17" s="29">
        <f>'Primera Ronda'!Q32</f>
        <v>6</v>
      </c>
      <c r="R17" s="29">
        <f>'Primera Ronda'!R32</f>
        <v>9</v>
      </c>
      <c r="S17" s="30">
        <f>'Primera Ronda'!S32</f>
        <v>3</v>
      </c>
    </row>
    <row r="18" spans="2:19" ht="13.5" thickBot="1">
      <c r="B18" s="112">
        <v>43268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equipos!$G$4</f>
        <v>Costa Rica</v>
      </c>
      <c r="G18" s="114">
        <v>1</v>
      </c>
      <c r="H18" s="115" t="str">
        <f>equipos!$G$5</f>
        <v>Serbia</v>
      </c>
      <c r="I18" s="116">
        <v>1</v>
      </c>
      <c r="K18" s="117" t="str">
        <f>'Primera Ronda'!K33</f>
        <v>Suiza</v>
      </c>
      <c r="L18" s="31">
        <f>'Primera Ronda'!L33</f>
        <v>1</v>
      </c>
      <c r="M18" s="32">
        <f>'Primera Ronda'!M33</f>
        <v>1</v>
      </c>
      <c r="N18" s="32">
        <f>'Primera Ronda'!N33</f>
        <v>1</v>
      </c>
      <c r="O18" s="32">
        <f>'Primera Ronda'!O33</f>
        <v>4</v>
      </c>
      <c r="P18" s="32">
        <f>'Primera Ronda'!P33</f>
        <v>5</v>
      </c>
      <c r="Q18" s="32">
        <f>'Primera Ronda'!Q33</f>
        <v>-1</v>
      </c>
      <c r="R18" s="32">
        <f>'Primera Ronda'!R33</f>
        <v>4</v>
      </c>
      <c r="S18" s="33">
        <f>'Primera Ronda'!S33</f>
        <v>3</v>
      </c>
    </row>
    <row r="19" spans="2:19" ht="13.5" thickTop="1">
      <c r="B19" s="118">
        <v>43273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equipos!$G$2</f>
        <v>Brasil</v>
      </c>
      <c r="G19" s="114">
        <v>2</v>
      </c>
      <c r="H19" s="109" t="str">
        <f>equipos!$G$4</f>
        <v>Costa Rica</v>
      </c>
      <c r="I19" s="116">
        <v>0</v>
      </c>
      <c r="K19" s="117" t="str">
        <f>'Primera Ronda'!K34</f>
        <v>Costa Rica</v>
      </c>
      <c r="L19" s="31">
        <f>'Primera Ronda'!L34</f>
        <v>0</v>
      </c>
      <c r="M19" s="32">
        <f>'Primera Ronda'!M34</f>
        <v>2</v>
      </c>
      <c r="N19" s="32">
        <f>'Primera Ronda'!N34</f>
        <v>1</v>
      </c>
      <c r="O19" s="32">
        <f>'Primera Ronda'!O34</f>
        <v>2</v>
      </c>
      <c r="P19" s="32">
        <f>'Primera Ronda'!P34</f>
        <v>4</v>
      </c>
      <c r="Q19" s="32">
        <f>'Primera Ronda'!Q34</f>
        <v>-2</v>
      </c>
      <c r="R19" s="32">
        <f>'Primera Ronda'!R34</f>
        <v>2</v>
      </c>
      <c r="S19" s="33">
        <f>'Primera Ronda'!S34</f>
        <v>3</v>
      </c>
    </row>
    <row r="20" spans="2:19" ht="13.5" thickBot="1">
      <c r="B20" s="112">
        <v>43273</v>
      </c>
      <c r="C20" s="122">
        <v>0.58333333333333337</v>
      </c>
      <c r="D20" s="123"/>
      <c r="E20" s="113" t="str">
        <f t="shared" ca="1" si="0"/>
        <v>Proximamente..</v>
      </c>
      <c r="F20" s="124" t="str">
        <f>equipos!$G$5</f>
        <v>Serbia</v>
      </c>
      <c r="G20" s="114">
        <v>1</v>
      </c>
      <c r="H20" s="115" t="str">
        <f>equipos!$G$3</f>
        <v>Suiza</v>
      </c>
      <c r="I20" s="116">
        <v>2</v>
      </c>
      <c r="K20" s="125" t="str">
        <f>'Primera Ronda'!K35</f>
        <v>Serbia</v>
      </c>
      <c r="L20" s="34">
        <f>'Primera Ronda'!L35</f>
        <v>0</v>
      </c>
      <c r="M20" s="35">
        <f>'Primera Ronda'!M35</f>
        <v>1</v>
      </c>
      <c r="N20" s="35">
        <f>'Primera Ronda'!N35</f>
        <v>2</v>
      </c>
      <c r="O20" s="35">
        <f>'Primera Ronda'!O35</f>
        <v>3</v>
      </c>
      <c r="P20" s="35">
        <f>'Primera Ronda'!P35</f>
        <v>6</v>
      </c>
      <c r="Q20" s="35">
        <f>'Primera Ronda'!Q35</f>
        <v>-3</v>
      </c>
      <c r="R20" s="35">
        <f>'Primera Ronda'!R35</f>
        <v>1</v>
      </c>
      <c r="S20" s="36">
        <f>'Primera Ronda'!S35</f>
        <v>3</v>
      </c>
    </row>
    <row r="21" spans="2:19" ht="14.25" thickTop="1" thickBot="1">
      <c r="B21" s="126">
        <v>43278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equipos!$G$5</f>
        <v>Serbia</v>
      </c>
      <c r="G21" s="114">
        <v>1</v>
      </c>
      <c r="H21" s="109" t="str">
        <f>equipos!$G$2</f>
        <v>Brasil</v>
      </c>
      <c r="I21" s="116">
        <v>3</v>
      </c>
    </row>
    <row r="22" spans="2:19" ht="14.25" thickTop="1" thickBot="1">
      <c r="B22" s="112">
        <v>43278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equipos!$G$3</f>
        <v>Suiza</v>
      </c>
      <c r="G22" s="127">
        <v>1</v>
      </c>
      <c r="H22" s="115" t="str">
        <f>equipos!$G$4</f>
        <v>Costa Rica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0.4368055555555555</v>
      </c>
    </row>
    <row r="23" spans="2:19" ht="13.5" thickTop="1">
      <c r="K23" s="153" t="str">
        <f>IF(S17=3,K17,"1E")</f>
        <v>Brasil</v>
      </c>
      <c r="L23" s="153"/>
      <c r="M23" s="153"/>
      <c r="N23" s="153"/>
      <c r="P23" s="138">
        <f ca="1">HOUR(B4)</f>
        <v>10</v>
      </c>
    </row>
    <row r="24" spans="2:19" ht="13.5" thickBot="1">
      <c r="K24" s="154" t="str">
        <f>IF(S18=3,K18,"2E")</f>
        <v>Suiza</v>
      </c>
      <c r="L24" s="154"/>
      <c r="M24" s="154"/>
      <c r="N24" s="154"/>
      <c r="P24" s="138">
        <f ca="1">MINUTE(B4)</f>
        <v>29</v>
      </c>
    </row>
    <row r="29" spans="2:19" ht="35.1" customHeight="1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3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34"/>
  <sheetViews>
    <sheetView zoomScaleNormal="100" workbookViewId="0">
      <pane xSplit="20" ySplit="25" topLeftCell="U50" activePane="bottomRight" state="frozenSplit"/>
      <selection activeCell="H37" sqref="H37"/>
      <selection pane="topRight" activeCell="H37" sqref="H37"/>
      <selection pane="bottomLeft" activeCell="H37" sqref="H37"/>
      <selection pane="bottomRight" activeCell="S13" sqref="S13"/>
    </sheetView>
  </sheetViews>
  <sheetFormatPr baseColWidth="10" defaultRowHeight="12.75"/>
  <cols>
    <col min="1" max="1" width="1.7109375" style="94" customWidth="1"/>
    <col min="2" max="2" width="7.28515625" style="94" customWidth="1"/>
    <col min="3" max="3" width="5.7109375" style="94" bestFit="1" customWidth="1"/>
    <col min="4" max="4" width="13.140625" style="94" bestFit="1" customWidth="1"/>
    <col min="5" max="5" width="14.140625" style="94" bestFit="1" customWidth="1"/>
    <col min="6" max="6" width="17.42578125" style="94" bestFit="1" customWidth="1"/>
    <col min="7" max="7" width="3.7109375" style="94" customWidth="1"/>
    <col min="8" max="8" width="17.42578125" style="94" customWidth="1"/>
    <col min="9" max="9" width="3.7109375" style="94" customWidth="1"/>
    <col min="10" max="10" width="1.5703125" style="94" customWidth="1"/>
    <col min="11" max="11" width="17.42578125" style="94" bestFit="1" customWidth="1"/>
    <col min="12" max="19" width="4.42578125" style="94" customWidth="1"/>
    <col min="20" max="20" width="25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156">
        <f ca="1">TODAY()</f>
        <v>43264</v>
      </c>
      <c r="C2" s="156"/>
    </row>
    <row r="3" spans="2:19" ht="18">
      <c r="B3" s="98" t="s">
        <v>105</v>
      </c>
      <c r="C3" s="99"/>
      <c r="D3" s="100"/>
      <c r="E3" s="99"/>
    </row>
    <row r="4" spans="2:19">
      <c r="B4" s="157">
        <f ca="1">NOW()</f>
        <v>43264.436886689815</v>
      </c>
      <c r="C4" s="157"/>
    </row>
    <row r="12" spans="2:19" ht="12.75" customHeight="1">
      <c r="B12" s="155" t="s">
        <v>13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Ronda'!K38</f>
        <v>Equipo</v>
      </c>
      <c r="L16" s="139" t="str">
        <f>'Primera Ronda'!L38</f>
        <v>G</v>
      </c>
      <c r="M16" s="139" t="str">
        <f>'Primera Ronda'!M38</f>
        <v>E</v>
      </c>
      <c r="N16" s="139" t="str">
        <f>'Primera Ronda'!N38</f>
        <v>P</v>
      </c>
      <c r="O16" s="139" t="str">
        <f>'Primera Ronda'!O38</f>
        <v>GF</v>
      </c>
      <c r="P16" s="139" t="str">
        <f>'Primera Ronda'!P38</f>
        <v>GC</v>
      </c>
      <c r="Q16" s="139" t="str">
        <f>'Primera Ronda'!Q38</f>
        <v>DG</v>
      </c>
      <c r="R16" s="139" t="str">
        <f>'Primera Ronda'!R38</f>
        <v>Pts.</v>
      </c>
      <c r="S16" s="142" t="str">
        <f>'Primera Ronda'!S38</f>
        <v>PJ</v>
      </c>
    </row>
    <row r="17" spans="2:19" ht="13.5" thickTop="1">
      <c r="B17" s="129">
        <v>43268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equipos!$G$7</f>
        <v>Alemania</v>
      </c>
      <c r="G17" s="108">
        <v>3</v>
      </c>
      <c r="H17" s="109" t="str">
        <f>equipos!$G$8</f>
        <v>México</v>
      </c>
      <c r="I17" s="110">
        <v>1</v>
      </c>
      <c r="K17" s="111" t="str">
        <f>'Primera Ronda'!K39</f>
        <v>Alemania</v>
      </c>
      <c r="L17" s="28">
        <f>'Primera Ronda'!L39</f>
        <v>3</v>
      </c>
      <c r="M17" s="29">
        <f>'Primera Ronda'!M39</f>
        <v>0</v>
      </c>
      <c r="N17" s="29">
        <f>'Primera Ronda'!N39</f>
        <v>0</v>
      </c>
      <c r="O17" s="29">
        <f>'Primera Ronda'!O39</f>
        <v>8</v>
      </c>
      <c r="P17" s="29">
        <f>'Primera Ronda'!P39</f>
        <v>3</v>
      </c>
      <c r="Q17" s="29">
        <f>'Primera Ronda'!Q39</f>
        <v>5</v>
      </c>
      <c r="R17" s="29">
        <f>'Primera Ronda'!R39</f>
        <v>9</v>
      </c>
      <c r="S17" s="30">
        <f>'Primera Ronda'!S39</f>
        <v>3</v>
      </c>
    </row>
    <row r="18" spans="2:19" ht="13.5" thickBot="1">
      <c r="B18" s="130">
        <v>43269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equipos!$G$9</f>
        <v>Suecia</v>
      </c>
      <c r="G18" s="114">
        <v>1</v>
      </c>
      <c r="H18" s="115" t="str">
        <f>equipos!$G$10</f>
        <v>Corea</v>
      </c>
      <c r="I18" s="116">
        <v>1</v>
      </c>
      <c r="K18" s="117" t="str">
        <f>'Primera Ronda'!K40</f>
        <v>México</v>
      </c>
      <c r="L18" s="31">
        <f>'Primera Ronda'!L40</f>
        <v>1</v>
      </c>
      <c r="M18" s="32">
        <f>'Primera Ronda'!M40</f>
        <v>1</v>
      </c>
      <c r="N18" s="32">
        <f>'Primera Ronda'!N40</f>
        <v>1</v>
      </c>
      <c r="O18" s="32">
        <f>'Primera Ronda'!O40</f>
        <v>5</v>
      </c>
      <c r="P18" s="32">
        <f>'Primera Ronda'!P40</f>
        <v>6</v>
      </c>
      <c r="Q18" s="32">
        <f>'Primera Ronda'!Q40</f>
        <v>-1</v>
      </c>
      <c r="R18" s="32">
        <f>'Primera Ronda'!R40</f>
        <v>4</v>
      </c>
      <c r="S18" s="33">
        <f>'Primera Ronda'!S40</f>
        <v>3</v>
      </c>
    </row>
    <row r="19" spans="2:19" ht="13.5" thickTop="1">
      <c r="B19" s="131">
        <v>43274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equipos!$G$7</f>
        <v>Alemania</v>
      </c>
      <c r="G19" s="114">
        <v>2</v>
      </c>
      <c r="H19" s="109" t="str">
        <f>equipos!$G$9</f>
        <v>Suecia</v>
      </c>
      <c r="I19" s="116">
        <v>1</v>
      </c>
      <c r="K19" s="117" t="str">
        <f>'Primera Ronda'!K41</f>
        <v>Suecia</v>
      </c>
      <c r="L19" s="31">
        <f>'Primera Ronda'!L41</f>
        <v>0</v>
      </c>
      <c r="M19" s="32">
        <f>'Primera Ronda'!M41</f>
        <v>2</v>
      </c>
      <c r="N19" s="32">
        <f>'Primera Ronda'!N41</f>
        <v>1</v>
      </c>
      <c r="O19" s="32">
        <f>'Primera Ronda'!O41</f>
        <v>4</v>
      </c>
      <c r="P19" s="32">
        <f>'Primera Ronda'!P41</f>
        <v>5</v>
      </c>
      <c r="Q19" s="32">
        <f>'Primera Ronda'!Q41</f>
        <v>-1</v>
      </c>
      <c r="R19" s="32">
        <f>'Primera Ronda'!R41</f>
        <v>2</v>
      </c>
      <c r="S19" s="33">
        <f>'Primera Ronda'!S41</f>
        <v>3</v>
      </c>
    </row>
    <row r="20" spans="2:19" ht="13.5" thickBot="1">
      <c r="B20" s="130">
        <v>43274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equipos!$G$10</f>
        <v>Corea</v>
      </c>
      <c r="G20" s="114">
        <v>1</v>
      </c>
      <c r="H20" s="115" t="str">
        <f>equipos!$G$8</f>
        <v>México</v>
      </c>
      <c r="I20" s="116">
        <v>2</v>
      </c>
      <c r="K20" s="125" t="str">
        <f>'Primera Ronda'!K42</f>
        <v>Corea</v>
      </c>
      <c r="L20" s="34">
        <f>'Primera Ronda'!L42</f>
        <v>0</v>
      </c>
      <c r="M20" s="35">
        <f>'Primera Ronda'!M42</f>
        <v>1</v>
      </c>
      <c r="N20" s="35">
        <f>'Primera Ronda'!N42</f>
        <v>2</v>
      </c>
      <c r="O20" s="35">
        <f>'Primera Ronda'!O42</f>
        <v>3</v>
      </c>
      <c r="P20" s="35">
        <f>'Primera Ronda'!P42</f>
        <v>6</v>
      </c>
      <c r="Q20" s="35">
        <f>'Primera Ronda'!Q42</f>
        <v>-3</v>
      </c>
      <c r="R20" s="35">
        <f>'Primera Ronda'!R42</f>
        <v>1</v>
      </c>
      <c r="S20" s="36">
        <f>'Primera Ronda'!S42</f>
        <v>3</v>
      </c>
    </row>
    <row r="21" spans="2:19" ht="14.25" thickTop="1" thickBot="1">
      <c r="B21" s="132">
        <v>43278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equipos!$G$10</f>
        <v>Corea</v>
      </c>
      <c r="G21" s="114">
        <v>1</v>
      </c>
      <c r="H21" s="109" t="str">
        <f>equipos!$G$7</f>
        <v>Alemania</v>
      </c>
      <c r="I21" s="116">
        <v>3</v>
      </c>
    </row>
    <row r="22" spans="2:19" ht="14.25" thickTop="1" thickBot="1">
      <c r="B22" s="130">
        <v>43278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equipos!$G$8</f>
        <v>México</v>
      </c>
      <c r="G22" s="127">
        <v>2</v>
      </c>
      <c r="H22" s="115" t="str">
        <f>equipos!$G$9</f>
        <v>Suecia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0.4368055555555555</v>
      </c>
    </row>
    <row r="23" spans="2:19" ht="13.5" thickTop="1">
      <c r="K23" s="153" t="str">
        <f>IF(S17=3,K17,"1F")</f>
        <v>Alemania</v>
      </c>
      <c r="L23" s="153"/>
      <c r="M23" s="153"/>
      <c r="N23" s="153"/>
      <c r="P23" s="138">
        <f ca="1">HOUR(B4)</f>
        <v>10</v>
      </c>
    </row>
    <row r="24" spans="2:19" ht="13.5" thickBot="1">
      <c r="K24" s="154" t="str">
        <f>IF(S18=3,K18,"2F")</f>
        <v>México</v>
      </c>
      <c r="L24" s="154"/>
      <c r="M24" s="154"/>
      <c r="N24" s="154"/>
      <c r="P24" s="138">
        <f ca="1">MINUTE(B4)</f>
        <v>29</v>
      </c>
    </row>
    <row r="25" spans="2:19" ht="35.1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2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S34"/>
  <sheetViews>
    <sheetView zoomScaleNormal="100" workbookViewId="0">
      <pane xSplit="20" ySplit="25" topLeftCell="U44" activePane="bottomRight" state="frozenSplit"/>
      <selection activeCell="H37" sqref="H37"/>
      <selection pane="topRight" activeCell="H37" sqref="H37"/>
      <selection pane="bottomLeft" activeCell="H37" sqref="H37"/>
      <selection pane="bottomRight" activeCell="I22" sqref="I22"/>
    </sheetView>
  </sheetViews>
  <sheetFormatPr baseColWidth="10" defaultRowHeight="12.75"/>
  <cols>
    <col min="1" max="1" width="1.7109375" style="94" customWidth="1"/>
    <col min="2" max="2" width="9" style="94" customWidth="1"/>
    <col min="3" max="3" width="8" style="94" customWidth="1"/>
    <col min="4" max="4" width="11.140625" style="94" customWidth="1"/>
    <col min="5" max="5" width="15.5703125" style="94" customWidth="1"/>
    <col min="6" max="6" width="11.7109375" style="94" customWidth="1"/>
    <col min="7" max="7" width="3.7109375" style="94" customWidth="1"/>
    <col min="8" max="8" width="12" style="94" customWidth="1"/>
    <col min="9" max="9" width="3.7109375" style="94" customWidth="1"/>
    <col min="10" max="10" width="2" style="94" customWidth="1"/>
    <col min="11" max="11" width="14.7109375" style="94" customWidth="1"/>
    <col min="12" max="19" width="5.7109375" style="94" customWidth="1"/>
    <col min="20" max="20" width="25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156">
        <f ca="1">TODAY()</f>
        <v>43264</v>
      </c>
      <c r="C2" s="156"/>
    </row>
    <row r="3" spans="2:19" ht="18">
      <c r="B3" s="98" t="s">
        <v>105</v>
      </c>
      <c r="C3" s="99"/>
      <c r="D3" s="100"/>
      <c r="E3" s="99"/>
    </row>
    <row r="4" spans="2:19">
      <c r="B4" s="157">
        <f ca="1">NOW()</f>
        <v>43264.436886689815</v>
      </c>
      <c r="C4" s="157"/>
    </row>
    <row r="12" spans="2:19" ht="12.75" customHeight="1">
      <c r="B12" s="155" t="s">
        <v>14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Ronda'!K45</f>
        <v>Equipo</v>
      </c>
      <c r="L16" s="139" t="str">
        <f>'Primera Ronda'!L45</f>
        <v>G</v>
      </c>
      <c r="M16" s="139" t="str">
        <f>'Primera Ronda'!M45</f>
        <v>E</v>
      </c>
      <c r="N16" s="139" t="str">
        <f>'Primera Ronda'!N45</f>
        <v>P</v>
      </c>
      <c r="O16" s="139" t="str">
        <f>'Primera Ronda'!O45</f>
        <v>GF</v>
      </c>
      <c r="P16" s="139" t="str">
        <f>'Primera Ronda'!P45</f>
        <v>GC</v>
      </c>
      <c r="Q16" s="139" t="str">
        <f>'Primera Ronda'!Q45</f>
        <v>DG</v>
      </c>
      <c r="R16" s="139" t="str">
        <f>'Primera Ronda'!R45</f>
        <v>Pts.</v>
      </c>
      <c r="S16" s="142" t="str">
        <f>'Primera Ronda'!S45</f>
        <v>PJ</v>
      </c>
    </row>
    <row r="17" spans="2:19" ht="13.5" thickTop="1">
      <c r="B17" s="129">
        <v>43269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equipos!$G$12</f>
        <v>Bélgica</v>
      </c>
      <c r="G17" s="108">
        <v>2</v>
      </c>
      <c r="H17" s="109" t="str">
        <f>equipos!$G$13</f>
        <v>Panamá</v>
      </c>
      <c r="I17" s="110">
        <v>1</v>
      </c>
      <c r="K17" s="111" t="str">
        <f>'Primera Ronda'!K46</f>
        <v>Inglaterra</v>
      </c>
      <c r="L17" s="28">
        <f>'Primera Ronda'!L46</f>
        <v>3</v>
      </c>
      <c r="M17" s="29">
        <f>'Primera Ronda'!M46</f>
        <v>0</v>
      </c>
      <c r="N17" s="29">
        <f>'Primera Ronda'!N46</f>
        <v>0</v>
      </c>
      <c r="O17" s="29">
        <f>'Primera Ronda'!O46</f>
        <v>8</v>
      </c>
      <c r="P17" s="29">
        <f>'Primera Ronda'!P46</f>
        <v>3</v>
      </c>
      <c r="Q17" s="29">
        <f>'Primera Ronda'!Q46</f>
        <v>5</v>
      </c>
      <c r="R17" s="29">
        <f>'Primera Ronda'!R46</f>
        <v>9</v>
      </c>
      <c r="S17" s="30">
        <f>'Primera Ronda'!S46</f>
        <v>3</v>
      </c>
    </row>
    <row r="18" spans="2:19" ht="13.5" thickBot="1">
      <c r="B18" s="130">
        <v>43269</v>
      </c>
      <c r="C18" s="100">
        <v>0.58333333333333337</v>
      </c>
      <c r="D18" s="105"/>
      <c r="E18" s="113" t="str">
        <f t="shared" ca="1" si="0"/>
        <v>Proximamente..</v>
      </c>
      <c r="F18" s="107" t="str">
        <f>equipos!$G$14</f>
        <v>Túnez</v>
      </c>
      <c r="G18" s="114">
        <v>1</v>
      </c>
      <c r="H18" s="115" t="str">
        <f>equipos!$G$15</f>
        <v>Inglaterra</v>
      </c>
      <c r="I18" s="116">
        <v>3</v>
      </c>
      <c r="K18" s="117" t="str">
        <f>'Primera Ronda'!K47</f>
        <v>Bélgica</v>
      </c>
      <c r="L18" s="31">
        <f>'Primera Ronda'!L47</f>
        <v>1</v>
      </c>
      <c r="M18" s="32">
        <f>'Primera Ronda'!M47</f>
        <v>1</v>
      </c>
      <c r="N18" s="32">
        <f>'Primera Ronda'!N47</f>
        <v>1</v>
      </c>
      <c r="O18" s="32">
        <f>'Primera Ronda'!O47</f>
        <v>6</v>
      </c>
      <c r="P18" s="32">
        <f>'Primera Ronda'!P47</f>
        <v>6</v>
      </c>
      <c r="Q18" s="32">
        <f>'Primera Ronda'!Q47</f>
        <v>0</v>
      </c>
      <c r="R18" s="32">
        <f>'Primera Ronda'!R47</f>
        <v>4</v>
      </c>
      <c r="S18" s="33">
        <f>'Primera Ronda'!S47</f>
        <v>3</v>
      </c>
    </row>
    <row r="19" spans="2:19" ht="13.5" thickTop="1">
      <c r="B19" s="131">
        <v>43274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equipos!$G$12</f>
        <v>Bélgica</v>
      </c>
      <c r="G19" s="114">
        <v>2</v>
      </c>
      <c r="H19" s="109" t="str">
        <f>equipos!$G$14</f>
        <v>Túnez</v>
      </c>
      <c r="I19" s="116">
        <v>2</v>
      </c>
      <c r="K19" s="117" t="str">
        <f>'Primera Ronda'!K48</f>
        <v>Túnez</v>
      </c>
      <c r="L19" s="31">
        <f>'Primera Ronda'!L48</f>
        <v>0</v>
      </c>
      <c r="M19" s="32">
        <f>'Primera Ronda'!M48</f>
        <v>2</v>
      </c>
      <c r="N19" s="32">
        <f>'Primera Ronda'!N48</f>
        <v>1</v>
      </c>
      <c r="O19" s="32">
        <f>'Primera Ronda'!O48</f>
        <v>4</v>
      </c>
      <c r="P19" s="32">
        <f>'Primera Ronda'!P48</f>
        <v>6</v>
      </c>
      <c r="Q19" s="32">
        <f>'Primera Ronda'!Q48</f>
        <v>-2</v>
      </c>
      <c r="R19" s="32">
        <f>'Primera Ronda'!R48</f>
        <v>2</v>
      </c>
      <c r="S19" s="33">
        <f>'Primera Ronda'!S48</f>
        <v>3</v>
      </c>
    </row>
    <row r="20" spans="2:19" ht="13.5" thickBot="1">
      <c r="B20" s="130">
        <v>43275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equipos!$G$15</f>
        <v>Inglaterra</v>
      </c>
      <c r="G20" s="114">
        <v>2</v>
      </c>
      <c r="H20" s="115" t="str">
        <f>equipos!$G$13</f>
        <v>Panamá</v>
      </c>
      <c r="I20" s="116">
        <v>0</v>
      </c>
      <c r="K20" s="125" t="str">
        <f>'Primera Ronda'!K49</f>
        <v>Panamá</v>
      </c>
      <c r="L20" s="34">
        <f>'Primera Ronda'!L49</f>
        <v>0</v>
      </c>
      <c r="M20" s="35">
        <f>'Primera Ronda'!M49</f>
        <v>1</v>
      </c>
      <c r="N20" s="35">
        <f>'Primera Ronda'!N49</f>
        <v>2</v>
      </c>
      <c r="O20" s="35">
        <f>'Primera Ronda'!O49</f>
        <v>2</v>
      </c>
      <c r="P20" s="35">
        <f>'Primera Ronda'!P49</f>
        <v>5</v>
      </c>
      <c r="Q20" s="35">
        <f>'Primera Ronda'!Q49</f>
        <v>-3</v>
      </c>
      <c r="R20" s="35">
        <f>'Primera Ronda'!R49</f>
        <v>1</v>
      </c>
      <c r="S20" s="36">
        <f>'Primera Ronda'!S49</f>
        <v>3</v>
      </c>
    </row>
    <row r="21" spans="2:19" ht="14.25" thickTop="1" thickBot="1">
      <c r="B21" s="132">
        <v>43279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equipos!$G$15</f>
        <v>Inglaterra</v>
      </c>
      <c r="G21" s="114">
        <v>3</v>
      </c>
      <c r="H21" s="109" t="str">
        <f>equipos!$G$12</f>
        <v>Bélgica</v>
      </c>
      <c r="I21" s="116">
        <v>2</v>
      </c>
    </row>
    <row r="22" spans="2:19" ht="14.25" thickTop="1" thickBot="1">
      <c r="B22" s="130">
        <v>43279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equipos!$G$13</f>
        <v>Panamá</v>
      </c>
      <c r="G22" s="127">
        <v>1</v>
      </c>
      <c r="H22" s="115" t="str">
        <f>equipos!$G$14</f>
        <v>Túnez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0.4368055555555555</v>
      </c>
    </row>
    <row r="23" spans="2:19" ht="13.5" thickTop="1">
      <c r="K23" s="159" t="str">
        <f>IF(S17=3,K17,"1G")</f>
        <v>Inglaterra</v>
      </c>
      <c r="L23" s="159"/>
      <c r="M23" s="159"/>
      <c r="N23" s="159"/>
      <c r="P23" s="138">
        <f ca="1">HOUR(B4)</f>
        <v>10</v>
      </c>
    </row>
    <row r="24" spans="2:19" ht="13.5" thickBot="1">
      <c r="K24" s="158" t="str">
        <f>IF(S18=3,K18,"2G")</f>
        <v>Bélgica</v>
      </c>
      <c r="L24" s="158"/>
      <c r="M24" s="158"/>
      <c r="N24" s="158"/>
      <c r="P24" s="138">
        <f ca="1">MINUTE(B4)</f>
        <v>29</v>
      </c>
    </row>
    <row r="25" spans="2:19" ht="24.9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1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H19 F18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S34"/>
  <sheetViews>
    <sheetView zoomScaleNormal="100" workbookViewId="0">
      <pane xSplit="20" ySplit="25" topLeftCell="U86" activePane="bottomRight" state="frozenSplit"/>
      <selection activeCell="H37" sqref="H37"/>
      <selection pane="topRight" activeCell="H37" sqref="H37"/>
      <selection pane="bottomLeft" activeCell="H37" sqref="H37"/>
      <selection pane="bottomRight" activeCell="I25" sqref="I25"/>
    </sheetView>
  </sheetViews>
  <sheetFormatPr baseColWidth="10" defaultRowHeight="12.75"/>
  <cols>
    <col min="1" max="1" width="1.7109375" style="94" customWidth="1"/>
    <col min="2" max="2" width="8.5703125" style="94" customWidth="1"/>
    <col min="3" max="3" width="7.85546875" style="94" customWidth="1"/>
    <col min="4" max="4" width="14.28515625" style="94" customWidth="1"/>
    <col min="5" max="5" width="15.28515625" style="94" customWidth="1"/>
    <col min="6" max="6" width="13" style="94" customWidth="1"/>
    <col min="7" max="7" width="3.7109375" style="94" customWidth="1"/>
    <col min="8" max="8" width="12.28515625" style="94" bestFit="1" customWidth="1"/>
    <col min="9" max="9" width="3.7109375" style="94" customWidth="1"/>
    <col min="10" max="10" width="1.5703125" style="94" customWidth="1"/>
    <col min="11" max="11" width="14.710937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156">
        <f ca="1">TODAY()</f>
        <v>43264</v>
      </c>
      <c r="C2" s="156"/>
    </row>
    <row r="3" spans="2:19" ht="18">
      <c r="B3" s="98" t="s">
        <v>105</v>
      </c>
      <c r="C3" s="99"/>
      <c r="D3" s="100"/>
      <c r="E3" s="99"/>
    </row>
    <row r="4" spans="2:19">
      <c r="B4" s="157">
        <f ca="1">NOW()</f>
        <v>43264.436886689815</v>
      </c>
      <c r="C4" s="157"/>
    </row>
    <row r="12" spans="2:19" ht="12.75" customHeight="1">
      <c r="B12" s="155" t="s">
        <v>15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Ronda'!K52</f>
        <v>Equipo</v>
      </c>
      <c r="L16" s="139" t="str">
        <f>'Primera Ronda'!L52</f>
        <v>G</v>
      </c>
      <c r="M16" s="139" t="str">
        <f>'Primera Ronda'!M52</f>
        <v>E</v>
      </c>
      <c r="N16" s="139" t="str">
        <f>'Primera Ronda'!N52</f>
        <v>P</v>
      </c>
      <c r="O16" s="139" t="str">
        <f>'Primera Ronda'!O52</f>
        <v>GF</v>
      </c>
      <c r="P16" s="139" t="str">
        <f>'Primera Ronda'!P52</f>
        <v>GC</v>
      </c>
      <c r="Q16" s="139" t="str">
        <f>'Primera Ronda'!Q52</f>
        <v>DG</v>
      </c>
      <c r="R16" s="139" t="str">
        <f>'Primera Ronda'!R52</f>
        <v>Pts.</v>
      </c>
      <c r="S16" s="142" t="str">
        <f>'Primera Ronda'!S52</f>
        <v>PJ</v>
      </c>
    </row>
    <row r="17" spans="2:19" ht="13.5" thickTop="1">
      <c r="B17" s="129">
        <v>43270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equipos!$G$17</f>
        <v>Polonia</v>
      </c>
      <c r="G17" s="108">
        <v>2</v>
      </c>
      <c r="H17" s="109" t="str">
        <f>equipos!$G$18</f>
        <v>Senegal</v>
      </c>
      <c r="I17" s="110">
        <v>1</v>
      </c>
      <c r="K17" s="111" t="str">
        <f>'Primera Ronda'!K53</f>
        <v>Colombia</v>
      </c>
      <c r="L17" s="28">
        <f>'Primera Ronda'!L53</f>
        <v>3</v>
      </c>
      <c r="M17" s="29">
        <f>'Primera Ronda'!M53</f>
        <v>0</v>
      </c>
      <c r="N17" s="29">
        <f>'Primera Ronda'!N53</f>
        <v>0</v>
      </c>
      <c r="O17" s="29">
        <f>'Primera Ronda'!O53</f>
        <v>8</v>
      </c>
      <c r="P17" s="29">
        <f>'Primera Ronda'!P53</f>
        <v>5</v>
      </c>
      <c r="Q17" s="29">
        <f>'Primera Ronda'!Q53</f>
        <v>3</v>
      </c>
      <c r="R17" s="29">
        <f>'Primera Ronda'!R53</f>
        <v>9</v>
      </c>
      <c r="S17" s="30">
        <f>'Primera Ronda'!S53</f>
        <v>3</v>
      </c>
    </row>
    <row r="18" spans="2:19" ht="13.5" thickBot="1">
      <c r="B18" s="130">
        <v>43270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equipos!$G$19</f>
        <v>Colombia</v>
      </c>
      <c r="G18" s="114">
        <v>3</v>
      </c>
      <c r="H18" s="115" t="str">
        <f>equipos!$G$20</f>
        <v>Japón</v>
      </c>
      <c r="I18" s="116">
        <v>2</v>
      </c>
      <c r="K18" s="117" t="str">
        <f>'Primera Ronda'!K54</f>
        <v>Polonia</v>
      </c>
      <c r="L18" s="31">
        <f>'Primera Ronda'!L54</f>
        <v>2</v>
      </c>
      <c r="M18" s="32">
        <f>'Primera Ronda'!M54</f>
        <v>0</v>
      </c>
      <c r="N18" s="32">
        <f>'Primera Ronda'!N54</f>
        <v>1</v>
      </c>
      <c r="O18" s="32">
        <f>'Primera Ronda'!O54</f>
        <v>6</v>
      </c>
      <c r="P18" s="32">
        <f>'Primera Ronda'!P54</f>
        <v>4</v>
      </c>
      <c r="Q18" s="32">
        <f>'Primera Ronda'!Q54</f>
        <v>2</v>
      </c>
      <c r="R18" s="32">
        <f>'Primera Ronda'!R54</f>
        <v>6</v>
      </c>
      <c r="S18" s="33">
        <f>'Primera Ronda'!S54</f>
        <v>3</v>
      </c>
    </row>
    <row r="19" spans="2:19" ht="13.5" thickTop="1">
      <c r="B19" s="131">
        <v>43275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equipos!$G$17</f>
        <v>Polonia</v>
      </c>
      <c r="G19" s="114">
        <v>1</v>
      </c>
      <c r="H19" s="109" t="str">
        <f>equipos!$G$19</f>
        <v>Colombia</v>
      </c>
      <c r="I19" s="116">
        <v>2</v>
      </c>
      <c r="K19" s="117" t="str">
        <f>'Primera Ronda'!K55</f>
        <v>Senegal</v>
      </c>
      <c r="L19" s="31">
        <f>'Primera Ronda'!L55</f>
        <v>0</v>
      </c>
      <c r="M19" s="32">
        <f>'Primera Ronda'!M55</f>
        <v>1</v>
      </c>
      <c r="N19" s="32">
        <f>'Primera Ronda'!N55</f>
        <v>2</v>
      </c>
      <c r="O19" s="32">
        <f>'Primera Ronda'!O55</f>
        <v>5</v>
      </c>
      <c r="P19" s="32">
        <f>'Primera Ronda'!P55</f>
        <v>7</v>
      </c>
      <c r="Q19" s="32">
        <f>'Primera Ronda'!Q55</f>
        <v>-2</v>
      </c>
      <c r="R19" s="32">
        <f>'Primera Ronda'!R55</f>
        <v>1</v>
      </c>
      <c r="S19" s="33">
        <f>'Primera Ronda'!S55</f>
        <v>3</v>
      </c>
    </row>
    <row r="20" spans="2:19" ht="13.5" thickBot="1">
      <c r="B20" s="130">
        <v>43275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equipos!$G$20</f>
        <v>Japón</v>
      </c>
      <c r="G20" s="114">
        <v>2</v>
      </c>
      <c r="H20" s="115" t="str">
        <f>equipos!$G$18</f>
        <v>Senegal</v>
      </c>
      <c r="I20" s="116">
        <v>2</v>
      </c>
      <c r="K20" s="125" t="str">
        <f>'Primera Ronda'!K56</f>
        <v>Japón</v>
      </c>
      <c r="L20" s="34">
        <f>'Primera Ronda'!L56</f>
        <v>0</v>
      </c>
      <c r="M20" s="35">
        <f>'Primera Ronda'!M56</f>
        <v>1</v>
      </c>
      <c r="N20" s="35">
        <f>'Primera Ronda'!N56</f>
        <v>2</v>
      </c>
      <c r="O20" s="35">
        <f>'Primera Ronda'!O56</f>
        <v>5</v>
      </c>
      <c r="P20" s="35">
        <f>'Primera Ronda'!P56</f>
        <v>8</v>
      </c>
      <c r="Q20" s="35">
        <f>'Primera Ronda'!Q56</f>
        <v>-3</v>
      </c>
      <c r="R20" s="35">
        <f>'Primera Ronda'!R56</f>
        <v>1</v>
      </c>
      <c r="S20" s="36">
        <f>'Primera Ronda'!S56</f>
        <v>3</v>
      </c>
    </row>
    <row r="21" spans="2:19" ht="14.25" thickTop="1" thickBot="1">
      <c r="B21" s="132">
        <v>43279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equipos!$G$20</f>
        <v>Japón</v>
      </c>
      <c r="G21" s="114">
        <v>1</v>
      </c>
      <c r="H21" s="109" t="str">
        <f>equipos!$G$17</f>
        <v>Polonia</v>
      </c>
      <c r="I21" s="116">
        <v>3</v>
      </c>
    </row>
    <row r="22" spans="2:19" ht="14.25" thickTop="1" thickBot="1">
      <c r="B22" s="130">
        <v>43279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equipos!$G$18</f>
        <v>Senegal</v>
      </c>
      <c r="G22" s="127">
        <v>2</v>
      </c>
      <c r="H22" s="115" t="str">
        <f>equipos!$G$19</f>
        <v>Colombia</v>
      </c>
      <c r="I22" s="128">
        <v>3</v>
      </c>
      <c r="K22" s="150" t="s">
        <v>5</v>
      </c>
      <c r="L22" s="151"/>
      <c r="M22" s="151"/>
      <c r="N22" s="152"/>
      <c r="P22" s="137">
        <f ca="1">TIME(P23,P24,0)</f>
        <v>0.4368055555555555</v>
      </c>
    </row>
    <row r="23" spans="2:19" ht="13.5" thickTop="1">
      <c r="K23" s="159" t="str">
        <f>IF(S17=3,K17,"1H")</f>
        <v>Colombia</v>
      </c>
      <c r="L23" s="159"/>
      <c r="M23" s="159"/>
      <c r="N23" s="159"/>
      <c r="P23" s="138">
        <f ca="1">HOUR(B4)</f>
        <v>10</v>
      </c>
    </row>
    <row r="24" spans="2:19" ht="13.5" thickBot="1">
      <c r="K24" s="158" t="str">
        <f>IF(S18=3,K18,"2H")</f>
        <v>Polonia</v>
      </c>
      <c r="L24" s="158"/>
      <c r="M24" s="158"/>
      <c r="N24" s="158"/>
      <c r="P24" s="138">
        <f ca="1">MINUTE(B4)</f>
        <v>29</v>
      </c>
    </row>
    <row r="25" spans="2:19" ht="24.9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3:N23"/>
    <mergeCell ref="K24:N24"/>
    <mergeCell ref="B2:C2"/>
    <mergeCell ref="B4:C4"/>
    <mergeCell ref="B12:D14"/>
    <mergeCell ref="F16:I16"/>
    <mergeCell ref="K22:N22"/>
  </mergeCells>
  <conditionalFormatting sqref="E17:E22">
    <cfRule type="cellIs" dxfId="10" priority="2" stopIfTrue="1" operator="equal">
      <formula>"HOY!"</formula>
    </cfRule>
  </conditionalFormatting>
  <conditionalFormatting sqref="E17:E22">
    <cfRule type="cellIs" dxfId="9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8</vt:i4>
      </vt:variant>
    </vt:vector>
  </HeadingPairs>
  <TitlesOfParts>
    <vt:vector size="24" baseType="lpstr">
      <vt:lpstr>Inicio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Primera Ronda</vt:lpstr>
      <vt:lpstr>Horario</vt:lpstr>
      <vt:lpstr>Hoja1</vt:lpstr>
      <vt:lpstr>equipos</vt:lpstr>
      <vt:lpstr>tabla posiciones auxiliar</vt:lpstr>
      <vt:lpstr>Hoja2</vt:lpstr>
      <vt:lpstr>Cuadro Final</vt:lpstr>
      <vt:lpstr>paises</vt:lpstr>
      <vt:lpstr>Turno1</vt:lpstr>
      <vt:lpstr>Turno2</vt:lpstr>
      <vt:lpstr>Turno3</vt:lpstr>
      <vt:lpstr>Turno4</vt:lpstr>
      <vt:lpstr>Turno5</vt:lpstr>
      <vt:lpstr>Turno6</vt:lpstr>
      <vt:lpstr>Turno7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Daniel Dominguez Hermosilla</cp:lastModifiedBy>
  <cp:lastPrinted>2014-05-13T16:49:18Z</cp:lastPrinted>
  <dcterms:created xsi:type="dcterms:W3CDTF">2010-06-17T02:38:21Z</dcterms:created>
  <dcterms:modified xsi:type="dcterms:W3CDTF">2018-06-13T14:29:43Z</dcterms:modified>
</cp:coreProperties>
</file>