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workbookProtection lockStructure="1"/>
  <bookViews>
    <workbookView xWindow="0" yWindow="240" windowWidth="15390" windowHeight="7650" tabRatio="891" activeTab="1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25725"/>
</workbook>
</file>

<file path=xl/calcChain.xml><?xml version="1.0" encoding="utf-8"?>
<calcChain xmlns="http://schemas.openxmlformats.org/spreadsheetml/2006/main">
  <c r="F17" i="8"/>
  <c r="N27" i="10"/>
  <c r="D16" i="9" l="1"/>
  <c r="N10" i="11"/>
  <c r="B4" i="8"/>
  <c r="B2"/>
  <c r="E17" s="1"/>
  <c r="B4" i="7"/>
  <c r="P23" s="1"/>
  <c r="B2"/>
  <c r="P24" l="1"/>
  <c r="P22" s="1"/>
  <c r="I54" i="9"/>
  <c r="I55"/>
  <c r="I56"/>
  <c r="I57"/>
  <c r="I58"/>
  <c r="I53"/>
  <c r="I47"/>
  <c r="I48"/>
  <c r="I49"/>
  <c r="I50"/>
  <c r="I51"/>
  <c r="I46"/>
  <c r="I40"/>
  <c r="I41"/>
  <c r="I42"/>
  <c r="I43"/>
  <c r="I44"/>
  <c r="I39"/>
  <c r="I33"/>
  <c r="I34"/>
  <c r="I35"/>
  <c r="I36"/>
  <c r="I37"/>
  <c r="I32"/>
  <c r="I26"/>
  <c r="I27"/>
  <c r="I28"/>
  <c r="I29"/>
  <c r="I30"/>
  <c r="I25"/>
  <c r="I19"/>
  <c r="I20"/>
  <c r="I21"/>
  <c r="I22"/>
  <c r="I23"/>
  <c r="I18"/>
  <c r="I12"/>
  <c r="I13"/>
  <c r="I14"/>
  <c r="I15"/>
  <c r="I16"/>
  <c r="I11"/>
  <c r="G54"/>
  <c r="G55"/>
  <c r="G56"/>
  <c r="G57"/>
  <c r="G58"/>
  <c r="G47"/>
  <c r="G48"/>
  <c r="G49"/>
  <c r="G50"/>
  <c r="G51"/>
  <c r="G53"/>
  <c r="G46"/>
  <c r="G40"/>
  <c r="G41"/>
  <c r="G42"/>
  <c r="G43"/>
  <c r="G44"/>
  <c r="G39"/>
  <c r="G33"/>
  <c r="G34"/>
  <c r="G35"/>
  <c r="G36"/>
  <c r="G37"/>
  <c r="G32"/>
  <c r="G26"/>
  <c r="G27"/>
  <c r="G28"/>
  <c r="G29"/>
  <c r="G30"/>
  <c r="G25"/>
  <c r="G19"/>
  <c r="G20"/>
  <c r="G21"/>
  <c r="G22"/>
  <c r="G23"/>
  <c r="G18"/>
  <c r="G12"/>
  <c r="G13"/>
  <c r="G14"/>
  <c r="G15"/>
  <c r="G16"/>
  <c r="G11"/>
  <c r="G4"/>
  <c r="I5"/>
  <c r="I6"/>
  <c r="I7"/>
  <c r="I8"/>
  <c r="I9"/>
  <c r="I4"/>
  <c r="G5"/>
  <c r="G6"/>
  <c r="G7"/>
  <c r="G8"/>
  <c r="G9"/>
  <c r="C62"/>
  <c r="C52" l="1"/>
  <c r="D52"/>
  <c r="E52"/>
  <c r="F52"/>
  <c r="G52"/>
  <c r="H52"/>
  <c r="I52"/>
  <c r="B53"/>
  <c r="B54"/>
  <c r="B55"/>
  <c r="B56"/>
  <c r="B57"/>
  <c r="B58"/>
  <c r="B52"/>
  <c r="C45"/>
  <c r="D45"/>
  <c r="E45"/>
  <c r="F45"/>
  <c r="G45"/>
  <c r="H45"/>
  <c r="I45"/>
  <c r="B46"/>
  <c r="B47"/>
  <c r="B48"/>
  <c r="B49"/>
  <c r="B50"/>
  <c r="B51"/>
  <c r="B45"/>
  <c r="C38"/>
  <c r="D38"/>
  <c r="E38"/>
  <c r="F38"/>
  <c r="G38"/>
  <c r="H38"/>
  <c r="I38"/>
  <c r="B39"/>
  <c r="B40"/>
  <c r="B41"/>
  <c r="B42"/>
  <c r="B43"/>
  <c r="B44"/>
  <c r="B38"/>
  <c r="C31"/>
  <c r="D31"/>
  <c r="E31"/>
  <c r="F31"/>
  <c r="G31"/>
  <c r="H31"/>
  <c r="I31"/>
  <c r="B32"/>
  <c r="B33"/>
  <c r="B34"/>
  <c r="B35"/>
  <c r="B36"/>
  <c r="B37"/>
  <c r="B31"/>
  <c r="C24"/>
  <c r="D24"/>
  <c r="E24"/>
  <c r="F24"/>
  <c r="G24"/>
  <c r="H24"/>
  <c r="I24"/>
  <c r="B25"/>
  <c r="B26"/>
  <c r="B27"/>
  <c r="B28"/>
  <c r="B29"/>
  <c r="B30"/>
  <c r="B24"/>
  <c r="C17"/>
  <c r="D17"/>
  <c r="E17"/>
  <c r="F17"/>
  <c r="G17"/>
  <c r="H17"/>
  <c r="I17"/>
  <c r="B18"/>
  <c r="B19"/>
  <c r="B20"/>
  <c r="B21"/>
  <c r="B22"/>
  <c r="B23"/>
  <c r="B17"/>
  <c r="C10"/>
  <c r="D10"/>
  <c r="E10"/>
  <c r="F10"/>
  <c r="G10"/>
  <c r="H10"/>
  <c r="I10"/>
  <c r="B11"/>
  <c r="B12"/>
  <c r="B13"/>
  <c r="B14"/>
  <c r="B15"/>
  <c r="B16"/>
  <c r="B10"/>
  <c r="B9"/>
  <c r="I3"/>
  <c r="B4"/>
  <c r="B5"/>
  <c r="B6"/>
  <c r="B7"/>
  <c r="B8"/>
  <c r="C3"/>
  <c r="D3"/>
  <c r="E3"/>
  <c r="F3"/>
  <c r="G3"/>
  <c r="H3"/>
  <c r="B3"/>
  <c r="K3"/>
  <c r="L3"/>
  <c r="M3"/>
  <c r="N3"/>
  <c r="O3"/>
  <c r="P3"/>
  <c r="Q3"/>
  <c r="R3"/>
  <c r="B19" i="11" l="1"/>
  <c r="D19" s="1"/>
  <c r="H18" i="8" l="1"/>
  <c r="H54" i="9" s="1"/>
  <c r="H17" i="8"/>
  <c r="H53" i="9" s="1"/>
  <c r="F53"/>
  <c r="F18" i="8"/>
  <c r="F54" i="9" s="1"/>
  <c r="H18" i="7"/>
  <c r="H47" i="9" s="1"/>
  <c r="H17" i="7"/>
  <c r="H46" i="9" s="1"/>
  <c r="F18" i="7"/>
  <c r="F47" i="9" s="1"/>
  <c r="F17" i="7"/>
  <c r="F46" i="9" s="1"/>
  <c r="D58"/>
  <c r="D57"/>
  <c r="D56"/>
  <c r="D55"/>
  <c r="D54"/>
  <c r="D53"/>
  <c r="D51"/>
  <c r="D50"/>
  <c r="D49"/>
  <c r="D48"/>
  <c r="D47"/>
  <c r="D46"/>
  <c r="D44"/>
  <c r="D43"/>
  <c r="D42"/>
  <c r="D41"/>
  <c r="D40"/>
  <c r="D39"/>
  <c r="D37"/>
  <c r="D36"/>
  <c r="D35"/>
  <c r="D34"/>
  <c r="D33"/>
  <c r="D32"/>
  <c r="D30"/>
  <c r="D29"/>
  <c r="D28"/>
  <c r="D27"/>
  <c r="D26"/>
  <c r="D25"/>
  <c r="D23"/>
  <c r="D22"/>
  <c r="D21"/>
  <c r="D20"/>
  <c r="D19"/>
  <c r="D18"/>
  <c r="D15"/>
  <c r="D14"/>
  <c r="D13"/>
  <c r="D12"/>
  <c r="D11"/>
  <c r="D9"/>
  <c r="D8"/>
  <c r="D7"/>
  <c r="D6"/>
  <c r="D5"/>
  <c r="D4"/>
  <c r="A8" i="14"/>
  <c r="A7"/>
  <c r="J7"/>
  <c r="J8"/>
  <c r="E8"/>
  <c r="E7"/>
  <c r="G8"/>
  <c r="G7"/>
  <c r="L53"/>
  <c r="L54"/>
  <c r="L55"/>
  <c r="L52"/>
  <c r="L46"/>
  <c r="L47"/>
  <c r="L48"/>
  <c r="L45"/>
  <c r="L39"/>
  <c r="L40"/>
  <c r="L41"/>
  <c r="L38"/>
  <c r="L32"/>
  <c r="L33"/>
  <c r="L34"/>
  <c r="L31"/>
  <c r="L25"/>
  <c r="L26"/>
  <c r="L27"/>
  <c r="L24"/>
  <c r="L18"/>
  <c r="L19"/>
  <c r="L20"/>
  <c r="L17"/>
  <c r="L4"/>
  <c r="L5"/>
  <c r="L6"/>
  <c r="L3"/>
  <c r="L11"/>
  <c r="L12"/>
  <c r="L13"/>
  <c r="L10"/>
  <c r="F55"/>
  <c r="F54"/>
  <c r="D55"/>
  <c r="D54"/>
  <c r="F53"/>
  <c r="F52"/>
  <c r="D53"/>
  <c r="D52"/>
  <c r="F46"/>
  <c r="F45"/>
  <c r="D46"/>
  <c r="D45"/>
  <c r="F41"/>
  <c r="F40"/>
  <c r="D41"/>
  <c r="D40"/>
  <c r="F36"/>
  <c r="F35"/>
  <c r="D36"/>
  <c r="D35"/>
  <c r="F20"/>
  <c r="F19"/>
  <c r="D20"/>
  <c r="D19"/>
  <c r="F14"/>
  <c r="F15"/>
  <c r="D15"/>
  <c r="D14"/>
  <c r="F13"/>
  <c r="F12"/>
  <c r="D13"/>
  <c r="D12"/>
  <c r="F8"/>
  <c r="F7"/>
  <c r="D8"/>
  <c r="D7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/>
  <c r="E3"/>
  <c r="F3"/>
  <c r="G3"/>
  <c r="J3"/>
  <c r="A4"/>
  <c r="D4"/>
  <c r="E4"/>
  <c r="F4"/>
  <c r="G4"/>
  <c r="J4"/>
  <c r="A5"/>
  <c r="D5"/>
  <c r="E5"/>
  <c r="F5"/>
  <c r="G5"/>
  <c r="J5"/>
  <c r="A6"/>
  <c r="D6"/>
  <c r="E6"/>
  <c r="F6"/>
  <c r="G6"/>
  <c r="J6"/>
  <c r="B8"/>
  <c r="A10"/>
  <c r="D10"/>
  <c r="E10"/>
  <c r="F10"/>
  <c r="G10"/>
  <c r="J10"/>
  <c r="A11"/>
  <c r="D11"/>
  <c r="E11"/>
  <c r="F11"/>
  <c r="G11"/>
  <c r="J11"/>
  <c r="A12"/>
  <c r="E12"/>
  <c r="G12"/>
  <c r="J12"/>
  <c r="A13"/>
  <c r="E13"/>
  <c r="G13"/>
  <c r="J13"/>
  <c r="A14"/>
  <c r="E14"/>
  <c r="G14"/>
  <c r="J14"/>
  <c r="A15"/>
  <c r="E15"/>
  <c r="G15"/>
  <c r="J15"/>
  <c r="A17"/>
  <c r="D17"/>
  <c r="E17"/>
  <c r="F17"/>
  <c r="G17"/>
  <c r="J17"/>
  <c r="A18"/>
  <c r="D18"/>
  <c r="E18"/>
  <c r="F18"/>
  <c r="G18"/>
  <c r="I18" s="1"/>
  <c r="J18"/>
  <c r="A19"/>
  <c r="E19"/>
  <c r="G19"/>
  <c r="J19"/>
  <c r="A20"/>
  <c r="E20"/>
  <c r="G20"/>
  <c r="J20"/>
  <c r="A21"/>
  <c r="D21"/>
  <c r="E21"/>
  <c r="F21"/>
  <c r="G21"/>
  <c r="J21"/>
  <c r="A22"/>
  <c r="D22"/>
  <c r="E22"/>
  <c r="F22"/>
  <c r="G22"/>
  <c r="B22" s="1"/>
  <c r="J22"/>
  <c r="A24"/>
  <c r="D24"/>
  <c r="E24"/>
  <c r="F24"/>
  <c r="G24"/>
  <c r="J24"/>
  <c r="A25"/>
  <c r="D25"/>
  <c r="E25"/>
  <c r="F25"/>
  <c r="G25"/>
  <c r="J25"/>
  <c r="A26"/>
  <c r="D26"/>
  <c r="E26"/>
  <c r="F26"/>
  <c r="G26"/>
  <c r="B26" s="1"/>
  <c r="J26"/>
  <c r="A27"/>
  <c r="D27"/>
  <c r="E27"/>
  <c r="F27"/>
  <c r="G27"/>
  <c r="J27"/>
  <c r="A28"/>
  <c r="D28"/>
  <c r="E28"/>
  <c r="F28"/>
  <c r="G28"/>
  <c r="B28" s="1"/>
  <c r="J28"/>
  <c r="A29"/>
  <c r="D29"/>
  <c r="E29"/>
  <c r="F29"/>
  <c r="G29"/>
  <c r="J29"/>
  <c r="A31"/>
  <c r="D31"/>
  <c r="E31"/>
  <c r="F31"/>
  <c r="G31"/>
  <c r="J31"/>
  <c r="A32"/>
  <c r="D32"/>
  <c r="E32"/>
  <c r="F32"/>
  <c r="G32"/>
  <c r="J32"/>
  <c r="A33"/>
  <c r="D33"/>
  <c r="E33"/>
  <c r="F33"/>
  <c r="G33"/>
  <c r="J33"/>
  <c r="A34"/>
  <c r="D34"/>
  <c r="E34"/>
  <c r="F34"/>
  <c r="G34"/>
  <c r="J34"/>
  <c r="A35"/>
  <c r="E35"/>
  <c r="G35"/>
  <c r="J35"/>
  <c r="A36"/>
  <c r="E36"/>
  <c r="G36"/>
  <c r="J36"/>
  <c r="A38"/>
  <c r="D38"/>
  <c r="E38"/>
  <c r="F38"/>
  <c r="G38"/>
  <c r="J38"/>
  <c r="A39"/>
  <c r="D39"/>
  <c r="E39"/>
  <c r="F39"/>
  <c r="G39"/>
  <c r="J39"/>
  <c r="A40"/>
  <c r="E40"/>
  <c r="G40"/>
  <c r="J40"/>
  <c r="A41"/>
  <c r="E41"/>
  <c r="G41"/>
  <c r="J41"/>
  <c r="A42"/>
  <c r="D42"/>
  <c r="E42"/>
  <c r="F42"/>
  <c r="G42"/>
  <c r="J42"/>
  <c r="A43"/>
  <c r="D43"/>
  <c r="E43"/>
  <c r="F43"/>
  <c r="G43"/>
  <c r="J43"/>
  <c r="A45"/>
  <c r="E45"/>
  <c r="G45"/>
  <c r="J45"/>
  <c r="A46"/>
  <c r="E46"/>
  <c r="G46"/>
  <c r="J46"/>
  <c r="A47"/>
  <c r="D47"/>
  <c r="E47"/>
  <c r="F47"/>
  <c r="G47"/>
  <c r="J47"/>
  <c r="A48"/>
  <c r="D48"/>
  <c r="E48"/>
  <c r="F48"/>
  <c r="G48"/>
  <c r="C48" s="1"/>
  <c r="J48"/>
  <c r="A49"/>
  <c r="D49"/>
  <c r="E49"/>
  <c r="F49"/>
  <c r="G49"/>
  <c r="J49"/>
  <c r="A50"/>
  <c r="D50"/>
  <c r="E50"/>
  <c r="F50"/>
  <c r="G50"/>
  <c r="J50"/>
  <c r="A52"/>
  <c r="E52"/>
  <c r="G52"/>
  <c r="J52"/>
  <c r="A53"/>
  <c r="E53"/>
  <c r="G53"/>
  <c r="J53"/>
  <c r="A54"/>
  <c r="E54"/>
  <c r="G54"/>
  <c r="J54"/>
  <c r="A55"/>
  <c r="E55"/>
  <c r="G55"/>
  <c r="J55"/>
  <c r="A56"/>
  <c r="D56"/>
  <c r="E56"/>
  <c r="F56"/>
  <c r="G56"/>
  <c r="J56"/>
  <c r="A57"/>
  <c r="D57"/>
  <c r="E57"/>
  <c r="F57"/>
  <c r="G57"/>
  <c r="B57" s="1"/>
  <c r="J57"/>
  <c r="K7" i="12"/>
  <c r="K8"/>
  <c r="K9"/>
  <c r="K10"/>
  <c r="K14"/>
  <c r="K15"/>
  <c r="K16"/>
  <c r="K17"/>
  <c r="K21"/>
  <c r="K22"/>
  <c r="K23"/>
  <c r="K24"/>
  <c r="K28"/>
  <c r="K29"/>
  <c r="K30"/>
  <c r="K31"/>
  <c r="K35"/>
  <c r="K36"/>
  <c r="K37"/>
  <c r="K38"/>
  <c r="K42"/>
  <c r="K43"/>
  <c r="K44"/>
  <c r="K45"/>
  <c r="K49"/>
  <c r="K50"/>
  <c r="K51"/>
  <c r="K52"/>
  <c r="K56"/>
  <c r="K57"/>
  <c r="K58"/>
  <c r="K59"/>
  <c r="K2" i="11"/>
  <c r="H6"/>
  <c r="H7"/>
  <c r="D14"/>
  <c r="C19"/>
  <c r="C1" i="9"/>
  <c r="K16" i="1"/>
  <c r="M16"/>
  <c r="O16"/>
  <c r="Q16"/>
  <c r="K10" i="9"/>
  <c r="K16" i="2" s="1"/>
  <c r="L10" i="9"/>
  <c r="M10"/>
  <c r="M16" i="2" s="1"/>
  <c r="N10" i="9"/>
  <c r="O10"/>
  <c r="O16" i="2"/>
  <c r="P10" i="9"/>
  <c r="P16" i="2" s="1"/>
  <c r="Q10" i="9"/>
  <c r="Q16" i="2" s="1"/>
  <c r="R10" i="9"/>
  <c r="R16" i="2" s="1"/>
  <c r="K17" i="9"/>
  <c r="K16" i="3" s="1"/>
  <c r="L17" i="9"/>
  <c r="M17"/>
  <c r="N17"/>
  <c r="O17"/>
  <c r="O16" i="3" s="1"/>
  <c r="P17" i="9"/>
  <c r="Q17"/>
  <c r="R17"/>
  <c r="K24"/>
  <c r="L24"/>
  <c r="L16" i="4" s="1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/>
  <c r="L16" i="5" s="1"/>
  <c r="M31" i="9"/>
  <c r="N31"/>
  <c r="O31"/>
  <c r="P31"/>
  <c r="P16" i="5" s="1"/>
  <c r="Q31" i="9"/>
  <c r="R31"/>
  <c r="K38"/>
  <c r="L38"/>
  <c r="L16" i="6" s="1"/>
  <c r="M38" i="9"/>
  <c r="M16" i="6" s="1"/>
  <c r="N38" i="9"/>
  <c r="N16" i="6" s="1"/>
  <c r="O38" i="9"/>
  <c r="P38"/>
  <c r="P16" i="6" s="1"/>
  <c r="Q38" i="9"/>
  <c r="Q16" i="6" s="1"/>
  <c r="R38" i="9"/>
  <c r="R16" i="6" s="1"/>
  <c r="K45" i="9"/>
  <c r="K16" i="7" s="1"/>
  <c r="L45" i="9"/>
  <c r="M45"/>
  <c r="N45"/>
  <c r="O45"/>
  <c r="O16" i="7" s="1"/>
  <c r="P45" i="9"/>
  <c r="Q45"/>
  <c r="R45"/>
  <c r="K52"/>
  <c r="K16" i="8" s="1"/>
  <c r="L52" i="9"/>
  <c r="L16" i="8"/>
  <c r="M52" i="9"/>
  <c r="M16" i="8" s="1"/>
  <c r="N52" i="9"/>
  <c r="N16" i="8" s="1"/>
  <c r="O52" i="9"/>
  <c r="P52"/>
  <c r="P16" i="8" s="1"/>
  <c r="Q52" i="9"/>
  <c r="R52"/>
  <c r="R16" i="8" s="1"/>
  <c r="P23"/>
  <c r="O16"/>
  <c r="Q16"/>
  <c r="S16"/>
  <c r="H21"/>
  <c r="H57" i="9" s="1"/>
  <c r="F22" i="8"/>
  <c r="F58" i="9" s="1"/>
  <c r="H22" i="8"/>
  <c r="H58" i="9" s="1"/>
  <c r="L16" i="7"/>
  <c r="M16"/>
  <c r="N16"/>
  <c r="P16"/>
  <c r="Q16"/>
  <c r="R16"/>
  <c r="S16"/>
  <c r="F19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/>
  <c r="P23" s="1"/>
  <c r="K16"/>
  <c r="O16"/>
  <c r="S16"/>
  <c r="F17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/>
  <c r="K16"/>
  <c r="M16"/>
  <c r="N16"/>
  <c r="O16"/>
  <c r="Q16"/>
  <c r="R16"/>
  <c r="S16"/>
  <c r="F17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/>
  <c r="P24" s="1"/>
  <c r="K16"/>
  <c r="S16"/>
  <c r="F17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/>
  <c r="L16"/>
  <c r="M16"/>
  <c r="N16"/>
  <c r="P16"/>
  <c r="Q16"/>
  <c r="R16"/>
  <c r="S16"/>
  <c r="F17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/>
  <c r="P23" s="1"/>
  <c r="L16"/>
  <c r="N16"/>
  <c r="S16"/>
  <c r="B2" i="1"/>
  <c r="B4"/>
  <c r="L16"/>
  <c r="N16"/>
  <c r="P16"/>
  <c r="R16"/>
  <c r="F17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/>
  <c r="H7"/>
  <c r="C15"/>
  <c r="H50"/>
  <c r="B19" l="1"/>
  <c r="H15"/>
  <c r="H14"/>
  <c r="I55"/>
  <c r="H54"/>
  <c r="I53"/>
  <c r="B47"/>
  <c r="C42"/>
  <c r="C33"/>
  <c r="C29"/>
  <c r="B27"/>
  <c r="H21"/>
  <c r="B21"/>
  <c r="C19"/>
  <c r="C18"/>
  <c r="C22"/>
  <c r="H18"/>
  <c r="B20"/>
  <c r="H28"/>
  <c r="H29"/>
  <c r="I33"/>
  <c r="B33"/>
  <c r="H33"/>
  <c r="C43"/>
  <c r="H41"/>
  <c r="I40"/>
  <c r="I49"/>
  <c r="I47"/>
  <c r="B50"/>
  <c r="H48"/>
  <c r="H49"/>
  <c r="C47"/>
  <c r="C55"/>
  <c r="I52"/>
  <c r="O53" s="1"/>
  <c r="N57" i="12" s="1"/>
  <c r="I54" i="14"/>
  <c r="I57"/>
  <c r="C54"/>
  <c r="H55"/>
  <c r="H47"/>
  <c r="C49"/>
  <c r="C41"/>
  <c r="H40"/>
  <c r="H35"/>
  <c r="B34"/>
  <c r="I36"/>
  <c r="C36"/>
  <c r="B35"/>
  <c r="H34"/>
  <c r="C34"/>
  <c r="I35"/>
  <c r="I28"/>
  <c r="C50"/>
  <c r="I41"/>
  <c r="B40"/>
  <c r="C40"/>
  <c r="B41"/>
  <c r="B36"/>
  <c r="H36"/>
  <c r="C35"/>
  <c r="B29"/>
  <c r="H27"/>
  <c r="M10"/>
  <c r="I5"/>
  <c r="I6"/>
  <c r="B56"/>
  <c r="C57"/>
  <c r="H43"/>
  <c r="B42"/>
  <c r="I42"/>
  <c r="H42"/>
  <c r="B43"/>
  <c r="I43"/>
  <c r="I27"/>
  <c r="H22"/>
  <c r="C20"/>
  <c r="H19"/>
  <c r="C21"/>
  <c r="I13"/>
  <c r="B15"/>
  <c r="B6"/>
  <c r="H20"/>
  <c r="I15"/>
  <c r="I21"/>
  <c r="B48"/>
  <c r="B54"/>
  <c r="B14"/>
  <c r="H26"/>
  <c r="B55"/>
  <c r="H56"/>
  <c r="C56"/>
  <c r="H52"/>
  <c r="I46"/>
  <c r="I39"/>
  <c r="I32"/>
  <c r="M13"/>
  <c r="B49"/>
  <c r="H57"/>
  <c r="I56"/>
  <c r="I19"/>
  <c r="C26"/>
  <c r="I22"/>
  <c r="I20"/>
  <c r="M55"/>
  <c r="Q5"/>
  <c r="O9" i="12" s="1"/>
  <c r="N6" i="11"/>
  <c r="N5"/>
  <c r="C16"/>
  <c r="D16" s="1"/>
  <c r="B16" s="1"/>
  <c r="Q54" i="14"/>
  <c r="O58" i="12" s="1"/>
  <c r="R55" i="14"/>
  <c r="P59" i="12" s="1"/>
  <c r="M53" i="14"/>
  <c r="Q52"/>
  <c r="O56" i="12" s="1"/>
  <c r="R53" i="14"/>
  <c r="P57" i="12" s="1"/>
  <c r="B53" i="14"/>
  <c r="Q55"/>
  <c r="O59" i="12" s="1"/>
  <c r="R54" i="14"/>
  <c r="P58" i="12" s="1"/>
  <c r="M54" i="14"/>
  <c r="B52"/>
  <c r="Q53"/>
  <c r="O57" i="12" s="1"/>
  <c r="R52" i="14"/>
  <c r="P56" i="12" s="1"/>
  <c r="M52" i="14"/>
  <c r="Q47"/>
  <c r="O51" i="12" s="1"/>
  <c r="R48" i="14"/>
  <c r="P52" i="12" s="1"/>
  <c r="M46" i="14"/>
  <c r="Q45"/>
  <c r="O49" i="12" s="1"/>
  <c r="R46" i="14"/>
  <c r="P50" i="12" s="1"/>
  <c r="M48" i="14"/>
  <c r="Q48"/>
  <c r="O52" i="12" s="1"/>
  <c r="R47" i="14"/>
  <c r="P51" i="12" s="1"/>
  <c r="M47" i="14"/>
  <c r="I45"/>
  <c r="Q46"/>
  <c r="O50" i="12" s="1"/>
  <c r="R45" i="14"/>
  <c r="P49" i="12" s="1"/>
  <c r="M45" i="14"/>
  <c r="M39"/>
  <c r="M41"/>
  <c r="Q41"/>
  <c r="O45" i="12" s="1"/>
  <c r="R40" i="14"/>
  <c r="P44" i="12" s="1"/>
  <c r="Q40" i="14"/>
  <c r="O44" i="12" s="1"/>
  <c r="R41" i="14"/>
  <c r="P45" i="12" s="1"/>
  <c r="M40" i="14"/>
  <c r="I38"/>
  <c r="Q39"/>
  <c r="O43" i="12" s="1"/>
  <c r="R38" i="14"/>
  <c r="P42" i="12" s="1"/>
  <c r="Q38" i="14"/>
  <c r="O42" i="12" s="1"/>
  <c r="R39" i="14"/>
  <c r="P43" i="12" s="1"/>
  <c r="M38" i="14"/>
  <c r="M32"/>
  <c r="M34"/>
  <c r="Q34"/>
  <c r="O38" i="12" s="1"/>
  <c r="R33" i="14"/>
  <c r="P37" i="12" s="1"/>
  <c r="Q33" i="14"/>
  <c r="O37" i="12" s="1"/>
  <c r="R34" i="14"/>
  <c r="P38" i="12" s="1"/>
  <c r="M33" i="14"/>
  <c r="I31"/>
  <c r="Q32"/>
  <c r="O36" i="12" s="1"/>
  <c r="R31" i="14"/>
  <c r="P35" i="12" s="1"/>
  <c r="Q31" i="14"/>
  <c r="O35" i="12" s="1"/>
  <c r="R32" i="14"/>
  <c r="P36" i="12" s="1"/>
  <c r="M31" i="14"/>
  <c r="M27"/>
  <c r="Q27"/>
  <c r="O31" i="12" s="1"/>
  <c r="R26" i="14"/>
  <c r="P30" i="12" s="1"/>
  <c r="Q26" i="14"/>
  <c r="O30" i="12" s="1"/>
  <c r="R27" i="14"/>
  <c r="P31" i="12" s="1"/>
  <c r="M26" i="14"/>
  <c r="I24"/>
  <c r="Q25"/>
  <c r="O29" i="12" s="1"/>
  <c r="R24" i="14"/>
  <c r="P28" i="12" s="1"/>
  <c r="Q24" i="14"/>
  <c r="O28" i="12" s="1"/>
  <c r="R25" i="14"/>
  <c r="P29" i="12" s="1"/>
  <c r="M24" i="14"/>
  <c r="I25"/>
  <c r="O27" s="1"/>
  <c r="N31" i="12" s="1"/>
  <c r="M25" i="14"/>
  <c r="O20"/>
  <c r="N24" i="12" s="1"/>
  <c r="M20" i="14"/>
  <c r="M18"/>
  <c r="Q20"/>
  <c r="O24" i="12" s="1"/>
  <c r="R19" i="14"/>
  <c r="P23" i="12" s="1"/>
  <c r="Q19" i="14"/>
  <c r="O23" i="12" s="1"/>
  <c r="R20" i="14"/>
  <c r="P24" i="12" s="1"/>
  <c r="M19" i="14"/>
  <c r="I17"/>
  <c r="Q18"/>
  <c r="O22" i="12" s="1"/>
  <c r="R17" i="14"/>
  <c r="P21" i="12" s="1"/>
  <c r="Q17" i="14"/>
  <c r="O21" i="12" s="1"/>
  <c r="R18" i="14"/>
  <c r="P22" i="12" s="1"/>
  <c r="M17" i="14"/>
  <c r="R12"/>
  <c r="P16" i="12" s="1"/>
  <c r="Q12" i="14"/>
  <c r="O16" i="12" s="1"/>
  <c r="M12" i="14"/>
  <c r="I10"/>
  <c r="Q11"/>
  <c r="O15" i="12" s="1"/>
  <c r="R11" i="14"/>
  <c r="P15" i="12" s="1"/>
  <c r="I12" i="14"/>
  <c r="I11"/>
  <c r="M11"/>
  <c r="R13"/>
  <c r="P17" i="12" s="1"/>
  <c r="Q10" i="14"/>
  <c r="O14" i="12" s="1"/>
  <c r="R10" i="14"/>
  <c r="P14" i="12" s="1"/>
  <c r="Q13" i="14"/>
  <c r="O17" i="12" s="1"/>
  <c r="N4" i="11"/>
  <c r="N7"/>
  <c r="N9"/>
  <c r="N8"/>
  <c r="Q6" i="14"/>
  <c r="O10" i="12" s="1"/>
  <c r="R4" i="14"/>
  <c r="P8" i="12" s="1"/>
  <c r="I3" i="14"/>
  <c r="R3"/>
  <c r="P7" i="12" s="1"/>
  <c r="Q4" i="14"/>
  <c r="O8" i="12" s="1"/>
  <c r="M3" i="14"/>
  <c r="M4"/>
  <c r="Q3"/>
  <c r="O7" i="12" s="1"/>
  <c r="R5" i="14"/>
  <c r="P9" i="12" s="1"/>
  <c r="M6" i="14"/>
  <c r="M5"/>
  <c r="R6"/>
  <c r="P10" i="12" s="1"/>
  <c r="H6" i="14"/>
  <c r="C6"/>
  <c r="I4"/>
  <c r="H53"/>
  <c r="N55" s="1"/>
  <c r="L59" i="12" s="1"/>
  <c r="C52" i="14"/>
  <c r="C53"/>
  <c r="I48"/>
  <c r="B45"/>
  <c r="O45" s="1"/>
  <c r="N49" i="12" s="1"/>
  <c r="I50" i="14"/>
  <c r="B46"/>
  <c r="C46"/>
  <c r="C45"/>
  <c r="H46"/>
  <c r="H45"/>
  <c r="C39"/>
  <c r="C38"/>
  <c r="H38"/>
  <c r="N39" s="1"/>
  <c r="L43" i="12" s="1"/>
  <c r="B38" i="14"/>
  <c r="H39"/>
  <c r="B39"/>
  <c r="I34"/>
  <c r="B31"/>
  <c r="B32"/>
  <c r="C32"/>
  <c r="C31"/>
  <c r="H32"/>
  <c r="H31"/>
  <c r="I29"/>
  <c r="C28"/>
  <c r="I26"/>
  <c r="B24"/>
  <c r="O24" s="1"/>
  <c r="N28" i="12" s="1"/>
  <c r="C27" i="14"/>
  <c r="B25"/>
  <c r="C25"/>
  <c r="C24"/>
  <c r="H25"/>
  <c r="H24"/>
  <c r="B17"/>
  <c r="B18"/>
  <c r="C17"/>
  <c r="H17"/>
  <c r="I14"/>
  <c r="B12"/>
  <c r="B10"/>
  <c r="B13"/>
  <c r="B11"/>
  <c r="C13"/>
  <c r="C12"/>
  <c r="C11"/>
  <c r="C10"/>
  <c r="C14"/>
  <c r="H13"/>
  <c r="H12"/>
  <c r="H11"/>
  <c r="H10"/>
  <c r="H8"/>
  <c r="I8"/>
  <c r="C8"/>
  <c r="B7"/>
  <c r="C4"/>
  <c r="C5"/>
  <c r="C3"/>
  <c r="H5"/>
  <c r="B5"/>
  <c r="H4"/>
  <c r="B4"/>
  <c r="H3"/>
  <c r="B3"/>
  <c r="P24" i="6"/>
  <c r="P22" s="1"/>
  <c r="P24" i="2"/>
  <c r="P22" s="1"/>
  <c r="P23" i="4"/>
  <c r="P22" s="1"/>
  <c r="P23" i="1"/>
  <c r="P24" i="3"/>
  <c r="P24" i="8"/>
  <c r="P22" s="1"/>
  <c r="P23" i="3"/>
  <c r="P24" i="1"/>
  <c r="P24" i="5"/>
  <c r="P23"/>
  <c r="N20" i="14" l="1"/>
  <c r="L24" i="12" s="1"/>
  <c r="Q14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/>
  <c r="O3" i="14"/>
  <c r="N7" i="12" s="1"/>
  <c r="Q9"/>
  <c r="Q7"/>
  <c r="N53" i="14"/>
  <c r="L57" i="12" s="1"/>
  <c r="Q56"/>
  <c r="O52" i="14"/>
  <c r="N56" i="12" s="1"/>
  <c r="Q59"/>
  <c r="N54" i="14"/>
  <c r="L58" i="12" s="1"/>
  <c r="O48" i="14"/>
  <c r="N52" i="12" s="1"/>
  <c r="Q42"/>
  <c r="N38" i="14"/>
  <c r="L42" i="12" s="1"/>
  <c r="O39" i="14"/>
  <c r="N43" i="12" s="1"/>
  <c r="Q35"/>
  <c r="O26" i="14"/>
  <c r="N30" i="12" s="1"/>
  <c r="O25" i="14"/>
  <c r="N29" i="12" s="1"/>
  <c r="Q28"/>
  <c r="N18" i="14"/>
  <c r="L22" i="12" s="1"/>
  <c r="O19" i="14"/>
  <c r="N23" i="12" s="1"/>
  <c r="Q23"/>
  <c r="Q17"/>
  <c r="O11" i="14"/>
  <c r="N15" i="12" s="1"/>
  <c r="Q16"/>
  <c r="N3" i="14"/>
  <c r="N11"/>
  <c r="L15" i="12" s="1"/>
  <c r="N10" i="14"/>
  <c r="L14" i="12" s="1"/>
  <c r="N24" i="14"/>
  <c r="L28" i="12" s="1"/>
  <c r="P20" i="14"/>
  <c r="M24" i="12" s="1"/>
  <c r="R24" s="1"/>
  <c r="W24" s="1"/>
  <c r="N27" i="14"/>
  <c r="L31" i="12" s="1"/>
  <c r="O6" i="14"/>
  <c r="N10" i="12" s="1"/>
  <c r="Q21"/>
  <c r="Q30"/>
  <c r="Q37"/>
  <c r="Q50"/>
  <c r="Q52"/>
  <c r="C7" i="9"/>
  <c r="C53"/>
  <c r="E19" i="6"/>
  <c r="E41" i="9" s="1"/>
  <c r="C41"/>
  <c r="E18" i="4"/>
  <c r="E26" i="9" s="1"/>
  <c r="C26"/>
  <c r="C6"/>
  <c r="O13" i="14"/>
  <c r="N17" i="12" s="1"/>
  <c r="Q29"/>
  <c r="Q31"/>
  <c r="Q36"/>
  <c r="Q43"/>
  <c r="Q45"/>
  <c r="O5" i="14"/>
  <c r="N9" i="12" s="1"/>
  <c r="Q10"/>
  <c r="Q44"/>
  <c r="P55" i="14"/>
  <c r="M59" i="12" s="1"/>
  <c r="R59" s="1"/>
  <c r="W59" s="1"/>
  <c r="P53" i="14"/>
  <c r="M57" i="12" s="1"/>
  <c r="R57" s="1"/>
  <c r="W57" s="1"/>
  <c r="Q58"/>
  <c r="O46" i="14"/>
  <c r="N50" i="12" s="1"/>
  <c r="Q49"/>
  <c r="Q51"/>
  <c r="O38" i="14"/>
  <c r="N42" i="12" s="1"/>
  <c r="O32" i="14"/>
  <c r="N36" i="12" s="1"/>
  <c r="Q38"/>
  <c r="Q22"/>
  <c r="Q24"/>
  <c r="P18" i="14"/>
  <c r="M22" i="12" s="1"/>
  <c r="O10" i="14"/>
  <c r="N14" i="12" s="1"/>
  <c r="N13" i="14"/>
  <c r="L17" i="12" s="1"/>
  <c r="N12" i="14"/>
  <c r="L16" i="12" s="1"/>
  <c r="N4" i="14"/>
  <c r="N5"/>
  <c r="Q15" i="12"/>
  <c r="P22" i="5"/>
  <c r="P22" i="3"/>
  <c r="P22" i="1"/>
  <c r="E19" s="1"/>
  <c r="E6" i="9" s="1"/>
  <c r="P45" i="14" l="1"/>
  <c r="M49" i="12" s="1"/>
  <c r="R49" s="1"/>
  <c r="P31" i="14"/>
  <c r="M35" i="12" s="1"/>
  <c r="P33" i="14"/>
  <c r="M37" i="12" s="1"/>
  <c r="P4" i="14"/>
  <c r="M8" i="12" s="1"/>
  <c r="P5" i="14"/>
  <c r="M9" i="12" s="1"/>
  <c r="P17" i="14"/>
  <c r="M21" i="12" s="1"/>
  <c r="R21" s="1"/>
  <c r="W21" s="1"/>
  <c r="P27" i="14"/>
  <c r="M31" i="12" s="1"/>
  <c r="R31" s="1"/>
  <c r="P34" i="14"/>
  <c r="M38" i="12" s="1"/>
  <c r="P40" i="14"/>
  <c r="M44" i="12" s="1"/>
  <c r="P47" i="14"/>
  <c r="M51" i="12" s="1"/>
  <c r="R51" s="1"/>
  <c r="W51" s="1"/>
  <c r="P25" i="14"/>
  <c r="M29" i="12" s="1"/>
  <c r="R29" s="1"/>
  <c r="P54" i="14"/>
  <c r="M58" i="12" s="1"/>
  <c r="R58" s="1"/>
  <c r="W58" s="1"/>
  <c r="P48" i="14"/>
  <c r="M52" i="12" s="1"/>
  <c r="R52" s="1"/>
  <c r="W52" s="1"/>
  <c r="P41" i="14"/>
  <c r="M45" i="12" s="1"/>
  <c r="R45" s="1"/>
  <c r="P39" i="14"/>
  <c r="M43" i="12" s="1"/>
  <c r="R43" s="1"/>
  <c r="W43" s="1"/>
  <c r="L9"/>
  <c r="P3" i="14"/>
  <c r="M7" i="12" s="1"/>
  <c r="P52" i="14"/>
  <c r="M56" i="12" s="1"/>
  <c r="R56" s="1"/>
  <c r="P26" i="14"/>
  <c r="M30" i="12" s="1"/>
  <c r="R30" s="1"/>
  <c r="P24" i="14"/>
  <c r="M28" i="12" s="1"/>
  <c r="R28" s="1"/>
  <c r="W28" s="1"/>
  <c r="P19" i="14"/>
  <c r="M23" i="12" s="1"/>
  <c r="R23" s="1"/>
  <c r="W23" s="1"/>
  <c r="P10" i="14"/>
  <c r="M14" i="12" s="1"/>
  <c r="R14" s="1"/>
  <c r="P11" i="14"/>
  <c r="M15" i="12" s="1"/>
  <c r="R15" s="1"/>
  <c r="W15" s="1"/>
  <c r="L7"/>
  <c r="P6" i="14"/>
  <c r="M10" i="12" s="1"/>
  <c r="R10" s="1"/>
  <c r="W10" s="1"/>
  <c r="P12" i="14"/>
  <c r="M16" i="12" s="1"/>
  <c r="R16" s="1"/>
  <c r="W16" s="1"/>
  <c r="E53" i="9"/>
  <c r="P13" i="14"/>
  <c r="M17" i="12" s="1"/>
  <c r="R17" s="1"/>
  <c r="W17" s="1"/>
  <c r="P32" i="14"/>
  <c r="M36" i="12" s="1"/>
  <c r="R36" s="1"/>
  <c r="W36" s="1"/>
  <c r="E20" i="1"/>
  <c r="E7" i="9" s="1"/>
  <c r="E17" i="1"/>
  <c r="E4" i="9" s="1"/>
  <c r="S58" i="12"/>
  <c r="S59"/>
  <c r="E21" i="2"/>
  <c r="E15" i="9" s="1"/>
  <c r="C15"/>
  <c r="E17" i="3"/>
  <c r="E18" i="9" s="1"/>
  <c r="C18"/>
  <c r="E19" i="3"/>
  <c r="E20" i="9" s="1"/>
  <c r="C20"/>
  <c r="E20" i="4"/>
  <c r="E28" i="9" s="1"/>
  <c r="C28"/>
  <c r="E22" i="4"/>
  <c r="E30" i="9" s="1"/>
  <c r="C30"/>
  <c r="E22" i="6"/>
  <c r="E44" i="9" s="1"/>
  <c r="C44"/>
  <c r="E22" i="7"/>
  <c r="E51" i="9" s="1"/>
  <c r="C51"/>
  <c r="E18" i="1"/>
  <c r="E5" i="9" s="1"/>
  <c r="C5"/>
  <c r="E22" i="2"/>
  <c r="E16" i="9" s="1"/>
  <c r="C16"/>
  <c r="E21" i="4"/>
  <c r="E29" i="9" s="1"/>
  <c r="C29"/>
  <c r="E21" i="6"/>
  <c r="E43" i="9" s="1"/>
  <c r="C43"/>
  <c r="E17" i="7"/>
  <c r="E46" i="9" s="1"/>
  <c r="C46"/>
  <c r="E21" i="7"/>
  <c r="E50" i="9" s="1"/>
  <c r="C50"/>
  <c r="E20" i="8"/>
  <c r="E56" i="9" s="1"/>
  <c r="C56"/>
  <c r="E22" i="1"/>
  <c r="E9" i="9" s="1"/>
  <c r="C9"/>
  <c r="E21" i="3"/>
  <c r="E22" i="9" s="1"/>
  <c r="C22"/>
  <c r="E21" i="5"/>
  <c r="E36" i="9" s="1"/>
  <c r="C36"/>
  <c r="E21" i="8"/>
  <c r="E57" i="9" s="1"/>
  <c r="C57"/>
  <c r="E21" i="1"/>
  <c r="E8" i="9" s="1"/>
  <c r="C8"/>
  <c r="E22" i="3"/>
  <c r="E23" i="9" s="1"/>
  <c r="C23"/>
  <c r="E22" i="5"/>
  <c r="E37" i="9" s="1"/>
  <c r="C37"/>
  <c r="E22" i="8"/>
  <c r="E58" i="9" s="1"/>
  <c r="C58"/>
  <c r="C4"/>
  <c r="E18" i="2"/>
  <c r="E12" i="9" s="1"/>
  <c r="C12"/>
  <c r="E17" i="6"/>
  <c r="E39" i="9" s="1"/>
  <c r="C39"/>
  <c r="E20" i="6"/>
  <c r="E42" i="9" s="1"/>
  <c r="C42"/>
  <c r="E18" i="7"/>
  <c r="E47" i="9" s="1"/>
  <c r="C47"/>
  <c r="E19" i="8"/>
  <c r="E55" i="9" s="1"/>
  <c r="C55"/>
  <c r="E19" i="2"/>
  <c r="E13" i="9" s="1"/>
  <c r="C13"/>
  <c r="E18" i="3"/>
  <c r="E19" i="9" s="1"/>
  <c r="C19"/>
  <c r="E20" i="3"/>
  <c r="E21" i="9" s="1"/>
  <c r="C21"/>
  <c r="E20" i="5"/>
  <c r="E35" i="9" s="1"/>
  <c r="C35"/>
  <c r="E18" i="8"/>
  <c r="E54" i="9" s="1"/>
  <c r="C54"/>
  <c r="E19" i="7"/>
  <c r="E48" i="9" s="1"/>
  <c r="C48"/>
  <c r="E18" i="5"/>
  <c r="E33" i="9" s="1"/>
  <c r="C33"/>
  <c r="E17" i="2"/>
  <c r="E11" i="9" s="1"/>
  <c r="C11"/>
  <c r="E19" i="5"/>
  <c r="E34" i="9" s="1"/>
  <c r="C34"/>
  <c r="E19" i="4"/>
  <c r="E27" i="9" s="1"/>
  <c r="C27"/>
  <c r="E17" i="4"/>
  <c r="E25" i="9" s="1"/>
  <c r="C25"/>
  <c r="E18" i="6"/>
  <c r="E40" i="9" s="1"/>
  <c r="C40"/>
  <c r="E20" i="7"/>
  <c r="E49" i="9" s="1"/>
  <c r="C49"/>
  <c r="E20" i="2"/>
  <c r="E14" i="9" s="1"/>
  <c r="C14"/>
  <c r="E17" i="5"/>
  <c r="E32" i="9" s="1"/>
  <c r="C32"/>
  <c r="L8" i="12"/>
  <c r="P46" i="14"/>
  <c r="M50" i="12" s="1"/>
  <c r="R50" s="1"/>
  <c r="W50" s="1"/>
  <c r="P38" i="14"/>
  <c r="M42" i="12" s="1"/>
  <c r="R42" s="1"/>
  <c r="W42" s="1"/>
  <c r="W56"/>
  <c r="W49"/>
  <c r="R44"/>
  <c r="R37"/>
  <c r="R38"/>
  <c r="W38" s="1"/>
  <c r="R35"/>
  <c r="W30"/>
  <c r="R22"/>
  <c r="W22" s="1"/>
  <c r="S44" l="1"/>
  <c r="S29"/>
  <c r="R8"/>
  <c r="W8" s="1"/>
  <c r="R9"/>
  <c r="W9" s="1"/>
  <c r="T59"/>
  <c r="U59" s="1"/>
  <c r="X57"/>
  <c r="S56"/>
  <c r="T58"/>
  <c r="U58" s="1"/>
  <c r="S57"/>
  <c r="T56"/>
  <c r="T57"/>
  <c r="R7"/>
  <c r="W7" s="1"/>
  <c r="T23"/>
  <c r="T24"/>
  <c r="X23"/>
  <c r="T21"/>
  <c r="S45"/>
  <c r="T22"/>
  <c r="S28"/>
  <c r="S36"/>
  <c r="X52"/>
  <c r="S52"/>
  <c r="S50"/>
  <c r="S38"/>
  <c r="W37"/>
  <c r="S37"/>
  <c r="S35"/>
  <c r="S31"/>
  <c r="S30"/>
  <c r="S23"/>
  <c r="S24"/>
  <c r="S22"/>
  <c r="S21"/>
  <c r="S16"/>
  <c r="S15"/>
  <c r="S14"/>
  <c r="X22"/>
  <c r="S51"/>
  <c r="S49"/>
  <c r="S17"/>
  <c r="X56"/>
  <c r="X59"/>
  <c r="X58"/>
  <c r="X51"/>
  <c r="X50"/>
  <c r="T49"/>
  <c r="T50"/>
  <c r="U50" s="1"/>
  <c r="X49"/>
  <c r="T52"/>
  <c r="T51"/>
  <c r="W44"/>
  <c r="T44"/>
  <c r="S43"/>
  <c r="S42"/>
  <c r="T43"/>
  <c r="T42"/>
  <c r="W45"/>
  <c r="T45"/>
  <c r="W35"/>
  <c r="T37"/>
  <c r="T38"/>
  <c r="T36"/>
  <c r="T35"/>
  <c r="T29"/>
  <c r="U29" s="1"/>
  <c r="W29"/>
  <c r="T31"/>
  <c r="W31"/>
  <c r="T30"/>
  <c r="T28"/>
  <c r="X24"/>
  <c r="X21"/>
  <c r="W14"/>
  <c r="X16" s="1"/>
  <c r="T15"/>
  <c r="T14"/>
  <c r="U14" s="1"/>
  <c r="T17"/>
  <c r="T16"/>
  <c r="T10"/>
  <c r="U45" l="1"/>
  <c r="U44"/>
  <c r="U30"/>
  <c r="X8"/>
  <c r="U57"/>
  <c r="U15"/>
  <c r="U28"/>
  <c r="X30"/>
  <c r="U56"/>
  <c r="V57" s="1"/>
  <c r="U38"/>
  <c r="X38"/>
  <c r="U16"/>
  <c r="V56"/>
  <c r="V58"/>
  <c r="U35"/>
  <c r="U31"/>
  <c r="U24"/>
  <c r="U17"/>
  <c r="S10"/>
  <c r="U10" s="1"/>
  <c r="S9"/>
  <c r="S7"/>
  <c r="X10"/>
  <c r="T9"/>
  <c r="X7"/>
  <c r="X9"/>
  <c r="T7"/>
  <c r="T8"/>
  <c r="S8"/>
  <c r="V59"/>
  <c r="U49"/>
  <c r="U36"/>
  <c r="U37"/>
  <c r="U23"/>
  <c r="U22"/>
  <c r="X31"/>
  <c r="X28"/>
  <c r="U52"/>
  <c r="D59"/>
  <c r="M56" i="9" s="1"/>
  <c r="M20" i="8" s="1"/>
  <c r="U21" i="12"/>
  <c r="U51"/>
  <c r="H23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/>
  <c r="X45"/>
  <c r="U43"/>
  <c r="X44"/>
  <c r="X42"/>
  <c r="X35"/>
  <c r="X37"/>
  <c r="X36"/>
  <c r="X29"/>
  <c r="G21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/>
  <c r="X17"/>
  <c r="V14" l="1"/>
  <c r="V30"/>
  <c r="V31"/>
  <c r="V21"/>
  <c r="V17"/>
  <c r="V24"/>
  <c r="V29"/>
  <c r="V28"/>
  <c r="H29"/>
  <c r="Q26" i="9" s="1"/>
  <c r="Q18" i="4" s="1"/>
  <c r="V37" i="12"/>
  <c r="V38"/>
  <c r="V22"/>
  <c r="V16"/>
  <c r="V15"/>
  <c r="V52"/>
  <c r="M49" i="9"/>
  <c r="S49" s="1"/>
  <c r="S20" i="7" s="1"/>
  <c r="U9" i="12"/>
  <c r="U7"/>
  <c r="C7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/>
  <c r="V51"/>
  <c r="V49"/>
  <c r="V36"/>
  <c r="V35"/>
  <c r="E29"/>
  <c r="N26" i="9" s="1"/>
  <c r="N18" i="4" s="1"/>
  <c r="I29" i="12"/>
  <c r="R26" i="9" s="1"/>
  <c r="R18" i="4" s="1"/>
  <c r="V23" i="12"/>
  <c r="G29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/>
  <c r="K12" i="9" s="1"/>
  <c r="U12" s="1"/>
  <c r="K17" i="8"/>
  <c r="U53" i="9"/>
  <c r="K18" i="8"/>
  <c r="U54" i="9"/>
  <c r="L18" i="8"/>
  <c r="S54" i="9"/>
  <c r="S18" i="8" s="1"/>
  <c r="L20"/>
  <c r="S56" i="9"/>
  <c r="S20" i="8" s="1"/>
  <c r="L19"/>
  <c r="S55" i="9"/>
  <c r="S19" i="8" s="1"/>
  <c r="L17"/>
  <c r="S53" i="9"/>
  <c r="S17" i="8" s="1"/>
  <c r="L20" i="7"/>
  <c r="L18"/>
  <c r="S47" i="9"/>
  <c r="S18" i="7" s="1"/>
  <c r="S48" i="9"/>
  <c r="S19" i="7" s="1"/>
  <c r="L19"/>
  <c r="K17"/>
  <c r="U46" i="9"/>
  <c r="K18" i="7"/>
  <c r="U47" i="9"/>
  <c r="L17" i="7"/>
  <c r="S46" i="9"/>
  <c r="S17" i="7" s="1"/>
  <c r="V45" i="12"/>
  <c r="B44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/>
  <c r="B38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/>
  <c r="S18" i="9"/>
  <c r="S17" i="3" s="1"/>
  <c r="U19" i="9"/>
  <c r="K18" i="3"/>
  <c r="S20" i="9"/>
  <c r="S19" i="3" s="1"/>
  <c r="L19"/>
  <c r="L18"/>
  <c r="S19" i="9"/>
  <c r="S18" i="3" s="1"/>
  <c r="K17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/>
  <c r="K18" i="1"/>
  <c r="V8" i="12"/>
  <c r="V7"/>
  <c r="V9"/>
  <c r="K23" i="8"/>
  <c r="K23" i="7"/>
  <c r="K17" i="4"/>
  <c r="S27" i="9"/>
  <c r="S19" i="4" s="1"/>
  <c r="S28" i="9"/>
  <c r="S20" i="4" s="1"/>
  <c r="S26" i="9"/>
  <c r="S18" i="4" s="1"/>
  <c r="K24" s="1"/>
  <c r="B14" i="10" s="1"/>
  <c r="S25" i="9"/>
  <c r="S17" i="4" s="1"/>
  <c r="K23" s="1"/>
  <c r="S5" i="9"/>
  <c r="B26" i="10"/>
  <c r="K24" i="7"/>
  <c r="K23" i="3"/>
  <c r="B10" i="10" s="1"/>
  <c r="S17" i="1"/>
  <c r="K23" s="1"/>
  <c r="B4" i="10" s="1"/>
  <c r="S4" i="9"/>
  <c r="S7"/>
  <c r="S6"/>
  <c r="S20" i="1"/>
  <c r="M18"/>
  <c r="S18" s="1"/>
  <c r="K24" s="1"/>
  <c r="S19"/>
  <c r="K18" i="2"/>
  <c r="U39" i="9"/>
  <c r="K17" i="6"/>
  <c r="U40" i="9"/>
  <c r="K18" i="6"/>
  <c r="S41" i="9"/>
  <c r="S19" i="6" s="1"/>
  <c r="L19"/>
  <c r="L20"/>
  <c r="S42" i="9"/>
  <c r="S20" i="6" s="1"/>
  <c r="L18"/>
  <c r="S40" i="9"/>
  <c r="S18" i="6" s="1"/>
  <c r="L17"/>
  <c r="S39" i="9"/>
  <c r="S17" i="6" s="1"/>
  <c r="K18" i="5"/>
  <c r="U33" i="9"/>
  <c r="L19" i="5"/>
  <c r="S34" i="9"/>
  <c r="S19" i="5" s="1"/>
  <c r="S35" i="9"/>
  <c r="S20" i="5" s="1"/>
  <c r="L20"/>
  <c r="L17"/>
  <c r="S32" i="9"/>
  <c r="S17" i="5" s="1"/>
  <c r="S33" i="9"/>
  <c r="S18" i="5" s="1"/>
  <c r="K24" s="1"/>
  <c r="L18"/>
  <c r="U32" i="9"/>
  <c r="K17" i="5"/>
  <c r="K24" i="3"/>
  <c r="K17" i="2"/>
  <c r="U11" i="9"/>
  <c r="L18" i="2"/>
  <c r="S12" i="9"/>
  <c r="S18" i="2" s="1"/>
  <c r="L17"/>
  <c r="S11" i="9"/>
  <c r="S17" i="2" s="1"/>
  <c r="L20"/>
  <c r="S14" i="9"/>
  <c r="S20" i="2" s="1"/>
  <c r="L19"/>
  <c r="S13" i="9"/>
  <c r="S19" i="2" s="1"/>
  <c r="K24" i="6" l="1"/>
  <c r="B20" i="10" s="1"/>
  <c r="B46"/>
  <c r="B22"/>
  <c r="K23" i="5"/>
  <c r="B16" i="10" s="1"/>
  <c r="K24" i="2"/>
  <c r="B8" i="10" s="1"/>
  <c r="B38"/>
  <c r="B32"/>
  <c r="B34"/>
  <c r="K23" i="2"/>
  <c r="K23" i="6"/>
  <c r="B50" i="10"/>
  <c r="B44"/>
  <c r="E6"/>
  <c r="E24" l="1"/>
  <c r="E48"/>
  <c r="E36"/>
  <c r="B28"/>
  <c r="E12"/>
  <c r="H9" s="1"/>
  <c r="B40"/>
  <c r="E18" l="1"/>
  <c r="H21" s="1"/>
  <c r="E42"/>
  <c r="K15"/>
  <c r="E30"/>
  <c r="K50" l="1"/>
  <c r="H45"/>
  <c r="H33"/>
  <c r="K56" l="1"/>
  <c r="K39"/>
  <c r="N53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<sst xmlns="http://schemas.openxmlformats.org/spreadsheetml/2006/main" count="495" uniqueCount="164">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</sst>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12</xdr:row>
      <xdr:rowOff>4600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5"/>
  <dimension ref="F5:AA33"/>
  <sheetViews>
    <sheetView zoomScale="40" zoomScaleNormal="40" workbookViewId="0">
      <pane xSplit="14" ySplit="33" topLeftCell="Y142" activePane="bottomRight" state="frozenSplit"/>
      <selection activeCell="H37" sqref="H37"/>
      <selection pane="topRight" activeCell="H37" sqref="H37"/>
      <selection pane="bottomLeft" activeCell="H37" sqref="H37"/>
      <selection pane="bottomRight" activeCell="AE23" sqref="AE23"/>
    </sheetView>
  </sheetViews>
  <sheetFormatPr baseColWidth="10" defaultRowHeight="12.75"/>
  <cols>
    <col min="1" max="13" width="11.42578125" style="91"/>
    <col min="14" max="14" width="20.7109375" style="91" customWidth="1"/>
    <col min="15" max="16384" width="11.425781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>
      <c r="F22" s="92" t="s">
        <v>115</v>
      </c>
    </row>
    <row r="23" spans="6:27" ht="13.5" thickBot="1"/>
    <row r="24" spans="6:27" ht="24" thickBot="1">
      <c r="F24" s="147" t="s">
        <v>83</v>
      </c>
      <c r="G24" s="148"/>
    </row>
    <row r="33" ht="35.1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9"/>
  <dimension ref="B1:U62"/>
  <sheetViews>
    <sheetView zoomScale="145" zoomScaleNormal="145" workbookViewId="0">
      <selection activeCell="F7" sqref="F7"/>
    </sheetView>
  </sheetViews>
  <sheetFormatPr baseColWidth="10" defaultRowHeight="11.25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>
      <c r="B1" s="39" t="s">
        <v>0</v>
      </c>
      <c r="C1" s="160">
        <f ca="1">NOW()</f>
        <v>43264.47813703704</v>
      </c>
      <c r="D1" s="160"/>
    </row>
    <row r="2" spans="2:21" ht="12" thickBot="1"/>
    <row r="3" spans="2:21" ht="12.75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2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7</v>
      </c>
      <c r="P4" s="53">
        <f>Hoja1!G7</f>
        <v>1</v>
      </c>
      <c r="Q4" s="53">
        <f>Hoja1!H7</f>
        <v>6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2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Rusia</v>
      </c>
      <c r="L5" s="60">
        <f>Hoja1!C8</f>
        <v>2</v>
      </c>
      <c r="M5" s="61">
        <f>Hoja1!D8</f>
        <v>0</v>
      </c>
      <c r="N5" s="61">
        <f>Hoja1!E8</f>
        <v>1</v>
      </c>
      <c r="O5" s="61">
        <f>Hoja1!F8</f>
        <v>5</v>
      </c>
      <c r="P5" s="61">
        <f>Hoja1!G8</f>
        <v>2</v>
      </c>
      <c r="Q5" s="61">
        <f>Hoja1!H8</f>
        <v>3</v>
      </c>
      <c r="R5" s="61">
        <f>Hoja1!I8</f>
        <v>6</v>
      </c>
      <c r="S5" s="62">
        <f>SUM(L5:N5)</f>
        <v>3</v>
      </c>
      <c r="U5" s="76" t="str">
        <f>K5</f>
        <v>Rusia</v>
      </c>
    </row>
    <row r="6" spans="2:21" ht="12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2</v>
      </c>
      <c r="H6" s="45" t="str">
        <f>'GRUPO A'!H19</f>
        <v>Egipto</v>
      </c>
      <c r="I6" s="46">
        <f>IF('GRUPO A'!I19="","",'GRUPO A'!I19)</f>
        <v>0</v>
      </c>
      <c r="J6" s="47"/>
      <c r="K6" s="59" t="str">
        <f>Hoja1!B9</f>
        <v>Arabia Saudí</v>
      </c>
      <c r="L6" s="60">
        <f>Hoja1!C9</f>
        <v>1</v>
      </c>
      <c r="M6" s="61">
        <f>Hoja1!D9</f>
        <v>0</v>
      </c>
      <c r="N6" s="61">
        <f>Hoja1!E9</f>
        <v>2</v>
      </c>
      <c r="O6" s="61">
        <f>Hoja1!F9</f>
        <v>2</v>
      </c>
      <c r="P6" s="61">
        <f>Hoja1!G9</f>
        <v>6</v>
      </c>
      <c r="Q6" s="61">
        <f>Hoja1!H9</f>
        <v>-4</v>
      </c>
      <c r="R6" s="61">
        <f>Hoja1!I9</f>
        <v>3</v>
      </c>
      <c r="S6" s="62">
        <f>SUM(L6:N6)</f>
        <v>3</v>
      </c>
    </row>
    <row r="7" spans="2:21" ht="12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3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Egipto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6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2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2</v>
      </c>
      <c r="H8" s="45" t="str">
        <f>'GRUPO A'!H21</f>
        <v>Rusia</v>
      </c>
      <c r="I8" s="46">
        <f>IF('GRUPO A'!I21="","",'GRUPO A'!I21)</f>
        <v>1</v>
      </c>
      <c r="J8" s="47"/>
    </row>
    <row r="9" spans="2:21" ht="12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2</v>
      </c>
      <c r="H9" s="45" t="str">
        <f>'GRUPO A'!H22</f>
        <v>Egipto</v>
      </c>
      <c r="I9" s="46">
        <f>IF('GRUPO A'!I22="","",'GRUPO A'!I22)</f>
        <v>1</v>
      </c>
      <c r="J9" s="47"/>
    </row>
    <row r="10" spans="2:21" ht="12.75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2</v>
      </c>
      <c r="H11" s="45" t="str">
        <f>'GRUPO B'!H17</f>
        <v>España</v>
      </c>
      <c r="I11" s="46">
        <f>IF('GRUPO B'!I17="","",'GRUPO B'!I17)</f>
        <v>1</v>
      </c>
      <c r="J11" s="47"/>
      <c r="K11" s="51" t="str">
        <f>Hoja1!B14</f>
        <v>Portugal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6</v>
      </c>
      <c r="P11" s="53">
        <f>Hoja1!G14</f>
        <v>3</v>
      </c>
      <c r="Q11" s="53">
        <f>Hoja1!H14</f>
        <v>3</v>
      </c>
      <c r="R11" s="53">
        <f>Hoja1!I14</f>
        <v>9</v>
      </c>
      <c r="S11" s="54">
        <f>SUM(L11:N11)</f>
        <v>3</v>
      </c>
      <c r="U11" s="75" t="str">
        <f>K11</f>
        <v>Portugal</v>
      </c>
    </row>
    <row r="12" spans="2:21" ht="12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1</v>
      </c>
      <c r="H12" s="50" t="str">
        <f>'GRUPO B'!H18</f>
        <v>Irán</v>
      </c>
      <c r="I12" s="46">
        <f>IF('GRUPO B'!I18="","",'GRUPO B'!I18)</f>
        <v>1</v>
      </c>
      <c r="J12" s="47"/>
      <c r="K12" s="59" t="str">
        <f>Hoja1!B15</f>
        <v>España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5</v>
      </c>
      <c r="P12" s="61">
        <f>Hoja1!G15</f>
        <v>3</v>
      </c>
      <c r="Q12" s="61">
        <f>Hoja1!H15</f>
        <v>2</v>
      </c>
      <c r="R12" s="61">
        <f>Hoja1!I15</f>
        <v>6</v>
      </c>
      <c r="S12" s="62">
        <f>SUM(L12:N12)</f>
        <v>3</v>
      </c>
      <c r="U12" s="76" t="str">
        <f>K12</f>
        <v>España</v>
      </c>
    </row>
    <row r="13" spans="2:21" ht="12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1</v>
      </c>
      <c r="J13" s="47"/>
      <c r="K13" s="59" t="str">
        <f>Hoja1!B16</f>
        <v>Irán</v>
      </c>
      <c r="L13" s="60">
        <f>Hoja1!C16</f>
        <v>0</v>
      </c>
      <c r="M13" s="61">
        <f>Hoja1!D16</f>
        <v>1</v>
      </c>
      <c r="N13" s="61">
        <f>Hoja1!E16</f>
        <v>2</v>
      </c>
      <c r="O13" s="61">
        <f>Hoja1!F16</f>
        <v>3</v>
      </c>
      <c r="P13" s="61">
        <f>Hoja1!G16</f>
        <v>5</v>
      </c>
      <c r="Q13" s="61">
        <f>Hoja1!H16</f>
        <v>-2</v>
      </c>
      <c r="R13" s="61">
        <f>Hoja1!I16</f>
        <v>1</v>
      </c>
      <c r="S13" s="62">
        <f>SUM(L13:N13)</f>
        <v>3</v>
      </c>
    </row>
    <row r="14" spans="2:21" ht="12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1</v>
      </c>
      <c r="H14" s="50" t="str">
        <f>'GRUPO B'!H20</f>
        <v>España</v>
      </c>
      <c r="I14" s="46">
        <f>IF('GRUPO B'!I20="","",'GRUPO B'!I20)</f>
        <v>2</v>
      </c>
      <c r="J14" s="47"/>
      <c r="K14" s="67" t="str">
        <f>Hoja1!B17</f>
        <v>Marruecos</v>
      </c>
      <c r="L14" s="68">
        <f>Hoja1!C17</f>
        <v>0</v>
      </c>
      <c r="M14" s="69">
        <f>Hoja1!D17</f>
        <v>1</v>
      </c>
      <c r="N14" s="69">
        <f>Hoja1!E17</f>
        <v>2</v>
      </c>
      <c r="O14" s="69">
        <f>Hoja1!F17</f>
        <v>2</v>
      </c>
      <c r="P14" s="69">
        <f>Hoja1!G17</f>
        <v>5</v>
      </c>
      <c r="Q14" s="69">
        <f>Hoja1!H17</f>
        <v>-3</v>
      </c>
      <c r="R14" s="69">
        <f>Hoja1!I17</f>
        <v>1</v>
      </c>
      <c r="S14" s="70">
        <f>SUM(L14:N14)</f>
        <v>3</v>
      </c>
    </row>
    <row r="15" spans="2:21" ht="12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2</v>
      </c>
      <c r="J15" s="47"/>
    </row>
    <row r="16" spans="2:21" ht="12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2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Perú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5</v>
      </c>
      <c r="P18" s="53">
        <f>Hoja1!G21</f>
        <v>3</v>
      </c>
      <c r="Q18" s="53">
        <f>Hoja1!H21</f>
        <v>2</v>
      </c>
      <c r="R18" s="53">
        <f>Hoja1!I21</f>
        <v>7</v>
      </c>
      <c r="S18" s="54">
        <f>SUM(L18:N18)</f>
        <v>3</v>
      </c>
      <c r="U18" s="75" t="str">
        <f>K18</f>
        <v>Perú</v>
      </c>
    </row>
    <row r="19" spans="2:21" ht="12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2</v>
      </c>
      <c r="H19" s="50" t="str">
        <f>'GRUPO C'!H18</f>
        <v>Dinamarca</v>
      </c>
      <c r="I19" s="46">
        <f>IF('GRUPO C'!I18="","",'GRUPO C'!I18)</f>
        <v>1</v>
      </c>
      <c r="J19" s="47"/>
      <c r="K19" s="59" t="str">
        <f>Hoja1!B22</f>
        <v>Francia</v>
      </c>
      <c r="L19" s="60">
        <f>Hoja1!C22</f>
        <v>1</v>
      </c>
      <c r="M19" s="61">
        <f>Hoja1!D22</f>
        <v>2</v>
      </c>
      <c r="N19" s="61">
        <f>Hoja1!E22</f>
        <v>0</v>
      </c>
      <c r="O19" s="61">
        <f>Hoja1!F22</f>
        <v>4</v>
      </c>
      <c r="P19" s="61">
        <f>Hoja1!G22</f>
        <v>3</v>
      </c>
      <c r="Q19" s="61">
        <f>Hoja1!H22</f>
        <v>1</v>
      </c>
      <c r="R19" s="61">
        <f>Hoja1!I22</f>
        <v>5</v>
      </c>
      <c r="S19" s="62">
        <f>SUM(L19:N19)</f>
        <v>3</v>
      </c>
      <c r="U19" s="76" t="str">
        <f>K19</f>
        <v>Francia</v>
      </c>
    </row>
    <row r="20" spans="2:21" ht="12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1</v>
      </c>
      <c r="H20" s="45" t="str">
        <f>'GRUPO C'!H19</f>
        <v>Perú</v>
      </c>
      <c r="I20" s="46">
        <f>IF('GRUPO C'!I19="","",'GRUPO C'!I19)</f>
        <v>1</v>
      </c>
      <c r="J20" s="47"/>
      <c r="K20" s="59" t="str">
        <f>Hoja1!B23</f>
        <v>Dinamarca</v>
      </c>
      <c r="L20" s="60">
        <f>Hoja1!C23</f>
        <v>1</v>
      </c>
      <c r="M20" s="61">
        <f>Hoja1!D23</f>
        <v>1</v>
      </c>
      <c r="N20" s="61">
        <f>Hoja1!E23</f>
        <v>1</v>
      </c>
      <c r="O20" s="61">
        <f>Hoja1!F23</f>
        <v>4</v>
      </c>
      <c r="P20" s="61">
        <f>Hoja1!G23</f>
        <v>4</v>
      </c>
      <c r="Q20" s="61">
        <f>Hoja1!H23</f>
        <v>0</v>
      </c>
      <c r="R20" s="61">
        <f>Hoja1!I23</f>
        <v>4</v>
      </c>
      <c r="S20" s="62">
        <f>SUM(L20:N20)</f>
        <v>3</v>
      </c>
    </row>
    <row r="21" spans="2:21" ht="12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Australia</v>
      </c>
      <c r="L21" s="68">
        <f>Hoja1!C24</f>
        <v>0</v>
      </c>
      <c r="M21" s="69">
        <f>Hoja1!D24</f>
        <v>0</v>
      </c>
      <c r="N21" s="69">
        <f>Hoja1!E24</f>
        <v>3</v>
      </c>
      <c r="O21" s="69">
        <f>Hoja1!F24</f>
        <v>3</v>
      </c>
      <c r="P21" s="69">
        <f>Hoja1!G24</f>
        <v>6</v>
      </c>
      <c r="Q21" s="69">
        <f>Hoja1!H24</f>
        <v>-3</v>
      </c>
      <c r="R21" s="69">
        <f>Hoja1!I24</f>
        <v>0</v>
      </c>
      <c r="S21" s="70">
        <f>SUM(L21:N21)</f>
        <v>3</v>
      </c>
    </row>
    <row r="22" spans="2:21" ht="12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1</v>
      </c>
      <c r="J22" s="47"/>
    </row>
    <row r="23" spans="2:21" ht="12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2</v>
      </c>
      <c r="J23" s="47"/>
    </row>
    <row r="24" spans="2:21" ht="12.75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1</v>
      </c>
      <c r="J25" s="47"/>
      <c r="K25" s="51" t="str">
        <f>Hoja1!B28</f>
        <v>Argentina</v>
      </c>
      <c r="L25" s="52">
        <f>Hoja1!C28</f>
        <v>2</v>
      </c>
      <c r="M25" s="53">
        <f>Hoja1!D28</f>
        <v>1</v>
      </c>
      <c r="N25" s="53">
        <f>Hoja1!E28</f>
        <v>0</v>
      </c>
      <c r="O25" s="53">
        <f>Hoja1!F28</f>
        <v>6</v>
      </c>
      <c r="P25" s="53">
        <f>Hoja1!G28</f>
        <v>4</v>
      </c>
      <c r="Q25" s="53">
        <f>Hoja1!H28</f>
        <v>2</v>
      </c>
      <c r="R25" s="53">
        <f>Hoja1!I28</f>
        <v>7</v>
      </c>
      <c r="S25" s="54">
        <f>SUM(L25:N25)</f>
        <v>3</v>
      </c>
      <c r="U25" s="75" t="str">
        <f>K25</f>
        <v>Argentina</v>
      </c>
    </row>
    <row r="26" spans="2:21" ht="12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2</v>
      </c>
      <c r="J26" s="47"/>
      <c r="K26" s="59" t="str">
        <f>Hoja1!B29</f>
        <v>Nigeria</v>
      </c>
      <c r="L26" s="60">
        <f>Hoja1!C29</f>
        <v>1</v>
      </c>
      <c r="M26" s="61">
        <f>Hoja1!D29</f>
        <v>2</v>
      </c>
      <c r="N26" s="61">
        <f>Hoja1!E29</f>
        <v>0</v>
      </c>
      <c r="O26" s="61">
        <f>Hoja1!F29</f>
        <v>6</v>
      </c>
      <c r="P26" s="61">
        <f>Hoja1!G29</f>
        <v>5</v>
      </c>
      <c r="Q26" s="61">
        <f>Hoja1!H29</f>
        <v>1</v>
      </c>
      <c r="R26" s="61">
        <f>Hoja1!I29</f>
        <v>5</v>
      </c>
      <c r="S26" s="62">
        <f>SUM(L26:N26)</f>
        <v>3</v>
      </c>
      <c r="U26" s="76" t="str">
        <f>K26</f>
        <v>Nigeria</v>
      </c>
    </row>
    <row r="27" spans="2:21" ht="12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2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Islandia</v>
      </c>
      <c r="L27" s="60">
        <f>Hoja1!C30</f>
        <v>1</v>
      </c>
      <c r="M27" s="61">
        <f>Hoja1!D30</f>
        <v>0</v>
      </c>
      <c r="N27" s="61">
        <f>Hoja1!E30</f>
        <v>2</v>
      </c>
      <c r="O27" s="61">
        <f>Hoja1!F30</f>
        <v>4</v>
      </c>
      <c r="P27" s="61">
        <f>Hoja1!G30</f>
        <v>4</v>
      </c>
      <c r="Q27" s="61">
        <f>Hoja1!H30</f>
        <v>0</v>
      </c>
      <c r="R27" s="61">
        <f>Hoja1!I30</f>
        <v>3</v>
      </c>
      <c r="S27" s="62">
        <f>SUM(L27:N27)</f>
        <v>3</v>
      </c>
    </row>
    <row r="28" spans="2:21" ht="12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2</v>
      </c>
      <c r="H28" s="50" t="str">
        <f>'GRUPO D'!H20</f>
        <v>Islandia</v>
      </c>
      <c r="I28" s="46">
        <f>IF('GRUPO D'!I20="","",'GRUPO D'!I20)</f>
        <v>1</v>
      </c>
      <c r="J28" s="47"/>
      <c r="K28" s="67" t="str">
        <f>Hoja1!B31</f>
        <v>Croacia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3</v>
      </c>
      <c r="P28" s="69">
        <f>Hoja1!G31</f>
        <v>6</v>
      </c>
      <c r="Q28" s="69">
        <f>Hoja1!H31</f>
        <v>-3</v>
      </c>
      <c r="R28" s="69">
        <f>Hoja1!I31</f>
        <v>1</v>
      </c>
      <c r="S28" s="70">
        <f>SUM(L28:N28)</f>
        <v>3</v>
      </c>
    </row>
    <row r="29" spans="2:21" ht="12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2</v>
      </c>
      <c r="H30" s="45" t="str">
        <f>'GRUPO D'!H22</f>
        <v>Croacia</v>
      </c>
      <c r="I30" s="46">
        <f>IF('GRUPO D'!I22="","",'GRUPO D'!I22)</f>
        <v>0</v>
      </c>
      <c r="J30" s="47"/>
    </row>
    <row r="31" spans="2:21" ht="12.75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2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7</v>
      </c>
      <c r="P32" s="53">
        <f>Hoja1!G35</f>
        <v>2</v>
      </c>
      <c r="Q32" s="53">
        <f>Hoja1!H35</f>
        <v>5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1</v>
      </c>
      <c r="J33" s="47"/>
      <c r="K33" s="59" t="str">
        <f>Hoja1!B36</f>
        <v>Suiza</v>
      </c>
      <c r="L33" s="60">
        <f>Hoja1!C36</f>
        <v>1</v>
      </c>
      <c r="M33" s="61">
        <f>Hoja1!D36</f>
        <v>1</v>
      </c>
      <c r="N33" s="61">
        <f>Hoja1!E36</f>
        <v>1</v>
      </c>
      <c r="O33" s="61">
        <f>Hoja1!F36</f>
        <v>3</v>
      </c>
      <c r="P33" s="61">
        <f>Hoja1!G36</f>
        <v>4</v>
      </c>
      <c r="Q33" s="61">
        <f>Hoja1!H36</f>
        <v>-1</v>
      </c>
      <c r="R33" s="61">
        <f>Hoja1!I36</f>
        <v>4</v>
      </c>
      <c r="S33" s="62">
        <f>SUM(L33:N33)</f>
        <v>3</v>
      </c>
      <c r="U33" s="76" t="str">
        <f>K33</f>
        <v>Suiza</v>
      </c>
    </row>
    <row r="34" spans="2:21" ht="12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2</v>
      </c>
      <c r="H34" s="45" t="str">
        <f>'GRUPO E'!H19</f>
        <v>Costa Rica</v>
      </c>
      <c r="I34" s="46">
        <f>IF('GRUPO E'!I19="","",'GRUPO E'!I19)</f>
        <v>1</v>
      </c>
      <c r="J34" s="47"/>
      <c r="K34" s="59" t="str">
        <f>Hoja1!B37</f>
        <v>Costa Rica</v>
      </c>
      <c r="L34" s="60">
        <f>Hoja1!C37</f>
        <v>0</v>
      </c>
      <c r="M34" s="61">
        <f>Hoja1!D37</f>
        <v>2</v>
      </c>
      <c r="N34" s="61">
        <f>Hoja1!E37</f>
        <v>1</v>
      </c>
      <c r="O34" s="61">
        <f>Hoja1!F37</f>
        <v>3</v>
      </c>
      <c r="P34" s="61">
        <f>Hoja1!G37</f>
        <v>4</v>
      </c>
      <c r="Q34" s="61">
        <f>Hoja1!H37</f>
        <v>-1</v>
      </c>
      <c r="R34" s="61">
        <f>Hoja1!I37</f>
        <v>2</v>
      </c>
      <c r="S34" s="62">
        <f>SUM(L34:N34)</f>
        <v>3</v>
      </c>
    </row>
    <row r="35" spans="2:21" ht="12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Serbia</v>
      </c>
      <c r="L35" s="68">
        <f>Hoja1!C38</f>
        <v>0</v>
      </c>
      <c r="M35" s="69">
        <f>Hoja1!D38</f>
        <v>1</v>
      </c>
      <c r="N35" s="69">
        <f>Hoja1!E38</f>
        <v>2</v>
      </c>
      <c r="O35" s="69">
        <f>Hoja1!F38</f>
        <v>3</v>
      </c>
      <c r="P35" s="69">
        <f>Hoja1!G38</f>
        <v>6</v>
      </c>
      <c r="Q35" s="69">
        <f>Hoja1!H38</f>
        <v>-3</v>
      </c>
      <c r="R35" s="69">
        <f>Hoja1!I38</f>
        <v>1</v>
      </c>
      <c r="S35" s="70">
        <f>SUM(L35:N35)</f>
        <v>3</v>
      </c>
    </row>
    <row r="36" spans="2:21" ht="12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1</v>
      </c>
      <c r="J37" s="47"/>
    </row>
    <row r="38" spans="2:21" ht="12.75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1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6</v>
      </c>
      <c r="P39" s="53">
        <f>Hoja1!G42</f>
        <v>3</v>
      </c>
      <c r="Q39" s="53">
        <f>Hoja1!H42</f>
        <v>3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1</v>
      </c>
      <c r="H40" s="50" t="str">
        <f>'GRUPO F'!H18</f>
        <v>Corea</v>
      </c>
      <c r="I40" s="46">
        <f>IF('GRUPO F'!I18="","",'GRUPO F'!I18)</f>
        <v>2</v>
      </c>
      <c r="J40" s="47"/>
      <c r="K40" s="59" t="str">
        <f>Hoja1!B43</f>
        <v>México</v>
      </c>
      <c r="L40" s="60">
        <f>Hoja1!C43</f>
        <v>2</v>
      </c>
      <c r="M40" s="61">
        <f>Hoja1!D43</f>
        <v>0</v>
      </c>
      <c r="N40" s="61">
        <f>Hoja1!E43</f>
        <v>1</v>
      </c>
      <c r="O40" s="61">
        <f>Hoja1!F43</f>
        <v>6</v>
      </c>
      <c r="P40" s="61">
        <f>Hoja1!G43</f>
        <v>5</v>
      </c>
      <c r="Q40" s="61">
        <f>Hoja1!H43</f>
        <v>1</v>
      </c>
      <c r="R40" s="61">
        <f>Hoja1!I43</f>
        <v>6</v>
      </c>
      <c r="S40" s="62">
        <f>SUM(L40:N40)</f>
        <v>3</v>
      </c>
      <c r="U40" s="76" t="str">
        <f>K40</f>
        <v>México</v>
      </c>
    </row>
    <row r="41" spans="2:21" ht="12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2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Corea</v>
      </c>
      <c r="L41" s="60">
        <f>Hoja1!C44</f>
        <v>1</v>
      </c>
      <c r="M41" s="61">
        <f>Hoja1!D44</f>
        <v>0</v>
      </c>
      <c r="N41" s="61">
        <f>Hoja1!E44</f>
        <v>2</v>
      </c>
      <c r="O41" s="61">
        <f>Hoja1!F44</f>
        <v>4</v>
      </c>
      <c r="P41" s="61">
        <f>Hoja1!G44</f>
        <v>5</v>
      </c>
      <c r="Q41" s="61">
        <f>Hoja1!H44</f>
        <v>-1</v>
      </c>
      <c r="R41" s="61">
        <f>Hoja1!I44</f>
        <v>3</v>
      </c>
      <c r="S41" s="62">
        <f>SUM(L41:N41)</f>
        <v>3</v>
      </c>
    </row>
    <row r="42" spans="2:21" ht="12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Suecia</v>
      </c>
      <c r="L42" s="68">
        <f>Hoja1!C45</f>
        <v>0</v>
      </c>
      <c r="M42" s="69">
        <f>Hoja1!D45</f>
        <v>0</v>
      </c>
      <c r="N42" s="69">
        <f>Hoja1!E45</f>
        <v>3</v>
      </c>
      <c r="O42" s="69">
        <f>Hoja1!F45</f>
        <v>4</v>
      </c>
      <c r="P42" s="69">
        <f>Hoja1!G45</f>
        <v>7</v>
      </c>
      <c r="Q42" s="69">
        <f>Hoja1!H45</f>
        <v>-3</v>
      </c>
      <c r="R42" s="69">
        <f>Hoja1!I45</f>
        <v>0</v>
      </c>
      <c r="S42" s="70">
        <f>SUM(L42:N42)</f>
        <v>3</v>
      </c>
    </row>
    <row r="43" spans="2:21" ht="12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1</v>
      </c>
      <c r="H43" s="45" t="str">
        <f>'GRUPO F'!H21</f>
        <v>Alemania</v>
      </c>
      <c r="I43" s="46">
        <f>IF('GRUPO F'!I21="","",'GRUPO F'!I21)</f>
        <v>2</v>
      </c>
      <c r="J43" s="47"/>
    </row>
    <row r="44" spans="2:21" ht="12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3</v>
      </c>
      <c r="H44" s="45" t="str">
        <f>'GRUPO F'!H22</f>
        <v>Suecia</v>
      </c>
      <c r="I44" s="46">
        <f>IF('GRUPO F'!I22="","",'GRUPO F'!I22)</f>
        <v>2</v>
      </c>
      <c r="J44" s="47"/>
    </row>
    <row r="45" spans="2:21" ht="12.75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2</v>
      </c>
      <c r="H46" s="45" t="str">
        <f>'GRUPO G'!H17</f>
        <v>Panamá</v>
      </c>
      <c r="I46" s="46">
        <f>IF('GRUPO G'!I17="","",'GRUPO G'!I17)</f>
        <v>1</v>
      </c>
      <c r="J46" s="47"/>
      <c r="K46" s="51" t="str">
        <f>Hoja1!B49</f>
        <v>Inglaterra</v>
      </c>
      <c r="L46" s="52">
        <f>Hoja1!C49</f>
        <v>3</v>
      </c>
      <c r="M46" s="53">
        <f>Hoja1!D49</f>
        <v>0</v>
      </c>
      <c r="N46" s="53">
        <f>Hoja1!E49</f>
        <v>0</v>
      </c>
      <c r="O46" s="53">
        <f>Hoja1!F49</f>
        <v>8</v>
      </c>
      <c r="P46" s="53">
        <f>Hoja1!G49</f>
        <v>2</v>
      </c>
      <c r="Q46" s="53">
        <f>Hoja1!H49</f>
        <v>6</v>
      </c>
      <c r="R46" s="53">
        <f>Hoja1!I49</f>
        <v>9</v>
      </c>
      <c r="S46" s="54">
        <f>SUM(L46:N46)</f>
        <v>3</v>
      </c>
      <c r="U46" s="75" t="str">
        <f>K46</f>
        <v>Inglaterra</v>
      </c>
    </row>
    <row r="47" spans="2:21" ht="12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0</v>
      </c>
      <c r="H47" s="50" t="str">
        <f>'GRUPO G'!H18</f>
        <v>Inglaterra</v>
      </c>
      <c r="I47" s="46">
        <f>IF('GRUPO G'!I18="","",'GRUPO G'!I18)</f>
        <v>3</v>
      </c>
      <c r="J47" s="47"/>
      <c r="K47" s="59" t="str">
        <f>Hoja1!B50</f>
        <v>Bélgica</v>
      </c>
      <c r="L47" s="60">
        <f>Hoja1!C50</f>
        <v>2</v>
      </c>
      <c r="M47" s="61">
        <f>Hoja1!D50</f>
        <v>0</v>
      </c>
      <c r="N47" s="61">
        <f>Hoja1!E50</f>
        <v>1</v>
      </c>
      <c r="O47" s="61">
        <f>Hoja1!F50</f>
        <v>6</v>
      </c>
      <c r="P47" s="61">
        <f>Hoja1!G50</f>
        <v>5</v>
      </c>
      <c r="Q47" s="61">
        <f>Hoja1!H50</f>
        <v>1</v>
      </c>
      <c r="R47" s="61">
        <f>Hoja1!I50</f>
        <v>6</v>
      </c>
      <c r="S47" s="62">
        <f>SUM(L47:N47)</f>
        <v>3</v>
      </c>
      <c r="U47" s="76" t="str">
        <f>K47</f>
        <v>Bélgica</v>
      </c>
    </row>
    <row r="48" spans="2:21" ht="12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Panamá</v>
      </c>
      <c r="L48" s="60">
        <f>Hoja1!C51</f>
        <v>0</v>
      </c>
      <c r="M48" s="61">
        <f>Hoja1!D51</f>
        <v>1</v>
      </c>
      <c r="N48" s="61">
        <f>Hoja1!E51</f>
        <v>2</v>
      </c>
      <c r="O48" s="61">
        <f>Hoja1!F51</f>
        <v>1</v>
      </c>
      <c r="P48" s="61">
        <f>Hoja1!G51</f>
        <v>4</v>
      </c>
      <c r="Q48" s="61">
        <f>Hoja1!H51</f>
        <v>-3</v>
      </c>
      <c r="R48" s="61">
        <f>Hoja1!I51</f>
        <v>1</v>
      </c>
      <c r="S48" s="62">
        <f>SUM(L48:N48)</f>
        <v>3</v>
      </c>
    </row>
    <row r="49" spans="2:21" ht="12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2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Túnez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1</v>
      </c>
      <c r="P49" s="69">
        <f>Hoja1!G52</f>
        <v>5</v>
      </c>
      <c r="Q49" s="69">
        <f>Hoja1!H52</f>
        <v>-4</v>
      </c>
      <c r="R49" s="69">
        <f>Hoja1!I52</f>
        <v>1</v>
      </c>
      <c r="S49" s="70">
        <f>SUM(L49:N49)</f>
        <v>3</v>
      </c>
    </row>
    <row r="50" spans="2:21" ht="12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3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2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0</v>
      </c>
      <c r="H51" s="45" t="str">
        <f>'GRUPO G'!H22</f>
        <v>Túnez</v>
      </c>
      <c r="I51" s="46">
        <f>IF('GRUPO G'!I22="","",'GRUPO G'!I22)</f>
        <v>0</v>
      </c>
      <c r="J51" s="47"/>
    </row>
    <row r="52" spans="2:21" ht="12.75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2</v>
      </c>
      <c r="M53" s="53">
        <f>Hoja1!D56</f>
        <v>1</v>
      </c>
      <c r="N53" s="53">
        <f>Hoja1!E56</f>
        <v>0</v>
      </c>
      <c r="O53" s="53">
        <f>Hoja1!F56</f>
        <v>6</v>
      </c>
      <c r="P53" s="53">
        <f>Hoja1!G56</f>
        <v>3</v>
      </c>
      <c r="Q53" s="53">
        <f>Hoja1!H56</f>
        <v>3</v>
      </c>
      <c r="R53" s="53">
        <f>Hoja1!I56</f>
        <v>7</v>
      </c>
      <c r="S53" s="54">
        <f>SUM(L53:N53)</f>
        <v>3</v>
      </c>
      <c r="U53" s="75" t="str">
        <f>K53</f>
        <v>Colombia</v>
      </c>
    </row>
    <row r="54" spans="2:21" ht="12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2</v>
      </c>
      <c r="J54" s="47"/>
      <c r="K54" s="59" t="str">
        <f>Hoja1!B57</f>
        <v>Japón</v>
      </c>
      <c r="L54" s="60">
        <f>Hoja1!C57</f>
        <v>2</v>
      </c>
      <c r="M54" s="61">
        <f>Hoja1!D57</f>
        <v>1</v>
      </c>
      <c r="N54" s="61">
        <f>Hoja1!E57</f>
        <v>0</v>
      </c>
      <c r="O54" s="61">
        <f>Hoja1!F57</f>
        <v>5</v>
      </c>
      <c r="P54" s="61">
        <f>Hoja1!G57</f>
        <v>3</v>
      </c>
      <c r="Q54" s="61">
        <f>Hoja1!H57</f>
        <v>2</v>
      </c>
      <c r="R54" s="61">
        <f>Hoja1!I57</f>
        <v>7</v>
      </c>
      <c r="S54" s="62">
        <f>SUM(L54:N54)</f>
        <v>3</v>
      </c>
      <c r="U54" s="76" t="str">
        <f>K54</f>
        <v>Japón</v>
      </c>
    </row>
    <row r="55" spans="2:21" ht="12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Polonia</v>
      </c>
      <c r="L55" s="60">
        <f>Hoja1!C58</f>
        <v>1</v>
      </c>
      <c r="M55" s="61">
        <f>Hoja1!D58</f>
        <v>0</v>
      </c>
      <c r="N55" s="61">
        <f>Hoja1!E58</f>
        <v>2</v>
      </c>
      <c r="O55" s="61">
        <f>Hoja1!F58</f>
        <v>3</v>
      </c>
      <c r="P55" s="61">
        <f>Hoja1!G58</f>
        <v>4</v>
      </c>
      <c r="Q55" s="61">
        <f>Hoja1!H58</f>
        <v>-1</v>
      </c>
      <c r="R55" s="61">
        <f>Hoja1!I58</f>
        <v>3</v>
      </c>
      <c r="S55" s="62">
        <f>SUM(L55:N55)</f>
        <v>3</v>
      </c>
    </row>
    <row r="56" spans="2:21" ht="12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2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Senegal</v>
      </c>
      <c r="L56" s="68">
        <f>Hoja1!C59</f>
        <v>0</v>
      </c>
      <c r="M56" s="69">
        <f>Hoja1!D59</f>
        <v>0</v>
      </c>
      <c r="N56" s="69">
        <f>Hoja1!E59</f>
        <v>3</v>
      </c>
      <c r="O56" s="69">
        <f>Hoja1!F59</f>
        <v>2</v>
      </c>
      <c r="P56" s="69">
        <f>Hoja1!G59</f>
        <v>6</v>
      </c>
      <c r="Q56" s="69">
        <f>Hoja1!H59</f>
        <v>-4</v>
      </c>
      <c r="R56" s="69">
        <f>Hoja1!I59</f>
        <v>0</v>
      </c>
      <c r="S56" s="70">
        <f>SUM(L56:N56)</f>
        <v>3</v>
      </c>
    </row>
    <row r="57" spans="2:21" ht="12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0</v>
      </c>
      <c r="J57" s="47"/>
    </row>
    <row r="58" spans="2:21" ht="12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0</v>
      </c>
      <c r="H58" s="50" t="str">
        <f>'GRUPO H'!H22</f>
        <v>Colombia</v>
      </c>
      <c r="I58" s="74">
        <f>IF('GRUPO H'!I22="","",'GRUPO H'!I22)</f>
        <v>2</v>
      </c>
      <c r="J58" s="47"/>
    </row>
    <row r="59" spans="2:21" ht="12" thickTop="1"/>
    <row r="62" spans="2:21">
      <c r="C62" s="38">
        <f>IF('GRUPO A'!G17="","",'GRUPO A'!G17)</f>
        <v>2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4"/>
  <dimension ref="B2:N25"/>
  <sheetViews>
    <sheetView topLeftCell="C1" workbookViewId="0">
      <selection activeCell="H4" sqref="H4:I51"/>
    </sheetView>
  </sheetViews>
  <sheetFormatPr baseColWidth="10" defaultRowHeight="12.75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>
      <c r="J2" t="s">
        <v>24</v>
      </c>
      <c r="K2" s="1">
        <f ca="1">NOW()</f>
        <v>43264.47813703704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7</v>
      </c>
      <c r="G7" s="24">
        <f t="shared" si="0"/>
        <v>1</v>
      </c>
      <c r="H7" s="24">
        <f t="shared" si="0"/>
        <v>6</v>
      </c>
      <c r="I7" s="24">
        <f t="shared" si="0"/>
        <v>9</v>
      </c>
      <c r="K7" s="13" t="str">
        <f>equipos!$D2</f>
        <v>Rusia</v>
      </c>
      <c r="L7" s="13">
        <f>'tabla posiciones auxiliar'!N3</f>
        <v>2</v>
      </c>
      <c r="M7" s="13">
        <f>'tabla posiciones auxiliar'!P3</f>
        <v>0</v>
      </c>
      <c r="N7" s="13">
        <f>'tabla posiciones auxiliar'!O3</f>
        <v>1</v>
      </c>
      <c r="O7" s="13">
        <f>'tabla posiciones auxiliar'!Q3</f>
        <v>5</v>
      </c>
      <c r="P7" s="13">
        <f>'tabla posiciones auxiliar'!R3</f>
        <v>2</v>
      </c>
      <c r="Q7" s="13">
        <f>O7-P7</f>
        <v>3</v>
      </c>
      <c r="R7" s="13">
        <f>L7*3+M7</f>
        <v>6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634.92999999999995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2</v>
      </c>
      <c r="D8" s="24">
        <f t="shared" si="1"/>
        <v>0</v>
      </c>
      <c r="E8" s="24">
        <f t="shared" si="1"/>
        <v>1</v>
      </c>
      <c r="F8" s="24">
        <f t="shared" si="1"/>
        <v>5</v>
      </c>
      <c r="G8" s="24">
        <f t="shared" si="1"/>
        <v>2</v>
      </c>
      <c r="H8" s="24">
        <f t="shared" si="1"/>
        <v>3</v>
      </c>
      <c r="I8" s="24">
        <f t="shared" si="1"/>
        <v>6</v>
      </c>
      <c r="K8" s="13" t="str">
        <f>equipos!$D3</f>
        <v>Arabia Saudí</v>
      </c>
      <c r="L8" s="13">
        <f>'tabla posiciones auxiliar'!N4</f>
        <v>1</v>
      </c>
      <c r="M8" s="13">
        <f>'tabla posiciones auxiliar'!P4</f>
        <v>0</v>
      </c>
      <c r="N8" s="13">
        <f>'tabla posiciones auxiliar'!O4</f>
        <v>2</v>
      </c>
      <c r="O8" s="13">
        <f>'tabla posiciones auxiliar'!Q4</f>
        <v>2</v>
      </c>
      <c r="P8" s="13">
        <f>'tabla posiciones auxiliar'!R4</f>
        <v>6</v>
      </c>
      <c r="Q8" s="13">
        <f>O8-P8</f>
        <v>-4</v>
      </c>
      <c r="R8" s="13">
        <f>L8*3+M8</f>
        <v>3</v>
      </c>
      <c r="S8" s="13">
        <f>IF(SUM(L8:N8)=0,ROW()-6,RANK(R8,$R$7:$R$10))</f>
        <v>3</v>
      </c>
      <c r="T8" s="13">
        <f>SUMPRODUCT(($R$7:$R$10=R8)*(Q8&lt;$Q$7:$Q$10))</f>
        <v>0</v>
      </c>
      <c r="U8" s="13">
        <f>S8+T8</f>
        <v>3</v>
      </c>
      <c r="V8" s="24">
        <f>RANK(U8,$U$7:$U$10,1)+COUNTIF($U$7:U8,U8)-1</f>
        <v>3</v>
      </c>
      <c r="W8" s="14">
        <f>R8*100+(O8-P8)*10+O8-ROW(K8)*0.01</f>
        <v>261.92</v>
      </c>
      <c r="X8" s="12">
        <f>RANK(W8,$W$7:$W$10,0)</f>
        <v>3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>
      <c r="A9" s="6">
        <v>3</v>
      </c>
      <c r="B9" s="24" t="str">
        <f>INDEX(K$7:K$11,MATCH($A9,$X$7:$X$11,0))</f>
        <v>Arabia Saudí</v>
      </c>
      <c r="C9" s="24">
        <f t="shared" si="1"/>
        <v>1</v>
      </c>
      <c r="D9" s="24">
        <f t="shared" si="1"/>
        <v>0</v>
      </c>
      <c r="E9" s="24">
        <f t="shared" si="1"/>
        <v>2</v>
      </c>
      <c r="F9" s="24">
        <f t="shared" si="1"/>
        <v>2</v>
      </c>
      <c r="G9" s="24">
        <f t="shared" si="1"/>
        <v>6</v>
      </c>
      <c r="H9" s="24">
        <f t="shared" si="1"/>
        <v>-4</v>
      </c>
      <c r="I9" s="24">
        <f t="shared" si="1"/>
        <v>3</v>
      </c>
      <c r="K9" s="13" t="str">
        <f>equipos!$D4</f>
        <v>Egipto</v>
      </c>
      <c r="L9" s="13">
        <f>'tabla posiciones auxiliar'!N5</f>
        <v>0</v>
      </c>
      <c r="M9" s="13">
        <f>'tabla posiciones auxiliar'!P5</f>
        <v>0</v>
      </c>
      <c r="N9" s="13">
        <f>'tabla posiciones auxiliar'!O5</f>
        <v>3</v>
      </c>
      <c r="O9" s="13">
        <f>'tabla posiciones auxiliar'!Q5</f>
        <v>1</v>
      </c>
      <c r="P9" s="13">
        <f>'tabla posiciones auxiliar'!R5</f>
        <v>6</v>
      </c>
      <c r="Q9" s="13">
        <f>O9-P9</f>
        <v>-5</v>
      </c>
      <c r="R9" s="13">
        <f>L9*3+M9</f>
        <v>0</v>
      </c>
      <c r="S9" s="13">
        <f>IF(SUM(L9:N9)=0,ROW()-6,RANK(R9,$R$7:$R$10))</f>
        <v>4</v>
      </c>
      <c r="T9" s="13">
        <f>SUMPRODUCT(($R$7:$R$10=R9)*(Q9&lt;$Q$7:$Q$10))</f>
        <v>0</v>
      </c>
      <c r="U9" s="13">
        <f>S9+T9</f>
        <v>4</v>
      </c>
      <c r="V9" s="24">
        <f>RANK(U9,$U$7:$U$10,1)+COUNTIF($U$7:U9,U9)-1</f>
        <v>4</v>
      </c>
      <c r="W9" s="14">
        <f>R9*100+(O9-P9)*10+O9-ROW(K9)*0.01</f>
        <v>-49.09</v>
      </c>
      <c r="X9" s="12">
        <f>RANK(W9,$W$7:$W$10,0)</f>
        <v>4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>
      <c r="A10" s="6">
        <v>4</v>
      </c>
      <c r="B10" s="24" t="str">
        <f>INDEX(K$7:K$11,MATCH($A10,$X$7:$X$11,0))</f>
        <v>Egipto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6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7</v>
      </c>
      <c r="P10" s="13">
        <f>'tabla posiciones auxiliar'!R6</f>
        <v>1</v>
      </c>
      <c r="Q10" s="13">
        <f>O10-P10</f>
        <v>6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966.9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6">
        <v>1</v>
      </c>
      <c r="B14" s="24" t="str">
        <f>INDEX(K$14:K$18,MATCH($A14,$X$14:$X$18,0))</f>
        <v>Portugal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6</v>
      </c>
      <c r="G14" s="24">
        <f t="shared" si="2"/>
        <v>3</v>
      </c>
      <c r="H14" s="24">
        <f t="shared" si="2"/>
        <v>3</v>
      </c>
      <c r="I14" s="24">
        <f t="shared" si="2"/>
        <v>9</v>
      </c>
      <c r="K14" s="13" t="str">
        <f>equipos!D7</f>
        <v>Portugal</v>
      </c>
      <c r="L14" s="13">
        <f>'tabla posiciones auxiliar'!N10</f>
        <v>3</v>
      </c>
      <c r="M14" s="13">
        <f>'tabla posiciones auxiliar'!P10</f>
        <v>0</v>
      </c>
      <c r="N14" s="13">
        <f>'tabla posiciones auxiliar'!O10</f>
        <v>0</v>
      </c>
      <c r="O14" s="13">
        <f>'tabla posiciones auxiliar'!Q10</f>
        <v>6</v>
      </c>
      <c r="P14" s="13">
        <f>'tabla posiciones auxiliar'!R10</f>
        <v>3</v>
      </c>
      <c r="Q14" s="13">
        <f>O14-P14</f>
        <v>3</v>
      </c>
      <c r="R14" s="13">
        <f>L14*3+M14</f>
        <v>9</v>
      </c>
      <c r="S14" s="13">
        <f>IF(SUM(L14:N14)=0,ROW()-13,RANK(R14,$R$14:$R$17))</f>
        <v>1</v>
      </c>
      <c r="T14" s="13">
        <f>SUMPRODUCT(($R$14:$R$17=R14)*(Q14&lt;$Q$14:$Q$17))</f>
        <v>0</v>
      </c>
      <c r="U14" s="13">
        <f>S14+T14</f>
        <v>1</v>
      </c>
      <c r="V14" s="24">
        <f>RANK(U14,$U$14:$U$17,1)+COUNTIF($U$14:U14,U14)-1</f>
        <v>1</v>
      </c>
      <c r="W14" s="14">
        <f>R14*100+(O14-P14)*10+O14-ROW(K14)*0.01</f>
        <v>935.86</v>
      </c>
      <c r="X14" s="12">
        <f>RANK(W14,$W$14:$W$17,0)</f>
        <v>1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>
      <c r="A15" s="6">
        <v>2</v>
      </c>
      <c r="B15" s="24" t="str">
        <f>INDEX(K$14:K$18,MATCH($A15,$X$14:$X$18,0))</f>
        <v>España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5</v>
      </c>
      <c r="G15" s="24">
        <f t="shared" si="3"/>
        <v>3</v>
      </c>
      <c r="H15" s="24">
        <f t="shared" si="3"/>
        <v>2</v>
      </c>
      <c r="I15" s="24">
        <f t="shared" si="3"/>
        <v>6</v>
      </c>
      <c r="K15" s="13" t="str">
        <f>equipos!D8</f>
        <v>España</v>
      </c>
      <c r="L15" s="13">
        <f>'tabla posiciones auxiliar'!N11</f>
        <v>2</v>
      </c>
      <c r="M15" s="13">
        <f>'tabla posiciones auxiliar'!P11</f>
        <v>0</v>
      </c>
      <c r="N15" s="13">
        <f>'tabla posiciones auxiliar'!O11</f>
        <v>1</v>
      </c>
      <c r="O15" s="13">
        <f>'tabla posiciones auxiliar'!Q11</f>
        <v>5</v>
      </c>
      <c r="P15" s="13">
        <f>'tabla posiciones auxiliar'!R11</f>
        <v>3</v>
      </c>
      <c r="Q15" s="13">
        <f>O15-P15</f>
        <v>2</v>
      </c>
      <c r="R15" s="13">
        <f>L15*3+M15</f>
        <v>6</v>
      </c>
      <c r="S15" s="13">
        <f>IF(SUM(L15:N15)=0,ROW()-13,RANK(R15,$R$14:$R$17))</f>
        <v>2</v>
      </c>
      <c r="T15" s="13">
        <f>SUMPRODUCT(($R$14:$R$17=R15)*(Q15&lt;$Q$14:$Q$17))</f>
        <v>0</v>
      </c>
      <c r="U15" s="13">
        <f>S15+T15</f>
        <v>2</v>
      </c>
      <c r="V15" s="24">
        <f>RANK(U15,$U$14:$U$18,1)+COUNTIF($U$14:U15,U15)-1</f>
        <v>2</v>
      </c>
      <c r="W15" s="14">
        <f>R15*100+(O15-P15)*10+O15-ROW(K15)*0.01</f>
        <v>624.85</v>
      </c>
      <c r="X15" s="12">
        <f>RANK(W15,$W$14:$W$17,0)</f>
        <v>2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>
      <c r="A16" s="6">
        <v>3</v>
      </c>
      <c r="B16" s="24" t="str">
        <f>INDEX(K$14:K$18,MATCH($A16,$X$14:$X$18,0))</f>
        <v>Irán</v>
      </c>
      <c r="C16" s="24">
        <f t="shared" si="3"/>
        <v>0</v>
      </c>
      <c r="D16" s="24">
        <f t="shared" si="3"/>
        <v>1</v>
      </c>
      <c r="E16" s="24">
        <f t="shared" si="3"/>
        <v>2</v>
      </c>
      <c r="F16" s="24">
        <f t="shared" si="3"/>
        <v>3</v>
      </c>
      <c r="G16" s="24">
        <f t="shared" si="3"/>
        <v>5</v>
      </c>
      <c r="H16" s="24">
        <f t="shared" si="3"/>
        <v>-2</v>
      </c>
      <c r="I16" s="24">
        <f t="shared" si="3"/>
        <v>1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1</v>
      </c>
      <c r="N16" s="13">
        <f>'tabla posiciones auxiliar'!O12</f>
        <v>2</v>
      </c>
      <c r="O16" s="13">
        <f>'tabla posiciones auxiliar'!Q12</f>
        <v>2</v>
      </c>
      <c r="P16" s="13">
        <f>'tabla posiciones auxiliar'!R12</f>
        <v>5</v>
      </c>
      <c r="Q16" s="13">
        <f>O16-P16</f>
        <v>-3</v>
      </c>
      <c r="R16" s="13">
        <f>L16*3+M16</f>
        <v>1</v>
      </c>
      <c r="S16" s="13">
        <f>IF(SUM(L16:N16)=0,ROW()-13,RANK(R16,$R$14:$R$17))</f>
        <v>3</v>
      </c>
      <c r="T16" s="13">
        <f>SUMPRODUCT(($R$14:$R$17=R16)*(Q16&lt;$Q$14:$Q$17))</f>
        <v>1</v>
      </c>
      <c r="U16" s="13">
        <f>S16+T16</f>
        <v>4</v>
      </c>
      <c r="V16" s="24">
        <f>RANK(U16,$U$14:$U$18,1)+COUNTIF($U$14:U16,U16)-1</f>
        <v>4</v>
      </c>
      <c r="W16" s="14">
        <f>R16*100+(O16-P16)*10+O16-ROW(K16)*0.01</f>
        <v>71.84</v>
      </c>
      <c r="X16" s="12">
        <f>RANK(W16,$W$14:$W$17,0)</f>
        <v>4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6">
        <v>4</v>
      </c>
      <c r="B17" s="24" t="str">
        <f>INDEX(K$14:K$18,MATCH($A17,$X$14:$X$18,0))</f>
        <v>Marruecos</v>
      </c>
      <c r="C17" s="24">
        <f t="shared" si="3"/>
        <v>0</v>
      </c>
      <c r="D17" s="24">
        <f t="shared" si="3"/>
        <v>1</v>
      </c>
      <c r="E17" s="24">
        <f t="shared" si="3"/>
        <v>2</v>
      </c>
      <c r="F17" s="24">
        <f t="shared" si="3"/>
        <v>2</v>
      </c>
      <c r="G17" s="24">
        <f t="shared" si="3"/>
        <v>5</v>
      </c>
      <c r="H17" s="24">
        <f t="shared" si="3"/>
        <v>-3</v>
      </c>
      <c r="I17" s="24">
        <f t="shared" si="3"/>
        <v>1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1</v>
      </c>
      <c r="N17" s="13">
        <f>'tabla posiciones auxiliar'!O13</f>
        <v>2</v>
      </c>
      <c r="O17" s="13">
        <f>'tabla posiciones auxiliar'!Q13</f>
        <v>3</v>
      </c>
      <c r="P17" s="13">
        <f>'tabla posiciones auxiliar'!R13</f>
        <v>5</v>
      </c>
      <c r="Q17" s="13">
        <f>O17-P17</f>
        <v>-2</v>
      </c>
      <c r="R17" s="13">
        <f>L17*3+M17</f>
        <v>1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3</v>
      </c>
      <c r="W17" s="14">
        <f>R17*100+(O17-P17)*10+O17-ROW(K17)*0.01</f>
        <v>82.83</v>
      </c>
      <c r="X17" s="12">
        <f>RANK(W17,$W$14:$W$17,0)</f>
        <v>3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6">
        <v>1</v>
      </c>
      <c r="B21" s="24" t="str">
        <f>INDEX(K$21:K$25,MATCH($A21,$X$21:$X$25,0))</f>
        <v>Perú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5</v>
      </c>
      <c r="G21" s="24">
        <f t="shared" si="4"/>
        <v>3</v>
      </c>
      <c r="H21" s="24">
        <f t="shared" si="4"/>
        <v>2</v>
      </c>
      <c r="I21" s="24">
        <f t="shared" si="4"/>
        <v>7</v>
      </c>
      <c r="K21" s="13" t="str">
        <f>equipos!$D12</f>
        <v>Francia</v>
      </c>
      <c r="L21" s="13">
        <f>'tabla posiciones auxiliar'!N17</f>
        <v>1</v>
      </c>
      <c r="M21" s="13">
        <f>'tabla posiciones auxiliar'!P17</f>
        <v>2</v>
      </c>
      <c r="N21" s="13">
        <f>'tabla posiciones auxiliar'!O17</f>
        <v>0</v>
      </c>
      <c r="O21" s="13">
        <f>'tabla posiciones auxiliar'!Q17</f>
        <v>4</v>
      </c>
      <c r="P21" s="13">
        <f>'tabla posiciones auxiliar'!R17</f>
        <v>3</v>
      </c>
      <c r="Q21" s="13">
        <f>O21-P21</f>
        <v>1</v>
      </c>
      <c r="R21" s="13">
        <f>L21*3+M21</f>
        <v>5</v>
      </c>
      <c r="S21" s="13">
        <f>IF(SUM(L21:N21)=0,ROW()-20,RANK(R21,$R$21:$R$24))</f>
        <v>2</v>
      </c>
      <c r="T21" s="13">
        <f>SUMPRODUCT(($R$21:$R$24=R21)*(Q21&lt;$Q$21:$Q$24))</f>
        <v>0</v>
      </c>
      <c r="U21" s="13">
        <f>S21+T21</f>
        <v>2</v>
      </c>
      <c r="V21" s="24">
        <f>RANK(U21,$U$21:$U$24,1)+COUNTIF($U$21:U21,U21)-1</f>
        <v>2</v>
      </c>
      <c r="W21" s="14">
        <f>R21*100+(O21-P21)*10+O21-ROW(K21)*0.01</f>
        <v>513.79</v>
      </c>
      <c r="X21" s="12">
        <f>RANK(W21,$W$21:$W$24,0)</f>
        <v>2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>
      <c r="A22" s="6">
        <v>2</v>
      </c>
      <c r="B22" s="24" t="str">
        <f>INDEX(K$21:K$25,MATCH($A22,$X$21:$X$25,0))</f>
        <v>Francia</v>
      </c>
      <c r="C22" s="24">
        <f t="shared" ref="C22:I24" si="5">INDEX(L$21:L$25,MATCH($A22,$X$21:$X$25,0))</f>
        <v>1</v>
      </c>
      <c r="D22" s="24">
        <f t="shared" si="5"/>
        <v>2</v>
      </c>
      <c r="E22" s="24">
        <f t="shared" si="5"/>
        <v>0</v>
      </c>
      <c r="F22" s="24">
        <f t="shared" si="5"/>
        <v>4</v>
      </c>
      <c r="G22" s="24">
        <f t="shared" si="5"/>
        <v>3</v>
      </c>
      <c r="H22" s="24">
        <f t="shared" si="5"/>
        <v>1</v>
      </c>
      <c r="I22" s="24">
        <f t="shared" si="5"/>
        <v>5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0</v>
      </c>
      <c r="N22" s="13">
        <f>'tabla posiciones auxiliar'!O18</f>
        <v>3</v>
      </c>
      <c r="O22" s="13">
        <f>'tabla posiciones auxiliar'!Q18</f>
        <v>3</v>
      </c>
      <c r="P22" s="13">
        <f>'tabla posiciones auxiliar'!R18</f>
        <v>6</v>
      </c>
      <c r="Q22" s="13">
        <f>O22-P22</f>
        <v>-3</v>
      </c>
      <c r="R22" s="13">
        <f>L22*3+M22</f>
        <v>0</v>
      </c>
      <c r="S22" s="13">
        <f>IF(SUM(L22:N22)=0,ROW()-20,RANK(R22,$R$21:$R$24))</f>
        <v>4</v>
      </c>
      <c r="T22" s="13">
        <f>SUMPRODUCT(($R$21:$R$24=R22)*(Q22&lt;$Q$21:$Q$24))</f>
        <v>0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-27.22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>
      <c r="A23" s="6">
        <v>3</v>
      </c>
      <c r="B23" s="24" t="str">
        <f>INDEX(K$21:K$25,MATCH($A23,$X$21:$X$25,0))</f>
        <v>Dinamarca</v>
      </c>
      <c r="C23" s="24">
        <f t="shared" si="5"/>
        <v>1</v>
      </c>
      <c r="D23" s="24">
        <f t="shared" si="5"/>
        <v>1</v>
      </c>
      <c r="E23" s="24">
        <f t="shared" si="5"/>
        <v>1</v>
      </c>
      <c r="F23" s="24">
        <f t="shared" si="5"/>
        <v>4</v>
      </c>
      <c r="G23" s="24">
        <f t="shared" si="5"/>
        <v>4</v>
      </c>
      <c r="H23" s="24">
        <f t="shared" si="5"/>
        <v>0</v>
      </c>
      <c r="I23" s="24">
        <f t="shared" si="5"/>
        <v>4</v>
      </c>
      <c r="K23" s="13" t="str">
        <f>equipos!$D14</f>
        <v>Perú</v>
      </c>
      <c r="L23" s="13">
        <f>'tabla posiciones auxiliar'!N19</f>
        <v>2</v>
      </c>
      <c r="M23" s="13">
        <f>'tabla posiciones auxiliar'!P19</f>
        <v>1</v>
      </c>
      <c r="N23" s="13">
        <f>'tabla posiciones auxiliar'!O19</f>
        <v>0</v>
      </c>
      <c r="O23" s="13">
        <f>'tabla posiciones auxiliar'!Q19</f>
        <v>5</v>
      </c>
      <c r="P23" s="13">
        <f>'tabla posiciones auxiliar'!R19</f>
        <v>3</v>
      </c>
      <c r="Q23" s="13">
        <f>O23-P23</f>
        <v>2</v>
      </c>
      <c r="R23" s="13">
        <f>L23*3+M23</f>
        <v>7</v>
      </c>
      <c r="S23" s="13">
        <f>IF(SUM(L23:N23)=0,ROW()-20,RANK(R23,$R$21:$R$24))</f>
        <v>1</v>
      </c>
      <c r="T23" s="13">
        <f>SUMPRODUCT(($R$21:$R$24=R23)*(Q23&lt;$Q$21:$Q$24))</f>
        <v>0</v>
      </c>
      <c r="U23" s="13">
        <f>S23+T23</f>
        <v>1</v>
      </c>
      <c r="V23" s="24">
        <f>RANK(U23,$U$21:$U$24,1)+COUNTIF($U$21:U23,U23)-1</f>
        <v>1</v>
      </c>
      <c r="W23" s="14">
        <f>R23*100+(O23-P23)*10+O23-ROW(K23)*0.01</f>
        <v>724.77</v>
      </c>
      <c r="X23" s="12">
        <f>RANK(W23,$W$21:$W$24,0)</f>
        <v>1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0</v>
      </c>
      <c r="E24" s="24">
        <f t="shared" si="5"/>
        <v>3</v>
      </c>
      <c r="F24" s="24">
        <f t="shared" si="5"/>
        <v>3</v>
      </c>
      <c r="G24" s="24">
        <f t="shared" si="5"/>
        <v>6</v>
      </c>
      <c r="H24" s="24">
        <f t="shared" si="5"/>
        <v>-3</v>
      </c>
      <c r="I24" s="24">
        <f t="shared" si="5"/>
        <v>0</v>
      </c>
      <c r="K24" s="13" t="str">
        <f>equipos!$D15</f>
        <v>Dinamarca</v>
      </c>
      <c r="L24" s="13">
        <f>'tabla posiciones auxiliar'!N20</f>
        <v>1</v>
      </c>
      <c r="M24" s="13">
        <f>'tabla posiciones auxiliar'!P20</f>
        <v>1</v>
      </c>
      <c r="N24" s="13">
        <f>'tabla posiciones auxiliar'!O20</f>
        <v>1</v>
      </c>
      <c r="O24" s="13">
        <f>'tabla posiciones auxiliar'!Q20</f>
        <v>4</v>
      </c>
      <c r="P24" s="13">
        <f>'tabla posiciones auxiliar'!R20</f>
        <v>4</v>
      </c>
      <c r="Q24" s="13">
        <f>O24-P24</f>
        <v>0</v>
      </c>
      <c r="R24" s="13">
        <f>L24*3+M24</f>
        <v>4</v>
      </c>
      <c r="S24" s="13">
        <f>IF(SUM(L24:N24)=0,ROW()-20,RANK(R24,$R$21:$R$24))</f>
        <v>3</v>
      </c>
      <c r="T24" s="13">
        <f>SUMPRODUCT(($R$21:$R$24=R24)*(Q24&lt;$Q$21:$Q$24))</f>
        <v>0</v>
      </c>
      <c r="U24" s="13">
        <f>S24+T24</f>
        <v>3</v>
      </c>
      <c r="V24" s="24">
        <f>RANK(U24,$U$21:$U$24,1)+COUNTIF($U$21:U24,U24)-1</f>
        <v>3</v>
      </c>
      <c r="W24" s="14">
        <f>R24*100+(O24-P24)*10+O24-ROW(K24)*0.01</f>
        <v>403.76</v>
      </c>
      <c r="X24" s="12">
        <f>RANK(W24,$W$21:$W$24,0)</f>
        <v>3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2</v>
      </c>
      <c r="D28" s="24">
        <f t="shared" si="6"/>
        <v>1</v>
      </c>
      <c r="E28" s="24">
        <f t="shared" si="6"/>
        <v>0</v>
      </c>
      <c r="F28" s="24">
        <f t="shared" si="6"/>
        <v>6</v>
      </c>
      <c r="G28" s="24">
        <f t="shared" si="6"/>
        <v>4</v>
      </c>
      <c r="H28" s="24">
        <f t="shared" si="6"/>
        <v>2</v>
      </c>
      <c r="I28" s="24">
        <f t="shared" si="6"/>
        <v>7</v>
      </c>
      <c r="K28" s="13" t="str">
        <f>equipos!$D17</f>
        <v>Argentina</v>
      </c>
      <c r="L28" s="13">
        <f>'tabla posiciones auxiliar'!N24</f>
        <v>2</v>
      </c>
      <c r="M28" s="13">
        <f>'tabla posiciones auxiliar'!P24</f>
        <v>1</v>
      </c>
      <c r="N28" s="13">
        <f>'tabla posiciones auxiliar'!O24</f>
        <v>0</v>
      </c>
      <c r="O28" s="13">
        <f>'tabla posiciones auxiliar'!Q24</f>
        <v>6</v>
      </c>
      <c r="P28" s="13">
        <f>'tabla posiciones auxiliar'!R24</f>
        <v>4</v>
      </c>
      <c r="Q28" s="13">
        <f>O28-P28</f>
        <v>2</v>
      </c>
      <c r="R28" s="13">
        <f>L28*3+M28</f>
        <v>7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725.72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6">
        <v>2</v>
      </c>
      <c r="B29" s="24" t="str">
        <f>INDEX(K$28:K$32,MATCH($A29,$X$28:$X$32,0))</f>
        <v>Nigeria</v>
      </c>
      <c r="C29" s="24">
        <f t="shared" ref="C29:I31" si="7">INDEX(L$28:L$32,MATCH($A29,$X$28:$X$32,0))</f>
        <v>1</v>
      </c>
      <c r="D29" s="24">
        <f t="shared" si="7"/>
        <v>2</v>
      </c>
      <c r="E29" s="24">
        <f t="shared" si="7"/>
        <v>0</v>
      </c>
      <c r="F29" s="24">
        <f t="shared" si="7"/>
        <v>6</v>
      </c>
      <c r="G29" s="24">
        <f t="shared" si="7"/>
        <v>5</v>
      </c>
      <c r="H29" s="24">
        <f t="shared" si="7"/>
        <v>1</v>
      </c>
      <c r="I29" s="24">
        <f t="shared" si="7"/>
        <v>5</v>
      </c>
      <c r="K29" s="13" t="str">
        <f>equipos!$D18</f>
        <v>Islandia</v>
      </c>
      <c r="L29" s="13">
        <f>'tabla posiciones auxiliar'!N25</f>
        <v>1</v>
      </c>
      <c r="M29" s="13">
        <f>'tabla posiciones auxiliar'!P25</f>
        <v>0</v>
      </c>
      <c r="N29" s="13">
        <f>'tabla posiciones auxiliar'!O25</f>
        <v>2</v>
      </c>
      <c r="O29" s="13">
        <f>'tabla posiciones auxiliar'!Q25</f>
        <v>4</v>
      </c>
      <c r="P29" s="13">
        <f>'tabla posiciones auxiliar'!R25</f>
        <v>4</v>
      </c>
      <c r="Q29" s="13">
        <f>O29-P29</f>
        <v>0</v>
      </c>
      <c r="R29" s="13">
        <f>L29*3+M29</f>
        <v>3</v>
      </c>
      <c r="S29" s="13">
        <f>IF(SUM(L29:N29)=0,ROW()-27,RANK(R29,$R$28:$R$31))</f>
        <v>3</v>
      </c>
      <c r="T29" s="13">
        <f>SUMPRODUCT(($R$28:$R$32=R29)*(Q29&lt;$Q$28:$Q$32))</f>
        <v>0</v>
      </c>
      <c r="U29" s="13">
        <f>S29+T29</f>
        <v>3</v>
      </c>
      <c r="V29" s="24">
        <f>RANK(U29,$U$28:$U$31,1)+COUNTIF($U$28:U29,U29)-1</f>
        <v>3</v>
      </c>
      <c r="W29" s="14">
        <f>R29*100+(O29-P29)*10+O29-ROW(K29)*0.01</f>
        <v>303.70999999999998</v>
      </c>
      <c r="X29" s="12">
        <f>RANK(W29,$W$28:$W$31,0)</f>
        <v>3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6">
        <v>3</v>
      </c>
      <c r="B30" s="24" t="str">
        <f>INDEX(K$28:K$32,MATCH($A30,$X$28:$X$32,0))</f>
        <v>Islandia</v>
      </c>
      <c r="C30" s="24">
        <f t="shared" si="7"/>
        <v>1</v>
      </c>
      <c r="D30" s="24">
        <f t="shared" si="7"/>
        <v>0</v>
      </c>
      <c r="E30" s="24">
        <f t="shared" si="7"/>
        <v>2</v>
      </c>
      <c r="F30" s="24">
        <f t="shared" si="7"/>
        <v>4</v>
      </c>
      <c r="G30" s="24">
        <f t="shared" si="7"/>
        <v>4</v>
      </c>
      <c r="H30" s="24">
        <f t="shared" si="7"/>
        <v>0</v>
      </c>
      <c r="I30" s="24">
        <f t="shared" si="7"/>
        <v>3</v>
      </c>
      <c r="K30" s="13" t="str">
        <f>equipos!$D19</f>
        <v>Croacia</v>
      </c>
      <c r="L30" s="13">
        <f>'tabla posiciones auxiliar'!N26</f>
        <v>0</v>
      </c>
      <c r="M30" s="13">
        <f>'tabla posiciones auxiliar'!P26</f>
        <v>1</v>
      </c>
      <c r="N30" s="13">
        <f>'tabla posiciones auxiliar'!O26</f>
        <v>2</v>
      </c>
      <c r="O30" s="13">
        <f>'tabla posiciones auxiliar'!Q26</f>
        <v>3</v>
      </c>
      <c r="P30" s="13">
        <f>'tabla posiciones auxiliar'!R26</f>
        <v>6</v>
      </c>
      <c r="Q30" s="13">
        <f>O30-P30</f>
        <v>-3</v>
      </c>
      <c r="R30" s="13">
        <f>L30*3+M30</f>
        <v>1</v>
      </c>
      <c r="S30" s="13">
        <f>IF(SUM(L30:N30)=0,ROW()-27,RANK(R30,$R$28:$R$31))</f>
        <v>4</v>
      </c>
      <c r="T30" s="13">
        <f>SUMPRODUCT(($R$28:$R$32=R30)*(Q30&lt;$Q$28:$Q$32))</f>
        <v>0</v>
      </c>
      <c r="U30" s="13">
        <f>S30+T30</f>
        <v>4</v>
      </c>
      <c r="V30" s="24">
        <f>RANK(U30,$U$28:$U$31,1)+COUNTIF($U$28:U30,U30)-1</f>
        <v>4</v>
      </c>
      <c r="W30" s="14">
        <f>R30*100+(O30-P30)*10+O30-ROW(K30)*0.01</f>
        <v>72.7</v>
      </c>
      <c r="X30" s="12">
        <f>RANK(W30,$W$28:$W$31,0)</f>
        <v>4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6">
        <v>4</v>
      </c>
      <c r="B31" s="24" t="str">
        <f>INDEX(K$28:K$32,MATCH($A31,$X$28:$X$32,0))</f>
        <v>Croacia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3</v>
      </c>
      <c r="G31" s="24">
        <f t="shared" si="7"/>
        <v>6</v>
      </c>
      <c r="H31" s="24">
        <f t="shared" si="7"/>
        <v>-3</v>
      </c>
      <c r="I31" s="24">
        <f t="shared" si="7"/>
        <v>1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2</v>
      </c>
      <c r="N31" s="13">
        <f>'tabla posiciones auxiliar'!O27</f>
        <v>0</v>
      </c>
      <c r="O31" s="13">
        <f>'tabla posiciones auxiliar'!Q27</f>
        <v>6</v>
      </c>
      <c r="P31" s="13">
        <f>'tabla posiciones auxiliar'!R27</f>
        <v>5</v>
      </c>
      <c r="Q31" s="13">
        <f>O31-P31</f>
        <v>1</v>
      </c>
      <c r="R31" s="13">
        <f>L31*3+M31</f>
        <v>5</v>
      </c>
      <c r="S31" s="13">
        <f>IF(SUM(L31:N31)=0,ROW()-27,RANK(R31,$R$28:$R$31))</f>
        <v>2</v>
      </c>
      <c r="T31" s="13">
        <f>SUMPRODUCT(($R$28:$R$32=R31)*(Q31&lt;$Q$28:$Q$32))</f>
        <v>0</v>
      </c>
      <c r="U31" s="13">
        <f>S31+T31</f>
        <v>2</v>
      </c>
      <c r="V31" s="24">
        <f>RANK(U31,$U$28:$U$31,1)+COUNTIF($U$28:U31,U31)-1</f>
        <v>2</v>
      </c>
      <c r="W31" s="14">
        <f>R31*100+(O31-P31)*10+O31-ROW(K31)*0.01</f>
        <v>515.69000000000005</v>
      </c>
      <c r="X31" s="12">
        <f>RANK(W31,$W$28:$W$31,0)</f>
        <v>2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7</v>
      </c>
      <c r="G35" s="24">
        <f t="shared" si="8"/>
        <v>2</v>
      </c>
      <c r="H35" s="24">
        <f t="shared" si="8"/>
        <v>5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7</v>
      </c>
      <c r="P35" s="13">
        <f>'tabla posiciones auxiliar'!R31</f>
        <v>2</v>
      </c>
      <c r="Q35" s="13">
        <f>O35-P35</f>
        <v>5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956.65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6">
        <v>2</v>
      </c>
      <c r="B36" s="24" t="str">
        <f>INDEX(K$35:K$39,MATCH($A36,$X$35:$X$39,0))</f>
        <v>Suiza</v>
      </c>
      <c r="C36" s="24">
        <f t="shared" ref="C36:I38" si="9">INDEX(L$35:L$39,MATCH($A36,$X$35:$X$39,0))</f>
        <v>1</v>
      </c>
      <c r="D36" s="24">
        <f t="shared" si="9"/>
        <v>1</v>
      </c>
      <c r="E36" s="24">
        <f t="shared" si="9"/>
        <v>1</v>
      </c>
      <c r="F36" s="24">
        <f t="shared" si="9"/>
        <v>3</v>
      </c>
      <c r="G36" s="24">
        <f t="shared" si="9"/>
        <v>4</v>
      </c>
      <c r="H36" s="24">
        <f t="shared" si="9"/>
        <v>-1</v>
      </c>
      <c r="I36" s="24">
        <f t="shared" si="9"/>
        <v>4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1</v>
      </c>
      <c r="N36" s="13">
        <f>'tabla posiciones auxiliar'!O32</f>
        <v>1</v>
      </c>
      <c r="O36" s="13">
        <f>'tabla posiciones auxiliar'!Q32</f>
        <v>3</v>
      </c>
      <c r="P36" s="13">
        <f>'tabla posiciones auxiliar'!R32</f>
        <v>4</v>
      </c>
      <c r="Q36" s="13">
        <f>O36-P36</f>
        <v>-1</v>
      </c>
      <c r="R36" s="13">
        <f>L36*3+M36</f>
        <v>4</v>
      </c>
      <c r="S36" s="13">
        <f>IF(SUM(L36:N36)=0,ROW()-34,RANK(R36,$R$35:$R$38))</f>
        <v>2</v>
      </c>
      <c r="T36" s="13">
        <f>SUMPRODUCT(($R$35:$R$38=R36)*(Q36&lt;$Q$35:$Q$38))</f>
        <v>0</v>
      </c>
      <c r="U36" s="13">
        <f>S36+T36</f>
        <v>2</v>
      </c>
      <c r="V36" s="24">
        <f>RANK(U36,$U$35:$U$38,1)+COUNTIF($U$35:U36,U36)-1</f>
        <v>2</v>
      </c>
      <c r="W36" s="14">
        <f>R36*100+(O36-P36)*10+O36-ROW(K36)*0.01</f>
        <v>392.64</v>
      </c>
      <c r="X36" s="12">
        <f>RANK(W36,$W$35:$W$38,0)</f>
        <v>2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6">
        <v>3</v>
      </c>
      <c r="B37" s="24" t="str">
        <f>INDEX(K$35:K$39,MATCH($A37,$X$35:$X$39,0))</f>
        <v>Costa Rica</v>
      </c>
      <c r="C37" s="24">
        <f t="shared" si="9"/>
        <v>0</v>
      </c>
      <c r="D37" s="24">
        <f t="shared" si="9"/>
        <v>2</v>
      </c>
      <c r="E37" s="24">
        <f t="shared" si="9"/>
        <v>1</v>
      </c>
      <c r="F37" s="24">
        <f t="shared" si="9"/>
        <v>3</v>
      </c>
      <c r="G37" s="24">
        <f t="shared" si="9"/>
        <v>4</v>
      </c>
      <c r="H37" s="24">
        <f t="shared" si="9"/>
        <v>-1</v>
      </c>
      <c r="I37" s="24">
        <f t="shared" si="9"/>
        <v>2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2</v>
      </c>
      <c r="N37" s="13">
        <f>'tabla posiciones auxiliar'!O33</f>
        <v>1</v>
      </c>
      <c r="O37" s="13">
        <f>'tabla posiciones auxiliar'!Q33</f>
        <v>3</v>
      </c>
      <c r="P37" s="13">
        <f>'tabla posiciones auxiliar'!R33</f>
        <v>4</v>
      </c>
      <c r="Q37" s="13">
        <f>O37-P37</f>
        <v>-1</v>
      </c>
      <c r="R37" s="13">
        <f>L37*3+M37</f>
        <v>2</v>
      </c>
      <c r="S37" s="13">
        <f>IF(SUM(L37:N37)=0,ROW()-34,RANK(R37,$R$35:$R$38))</f>
        <v>3</v>
      </c>
      <c r="T37" s="13">
        <f>SUMPRODUCT(($R$35:$R$38=R37)*(Q37&lt;$Q$35:$Q$38))</f>
        <v>0</v>
      </c>
      <c r="U37" s="13">
        <f>S37+T37</f>
        <v>3</v>
      </c>
      <c r="V37" s="24">
        <f>RANK(U37,$U$35:$U$38,1)+COUNTIF($U$35:U37,U37)-1</f>
        <v>3</v>
      </c>
      <c r="W37" s="14">
        <f>R37*100+(O37-P37)*10+O37-ROW(K37)*0.01</f>
        <v>192.63</v>
      </c>
      <c r="X37" s="12">
        <f>RANK(W37,$W$35:$W$38,0)</f>
        <v>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6">
        <v>4</v>
      </c>
      <c r="B38" s="24" t="str">
        <f>INDEX(K$35:K$39,MATCH($A38,$X$35:$X$39,0))</f>
        <v>Serbia</v>
      </c>
      <c r="C38" s="24">
        <f t="shared" si="9"/>
        <v>0</v>
      </c>
      <c r="D38" s="24">
        <f t="shared" si="9"/>
        <v>1</v>
      </c>
      <c r="E38" s="24">
        <f t="shared" si="9"/>
        <v>2</v>
      </c>
      <c r="F38" s="24">
        <f t="shared" si="9"/>
        <v>3</v>
      </c>
      <c r="G38" s="24">
        <f t="shared" si="9"/>
        <v>6</v>
      </c>
      <c r="H38" s="24">
        <f t="shared" si="9"/>
        <v>-3</v>
      </c>
      <c r="I38" s="24">
        <f t="shared" si="9"/>
        <v>1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1</v>
      </c>
      <c r="N38" s="13">
        <f>'tabla posiciones auxiliar'!O34</f>
        <v>2</v>
      </c>
      <c r="O38" s="13">
        <f>'tabla posiciones auxiliar'!Q34</f>
        <v>3</v>
      </c>
      <c r="P38" s="13">
        <f>'tabla posiciones auxiliar'!R34</f>
        <v>6</v>
      </c>
      <c r="Q38" s="13">
        <f>O38-P38</f>
        <v>-3</v>
      </c>
      <c r="R38" s="13">
        <f>L38*3+M38</f>
        <v>1</v>
      </c>
      <c r="S38" s="13">
        <f>IF(SUM(L38:N38)=0,ROW()-34,RANK(R38,$R$35:$R$38))</f>
        <v>4</v>
      </c>
      <c r="T38" s="13">
        <f>SUMPRODUCT(($R$35:$R$38=R38)*(Q38&lt;$Q$35:$Q$38))</f>
        <v>0</v>
      </c>
      <c r="U38" s="13">
        <f>S38+T38</f>
        <v>4</v>
      </c>
      <c r="V38" s="24">
        <f>RANK(U38,$U$35:$U$38,1)+COUNTIF($U$35:U38,U38)-1</f>
        <v>4</v>
      </c>
      <c r="W38" s="14">
        <f>R38*100+(O38-P38)*10+O38-ROW(K38)*0.01</f>
        <v>72.62</v>
      </c>
      <c r="X38" s="12">
        <f>RANK(W38,$W$35:$W$38,0)</f>
        <v>4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6</v>
      </c>
      <c r="G42" s="24">
        <f t="shared" si="10"/>
        <v>3</v>
      </c>
      <c r="H42" s="24">
        <f t="shared" si="10"/>
        <v>3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6</v>
      </c>
      <c r="P42" s="13">
        <f>'tabla posiciones auxiliar'!R38</f>
        <v>3</v>
      </c>
      <c r="Q42" s="13">
        <f>O42-P42</f>
        <v>3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935.58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2</v>
      </c>
      <c r="D43" s="24">
        <f t="shared" si="11"/>
        <v>0</v>
      </c>
      <c r="E43" s="24">
        <f t="shared" si="11"/>
        <v>1</v>
      </c>
      <c r="F43" s="24">
        <f t="shared" si="11"/>
        <v>6</v>
      </c>
      <c r="G43" s="24">
        <f t="shared" si="11"/>
        <v>5</v>
      </c>
      <c r="H43" s="24">
        <f t="shared" si="11"/>
        <v>1</v>
      </c>
      <c r="I43" s="24">
        <f t="shared" si="11"/>
        <v>6</v>
      </c>
      <c r="K43" s="13" t="str">
        <f>equipos!$G8</f>
        <v>México</v>
      </c>
      <c r="L43" s="13">
        <f>'tabla posiciones auxiliar'!N39</f>
        <v>2</v>
      </c>
      <c r="M43" s="13">
        <f>'tabla posiciones auxiliar'!P39</f>
        <v>0</v>
      </c>
      <c r="N43" s="13">
        <f>'tabla posiciones auxiliar'!O39</f>
        <v>1</v>
      </c>
      <c r="O43" s="13">
        <f>'tabla posiciones auxiliar'!Q39</f>
        <v>6</v>
      </c>
      <c r="P43" s="13">
        <f>'tabla posiciones auxiliar'!R39</f>
        <v>5</v>
      </c>
      <c r="Q43" s="13">
        <f>O43-P43</f>
        <v>1</v>
      </c>
      <c r="R43" s="13">
        <f>L43*3+M43</f>
        <v>6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615.57000000000005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6">
        <v>3</v>
      </c>
      <c r="B44" s="24" t="str">
        <f>INDEX(K$42:K$46,MATCH($A44,$X$42:$X$46,0))</f>
        <v>Corea</v>
      </c>
      <c r="C44" s="24">
        <f t="shared" si="11"/>
        <v>1</v>
      </c>
      <c r="D44" s="24">
        <f t="shared" si="11"/>
        <v>0</v>
      </c>
      <c r="E44" s="24">
        <f t="shared" si="11"/>
        <v>2</v>
      </c>
      <c r="F44" s="24">
        <f t="shared" si="11"/>
        <v>4</v>
      </c>
      <c r="G44" s="24">
        <f t="shared" si="11"/>
        <v>5</v>
      </c>
      <c r="H44" s="24">
        <f t="shared" si="11"/>
        <v>-1</v>
      </c>
      <c r="I44" s="24">
        <f t="shared" si="11"/>
        <v>3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0</v>
      </c>
      <c r="N44" s="13">
        <f>'tabla posiciones auxiliar'!O40</f>
        <v>3</v>
      </c>
      <c r="O44" s="13">
        <f>'tabla posiciones auxiliar'!Q40</f>
        <v>4</v>
      </c>
      <c r="P44" s="13">
        <f>'tabla posiciones auxiliar'!R40</f>
        <v>7</v>
      </c>
      <c r="Q44" s="13">
        <f>O44-P44</f>
        <v>-3</v>
      </c>
      <c r="R44" s="13">
        <f>L44*3+M44</f>
        <v>0</v>
      </c>
      <c r="S44" s="13">
        <f>IF(SUM(L44:N44)=0,ROW()-41,RANK(R44,$R$42:$R$45))</f>
        <v>4</v>
      </c>
      <c r="T44" s="13">
        <f>SUMPRODUCT(($R$42:$R$45=R44)*(Q44&lt;$Q$42:$Q$45))</f>
        <v>0</v>
      </c>
      <c r="U44" s="13">
        <f>S44+T44</f>
        <v>4</v>
      </c>
      <c r="V44" s="24">
        <f>RANK(U44,$U$42:$U$45,1)+COUNTIF($U$42:U44,U44)-1</f>
        <v>4</v>
      </c>
      <c r="W44" s="14">
        <f>R44*100+(O44-P44)*10+O44-ROW(K44)*0.01</f>
        <v>-26.44</v>
      </c>
      <c r="X44" s="12">
        <f>RANK(W44,$W$42:$W$45,0)</f>
        <v>4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6">
        <v>4</v>
      </c>
      <c r="B45" s="24" t="str">
        <f>INDEX(K$42:K$46,MATCH($A45,$X$42:$X$46,0))</f>
        <v>Suecia</v>
      </c>
      <c r="C45" s="24">
        <f t="shared" si="11"/>
        <v>0</v>
      </c>
      <c r="D45" s="24">
        <f t="shared" si="11"/>
        <v>0</v>
      </c>
      <c r="E45" s="24">
        <f t="shared" si="11"/>
        <v>3</v>
      </c>
      <c r="F45" s="24">
        <f t="shared" si="11"/>
        <v>4</v>
      </c>
      <c r="G45" s="24">
        <f t="shared" si="11"/>
        <v>7</v>
      </c>
      <c r="H45" s="24">
        <f t="shared" si="11"/>
        <v>-3</v>
      </c>
      <c r="I45" s="24">
        <f t="shared" si="11"/>
        <v>0</v>
      </c>
      <c r="K45" s="13" t="str">
        <f>equipos!$G10</f>
        <v>Corea</v>
      </c>
      <c r="L45" s="13">
        <f>'tabla posiciones auxiliar'!N41</f>
        <v>1</v>
      </c>
      <c r="M45" s="13">
        <f>'tabla posiciones auxiliar'!P41</f>
        <v>0</v>
      </c>
      <c r="N45" s="13">
        <f>'tabla posiciones auxiliar'!O41</f>
        <v>2</v>
      </c>
      <c r="O45" s="13">
        <f>'tabla posiciones auxiliar'!Q41</f>
        <v>4</v>
      </c>
      <c r="P45" s="13">
        <f>'tabla posiciones auxiliar'!R41</f>
        <v>5</v>
      </c>
      <c r="Q45" s="13">
        <f>O45-P45</f>
        <v>-1</v>
      </c>
      <c r="R45" s="13">
        <f>L45*3+M45</f>
        <v>3</v>
      </c>
      <c r="S45" s="13">
        <f>IF(SUM(L45:N45)=0,ROW()-41,RANK(R45,$R$42:$R$45))</f>
        <v>3</v>
      </c>
      <c r="T45" s="13">
        <f>SUMPRODUCT(($R$42:$R$45=R45)*(Q45&lt;$Q$42:$Q$45))</f>
        <v>0</v>
      </c>
      <c r="U45" s="13">
        <f>S45+T45</f>
        <v>3</v>
      </c>
      <c r="V45" s="24">
        <f>RANK(U45,$U$42:$U$45,1)+COUNTIF($U$42:U45,U45)-1</f>
        <v>3</v>
      </c>
      <c r="W45" s="14">
        <f>R45*100+(O45-P45)*10+O45-ROW(K45)*0.01</f>
        <v>293.55</v>
      </c>
      <c r="X45" s="12">
        <f>RANK(W45,$W$42:$W$45,0)</f>
        <v>3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3</v>
      </c>
      <c r="D49" s="24">
        <f t="shared" si="12"/>
        <v>0</v>
      </c>
      <c r="E49" s="24">
        <f t="shared" si="12"/>
        <v>0</v>
      </c>
      <c r="F49" s="24">
        <f t="shared" si="12"/>
        <v>8</v>
      </c>
      <c r="G49" s="24">
        <f t="shared" si="12"/>
        <v>2</v>
      </c>
      <c r="H49" s="24">
        <f t="shared" si="12"/>
        <v>6</v>
      </c>
      <c r="I49" s="24">
        <f t="shared" si="12"/>
        <v>9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0</v>
      </c>
      <c r="N49" s="13">
        <f>'tabla posiciones auxiliar'!O45</f>
        <v>1</v>
      </c>
      <c r="O49" s="13">
        <f>'tabla posiciones auxiliar'!Q45</f>
        <v>6</v>
      </c>
      <c r="P49" s="13">
        <f>'tabla posiciones auxiliar'!R45</f>
        <v>5</v>
      </c>
      <c r="Q49" s="13">
        <f>O49-P49</f>
        <v>1</v>
      </c>
      <c r="R49" s="13">
        <f>L49*3+M49</f>
        <v>6</v>
      </c>
      <c r="S49" s="13">
        <f>IF(SUM(L49:N49)=0,ROW()-48,RANK(R49,$R$49:$R$52))</f>
        <v>2</v>
      </c>
      <c r="T49" s="13">
        <f>SUMPRODUCT(($R$49:$R$52=R49)*(Q49&lt;$Q$49:$Q$52))</f>
        <v>0</v>
      </c>
      <c r="U49" s="13">
        <f>S49+T49</f>
        <v>2</v>
      </c>
      <c r="V49" s="24">
        <f>RANK(U49,$U$49:$U$52,1)+COUNTIF($U$49:U49,U49)-1</f>
        <v>2</v>
      </c>
      <c r="W49" s="14">
        <f>R49*100+(O49-P49)*10+O49-ROW(K49)*0.01</f>
        <v>615.51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2</v>
      </c>
      <c r="D50" s="24">
        <f t="shared" si="13"/>
        <v>0</v>
      </c>
      <c r="E50" s="24">
        <f t="shared" si="13"/>
        <v>1</v>
      </c>
      <c r="F50" s="24">
        <f t="shared" si="13"/>
        <v>6</v>
      </c>
      <c r="G50" s="24">
        <f t="shared" si="13"/>
        <v>5</v>
      </c>
      <c r="H50" s="24">
        <f t="shared" si="13"/>
        <v>1</v>
      </c>
      <c r="I50" s="24">
        <f t="shared" si="13"/>
        <v>6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1</v>
      </c>
      <c r="P50" s="13">
        <f>'tabla posiciones auxiliar'!R46</f>
        <v>4</v>
      </c>
      <c r="Q50" s="13">
        <f>O50-P50</f>
        <v>-3</v>
      </c>
      <c r="R50" s="13">
        <f>L50*3+M50</f>
        <v>1</v>
      </c>
      <c r="S50" s="13">
        <f>IF(SUM(L50:N50)=0,ROW()-48,RANK(R50,$R$49:$R$52))</f>
        <v>3</v>
      </c>
      <c r="T50" s="13">
        <f>SUMPRODUCT(($R$49:$R$52=R50)*(Q50&lt;$Q$49:$Q$52))</f>
        <v>0</v>
      </c>
      <c r="U50" s="13">
        <f>S50+T50</f>
        <v>3</v>
      </c>
      <c r="V50" s="24">
        <f>RANK(U50,$U$49:$U$52,1)+COUNTIF($U$49:U50,U50)-1</f>
        <v>3</v>
      </c>
      <c r="W50" s="14">
        <f>R50*100+(O50-P50)*10+O50-ROW(K50)*0.01</f>
        <v>70.5</v>
      </c>
      <c r="X50" s="12">
        <f>RANK(W50,$W$49:$W$52,0)</f>
        <v>3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6">
        <v>3</v>
      </c>
      <c r="B51" s="24" t="str">
        <f>INDEX(K$49:K$53,MATCH($A51,$X$49:$X$53,0))</f>
        <v>Panamá</v>
      </c>
      <c r="C51" s="24">
        <f t="shared" si="13"/>
        <v>0</v>
      </c>
      <c r="D51" s="24">
        <f t="shared" si="13"/>
        <v>1</v>
      </c>
      <c r="E51" s="24">
        <f t="shared" si="13"/>
        <v>2</v>
      </c>
      <c r="F51" s="24">
        <f t="shared" si="13"/>
        <v>1</v>
      </c>
      <c r="G51" s="24">
        <f t="shared" si="13"/>
        <v>4</v>
      </c>
      <c r="H51" s="24">
        <f t="shared" si="13"/>
        <v>-3</v>
      </c>
      <c r="I51" s="24">
        <f t="shared" si="13"/>
        <v>1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1</v>
      </c>
      <c r="N51" s="13">
        <f>'tabla posiciones auxiliar'!O47</f>
        <v>2</v>
      </c>
      <c r="O51" s="13">
        <f>'tabla posiciones auxiliar'!Q47</f>
        <v>1</v>
      </c>
      <c r="P51" s="13">
        <f>'tabla posiciones auxiliar'!R47</f>
        <v>5</v>
      </c>
      <c r="Q51" s="13">
        <f>O51-P51</f>
        <v>-4</v>
      </c>
      <c r="R51" s="13">
        <f>L51*3+M51</f>
        <v>1</v>
      </c>
      <c r="S51" s="13">
        <f>IF(SUM(L51:N51)=0,ROW()-48,RANK(R51,$R$49:$R$52))</f>
        <v>3</v>
      </c>
      <c r="T51" s="13">
        <f>SUMPRODUCT(($R$49:$R$52=R51)*(Q51&lt;$Q$49:$Q$52))</f>
        <v>1</v>
      </c>
      <c r="U51" s="13">
        <f>S51+T51</f>
        <v>4</v>
      </c>
      <c r="V51" s="24">
        <f>RANK(U51,$U$49:$U$52,1)+COUNTIF($U$49:U51,U51)-1</f>
        <v>4</v>
      </c>
      <c r="W51" s="14">
        <f>R51*100+(O51-P51)*10+O51-ROW(K51)*0.01</f>
        <v>60.49</v>
      </c>
      <c r="X51" s="12">
        <f>RANK(W51,$W$49:$W$52,0)</f>
        <v>4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6">
        <v>4</v>
      </c>
      <c r="B52" s="24" t="str">
        <f>INDEX(K$49:K$53,MATCH($A52,$X$49:$X$53,0))</f>
        <v>Túnez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1</v>
      </c>
      <c r="G52" s="24">
        <f t="shared" si="13"/>
        <v>5</v>
      </c>
      <c r="H52" s="24">
        <f t="shared" si="13"/>
        <v>-4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3</v>
      </c>
      <c r="M52" s="13">
        <f>'tabla posiciones auxiliar'!P48</f>
        <v>0</v>
      </c>
      <c r="N52" s="13">
        <f>'tabla posiciones auxiliar'!O48</f>
        <v>0</v>
      </c>
      <c r="O52" s="13">
        <f>'tabla posiciones auxiliar'!Q48</f>
        <v>8</v>
      </c>
      <c r="P52" s="13">
        <f>'tabla posiciones auxiliar'!R48</f>
        <v>2</v>
      </c>
      <c r="Q52" s="13">
        <f>O52-P52</f>
        <v>6</v>
      </c>
      <c r="R52" s="13">
        <f>L52*3+M52</f>
        <v>9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1</v>
      </c>
      <c r="W52" s="14">
        <f>R52*100+(O52-P52)*10+O52-ROW(K52)*0.01</f>
        <v>967.48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2</v>
      </c>
      <c r="D56" s="24">
        <f t="shared" si="14"/>
        <v>1</v>
      </c>
      <c r="E56" s="24">
        <f t="shared" si="14"/>
        <v>0</v>
      </c>
      <c r="F56" s="24">
        <f t="shared" si="14"/>
        <v>6</v>
      </c>
      <c r="G56" s="24">
        <f t="shared" si="14"/>
        <v>3</v>
      </c>
      <c r="H56" s="24">
        <f t="shared" si="14"/>
        <v>3</v>
      </c>
      <c r="I56" s="24">
        <f t="shared" si="14"/>
        <v>7</v>
      </c>
      <c r="K56" s="13" t="str">
        <f>equipos!$G17</f>
        <v>Polonia</v>
      </c>
      <c r="L56" s="13">
        <f>'tabla posiciones auxiliar'!N52</f>
        <v>1</v>
      </c>
      <c r="M56" s="13">
        <f>'tabla posiciones auxiliar'!P52</f>
        <v>0</v>
      </c>
      <c r="N56" s="13">
        <f>'tabla posiciones auxiliar'!O52</f>
        <v>2</v>
      </c>
      <c r="O56" s="13">
        <f>'tabla posiciones auxiliar'!Q52</f>
        <v>3</v>
      </c>
      <c r="P56" s="13">
        <f>'tabla posiciones auxiliar'!R52</f>
        <v>4</v>
      </c>
      <c r="Q56" s="13">
        <f>O56-P56</f>
        <v>-1</v>
      </c>
      <c r="R56" s="13">
        <f>L56*3+M56</f>
        <v>3</v>
      </c>
      <c r="S56" s="13">
        <f>IF(SUM(L56:N56)=0,ROW()-55,RANK(R56,$R$56:$R$59))</f>
        <v>3</v>
      </c>
      <c r="T56" s="13">
        <f>SUMPRODUCT(($R$56:$R$59=R56)*(Q56&lt;$Q$56:$Q$59))</f>
        <v>0</v>
      </c>
      <c r="U56" s="13">
        <f>S56+T56</f>
        <v>3</v>
      </c>
      <c r="V56" s="24">
        <f>RANK(U56,$U$56:$U$59,1)+COUNTIF($U$56:U56,U56)-1</f>
        <v>3</v>
      </c>
      <c r="W56" s="14">
        <f>R56*100+(O56-P56)*10+O56-ROW(K56)*0.01</f>
        <v>292.44</v>
      </c>
      <c r="X56" s="12">
        <f>RANK(W56,$W$56:$W$59,0)</f>
        <v>3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6">
        <v>2</v>
      </c>
      <c r="B57" s="24" t="str">
        <f>INDEX(K$56:K$60,MATCH($A57,$X$56:$X$60,0))</f>
        <v>Japón</v>
      </c>
      <c r="C57" s="24">
        <f t="shared" ref="C57:I59" si="15">INDEX(L$56:L$60,MATCH($A57,$X$56:$X$60,0))</f>
        <v>2</v>
      </c>
      <c r="D57" s="24">
        <f t="shared" si="15"/>
        <v>1</v>
      </c>
      <c r="E57" s="24">
        <f t="shared" si="15"/>
        <v>0</v>
      </c>
      <c r="F57" s="24">
        <f t="shared" si="15"/>
        <v>5</v>
      </c>
      <c r="G57" s="24">
        <f t="shared" si="15"/>
        <v>3</v>
      </c>
      <c r="H57" s="24">
        <f t="shared" si="15"/>
        <v>2</v>
      </c>
      <c r="I57" s="24">
        <f t="shared" si="15"/>
        <v>7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0</v>
      </c>
      <c r="N57" s="13">
        <f>'tabla posiciones auxiliar'!O53</f>
        <v>3</v>
      </c>
      <c r="O57" s="13">
        <f>'tabla posiciones auxiliar'!Q53</f>
        <v>2</v>
      </c>
      <c r="P57" s="13">
        <f>'tabla posiciones auxiliar'!R53</f>
        <v>6</v>
      </c>
      <c r="Q57" s="13">
        <f>O57-P57</f>
        <v>-4</v>
      </c>
      <c r="R57" s="13">
        <f>L57*3+M57</f>
        <v>0</v>
      </c>
      <c r="S57" s="13">
        <f>IF(SUM(L57:N57)=0,ROW()-55,RANK(R57,$R$56:$R$59))</f>
        <v>4</v>
      </c>
      <c r="T57" s="13">
        <f>SUMPRODUCT(($R$56:$R$59=R57)*(Q57&lt;$Q$56:$Q$59))</f>
        <v>0</v>
      </c>
      <c r="U57" s="13">
        <f>S57+T57</f>
        <v>4</v>
      </c>
      <c r="V57" s="24">
        <f>RANK(U57,$U$56:$U$59,1)+COUNTIF($U$56:U57,U57)-1</f>
        <v>4</v>
      </c>
      <c r="W57" s="14">
        <f>R57*100+(O57-P57)*10+O57-ROW(K57)*0.01</f>
        <v>-38.57</v>
      </c>
      <c r="X57" s="12">
        <f>RANK(W57,$W$56:$W$59,0)</f>
        <v>4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6">
        <v>3</v>
      </c>
      <c r="B58" s="24" t="str">
        <f>INDEX(K$56:K$60,MATCH($A58,$X$56:$X$60,0))</f>
        <v>Polonia</v>
      </c>
      <c r="C58" s="24">
        <f t="shared" si="15"/>
        <v>1</v>
      </c>
      <c r="D58" s="24">
        <f t="shared" si="15"/>
        <v>0</v>
      </c>
      <c r="E58" s="24">
        <f t="shared" si="15"/>
        <v>2</v>
      </c>
      <c r="F58" s="24">
        <f t="shared" si="15"/>
        <v>3</v>
      </c>
      <c r="G58" s="24">
        <f t="shared" si="15"/>
        <v>4</v>
      </c>
      <c r="H58" s="24">
        <f t="shared" si="15"/>
        <v>-1</v>
      </c>
      <c r="I58" s="24">
        <f t="shared" si="15"/>
        <v>3</v>
      </c>
      <c r="K58" s="13" t="str">
        <f>equipos!$G19</f>
        <v>Colombia</v>
      </c>
      <c r="L58" s="13">
        <f>'tabla posiciones auxiliar'!N54</f>
        <v>2</v>
      </c>
      <c r="M58" s="13">
        <f>'tabla posiciones auxiliar'!P54</f>
        <v>1</v>
      </c>
      <c r="N58" s="13">
        <f>'tabla posiciones auxiliar'!O54</f>
        <v>0</v>
      </c>
      <c r="O58" s="13">
        <f>'tabla posiciones auxiliar'!Q54</f>
        <v>6</v>
      </c>
      <c r="P58" s="13">
        <f>'tabla posiciones auxiliar'!R54</f>
        <v>3</v>
      </c>
      <c r="Q58" s="13">
        <f>O58-P58</f>
        <v>3</v>
      </c>
      <c r="R58" s="13">
        <f>L58*3+M58</f>
        <v>7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735.42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6">
        <v>4</v>
      </c>
      <c r="B59" s="24" t="str">
        <f>INDEX(K$56:K$60,MATCH($A59,$X$56:$X$60,0))</f>
        <v>Senegal</v>
      </c>
      <c r="C59" s="24">
        <f t="shared" si="15"/>
        <v>0</v>
      </c>
      <c r="D59" s="24">
        <f t="shared" si="15"/>
        <v>0</v>
      </c>
      <c r="E59" s="24">
        <f t="shared" si="15"/>
        <v>3</v>
      </c>
      <c r="F59" s="24">
        <f t="shared" si="15"/>
        <v>2</v>
      </c>
      <c r="G59" s="24">
        <f t="shared" si="15"/>
        <v>6</v>
      </c>
      <c r="H59" s="24">
        <f t="shared" si="15"/>
        <v>-4</v>
      </c>
      <c r="I59" s="24">
        <f t="shared" si="15"/>
        <v>0</v>
      </c>
      <c r="K59" s="13" t="str">
        <f>equipos!$G20</f>
        <v>Japón</v>
      </c>
      <c r="L59" s="13">
        <f>'tabla posiciones auxiliar'!N55</f>
        <v>2</v>
      </c>
      <c r="M59" s="13">
        <f>'tabla posiciones auxiliar'!P55</f>
        <v>1</v>
      </c>
      <c r="N59" s="13">
        <f>'tabla posiciones auxiliar'!O55</f>
        <v>0</v>
      </c>
      <c r="O59" s="13">
        <f>'tabla posiciones auxiliar'!Q55</f>
        <v>5</v>
      </c>
      <c r="P59" s="13">
        <f>'tabla posiciones auxiliar'!R55</f>
        <v>3</v>
      </c>
      <c r="Q59" s="13">
        <f>O59-P59</f>
        <v>2</v>
      </c>
      <c r="R59" s="13">
        <f>L59*3+M59</f>
        <v>7</v>
      </c>
      <c r="S59" s="13">
        <f>IF(SUM(L59:N59)=0,ROW()-55,RANK(R59,$R$56:$R$59))</f>
        <v>1</v>
      </c>
      <c r="T59" s="13">
        <f>SUMPRODUCT(($R$56:$R$59=R59)*(Q59&lt;$Q$56:$Q$59))</f>
        <v>1</v>
      </c>
      <c r="U59" s="13">
        <f>S59+T59</f>
        <v>2</v>
      </c>
      <c r="V59" s="24">
        <f>RANK(U59,$U$56:$U$59,1)+COUNTIF($U$56:U59,U59)-1</f>
        <v>2</v>
      </c>
      <c r="W59" s="14">
        <f>R59*100+(O59-P59)*10+O59-ROW(K59)*0.01</f>
        <v>724.41</v>
      </c>
      <c r="X59" s="12">
        <f>RANK(W59,$W$56:$W$59,0)</f>
        <v>2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2"/>
  <dimension ref="C2:L20"/>
  <sheetViews>
    <sheetView workbookViewId="0">
      <selection activeCell="H4" sqref="H4:I51"/>
    </sheetView>
  </sheetViews>
  <sheetFormatPr baseColWidth="10" defaultRowHeight="12.75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>
      <c r="C2" s="17" t="s">
        <v>48</v>
      </c>
      <c r="D2" s="17" t="s">
        <v>145</v>
      </c>
      <c r="F2" s="17" t="s">
        <v>49</v>
      </c>
      <c r="G2" s="17" t="s">
        <v>69</v>
      </c>
    </row>
    <row r="3" spans="3:12">
      <c r="C3" s="17" t="s">
        <v>52</v>
      </c>
      <c r="D3" t="s">
        <v>147</v>
      </c>
      <c r="F3" s="17" t="s">
        <v>54</v>
      </c>
      <c r="G3" t="s">
        <v>86</v>
      </c>
    </row>
    <row r="4" spans="3:1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>
      <c r="C14" s="17" t="s">
        <v>89</v>
      </c>
      <c r="D14" t="s">
        <v>151</v>
      </c>
      <c r="F14" s="17" t="s">
        <v>90</v>
      </c>
      <c r="G14" t="s">
        <v>160</v>
      </c>
    </row>
    <row r="15" spans="3:12">
      <c r="C15" s="17" t="s">
        <v>91</v>
      </c>
      <c r="D15" t="s">
        <v>152</v>
      </c>
      <c r="F15" s="17" t="s">
        <v>92</v>
      </c>
      <c r="G15" t="s">
        <v>70</v>
      </c>
    </row>
    <row r="16" spans="3:12">
      <c r="C16" s="17"/>
      <c r="F16" s="17"/>
    </row>
    <row r="17" spans="3:7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>
      <c r="C18" s="17" t="s">
        <v>95</v>
      </c>
      <c r="D18" t="s">
        <v>153</v>
      </c>
      <c r="F18" s="17" t="s">
        <v>96</v>
      </c>
      <c r="G18" t="s">
        <v>162</v>
      </c>
    </row>
    <row r="19" spans="3:7">
      <c r="C19" s="17" t="s">
        <v>97</v>
      </c>
      <c r="D19" t="s">
        <v>144</v>
      </c>
      <c r="F19" s="17" t="s">
        <v>98</v>
      </c>
      <c r="G19" t="s">
        <v>111</v>
      </c>
    </row>
    <row r="20" spans="3:7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3"/>
  <dimension ref="A1:R57"/>
  <sheetViews>
    <sheetView workbookViewId="0">
      <selection activeCell="H4" sqref="H4:I51"/>
    </sheetView>
  </sheetViews>
  <sheetFormatPr baseColWidth="10" defaultRowHeight="12.75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2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2</v>
      </c>
      <c r="O3">
        <f>B3+B5+I7</f>
        <v>1</v>
      </c>
      <c r="P3">
        <f>M3-(N3+O3)</f>
        <v>0</v>
      </c>
      <c r="Q3">
        <f>E3+E5+G7</f>
        <v>5</v>
      </c>
      <c r="R3">
        <f>G3+G5+E7</f>
        <v>2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1</v>
      </c>
      <c r="O4">
        <f>I3+I6+B8</f>
        <v>2</v>
      </c>
      <c r="P4">
        <f t="shared" ref="P4:P6" si="4">M4-(N4+O4)</f>
        <v>0</v>
      </c>
      <c r="Q4">
        <f>G3+G6+E8</f>
        <v>2</v>
      </c>
      <c r="R4">
        <f>E3+E6+G8</f>
        <v>6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1</v>
      </c>
      <c r="D5" s="20" t="str">
        <f>equipos!$D$2</f>
        <v>Rusia</v>
      </c>
      <c r="E5" s="20">
        <f>'GRUPO A'!G19</f>
        <v>2</v>
      </c>
      <c r="F5" s="20" t="str">
        <f>equipos!$D$4</f>
        <v>Egipto</v>
      </c>
      <c r="G5" s="20">
        <f>'GRUPO A'!I19</f>
        <v>0</v>
      </c>
      <c r="H5" s="20">
        <f t="shared" si="2"/>
        <v>0</v>
      </c>
      <c r="I5" s="20">
        <f t="shared" si="3"/>
        <v>1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0</v>
      </c>
      <c r="O5">
        <f>B4+I5+I8</f>
        <v>3</v>
      </c>
      <c r="P5">
        <f t="shared" si="4"/>
        <v>0</v>
      </c>
      <c r="Q5">
        <f>E4+G5+G8</f>
        <v>1</v>
      </c>
      <c r="R5">
        <f>G4+E5+E8</f>
        <v>6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3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7</v>
      </c>
      <c r="R6">
        <f>E4+G6+G7</f>
        <v>1</v>
      </c>
    </row>
    <row r="7" spans="1:18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2</v>
      </c>
      <c r="F7" s="20" t="str">
        <f>equipos!$D$2</f>
        <v>Rusia</v>
      </c>
      <c r="G7" s="20">
        <f>'GRUPO A'!I21</f>
        <v>1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0</v>
      </c>
      <c r="C8" s="20">
        <f t="shared" si="1"/>
        <v>1</v>
      </c>
      <c r="D8" s="20" t="str">
        <f>equipos!$D$3</f>
        <v>Arabia Saudí</v>
      </c>
      <c r="E8" s="20">
        <f>'GRUPO A'!G22</f>
        <v>2</v>
      </c>
      <c r="F8" s="20" t="str">
        <f>equipos!$D$4</f>
        <v>Egipto</v>
      </c>
      <c r="G8" s="20">
        <f>'GRUPO A'!I22</f>
        <v>1</v>
      </c>
      <c r="H8" s="20">
        <f t="shared" si="2"/>
        <v>0</v>
      </c>
      <c r="I8" s="20">
        <f t="shared" si="3"/>
        <v>1</v>
      </c>
      <c r="J8" s="20">
        <f>IF(ISBLANK('GRUPO A'!$G22),0,IF(ISBLANK('GRUPO A'!$I22),0,1))</f>
        <v>1</v>
      </c>
    </row>
    <row r="9" spans="1:18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0</v>
      </c>
      <c r="C10" s="20">
        <f t="shared" si="1"/>
        <v>1</v>
      </c>
      <c r="D10" s="20" t="str">
        <f>equipos!$D$7</f>
        <v>Portugal</v>
      </c>
      <c r="E10" s="20">
        <f>'GRUPO B'!G17</f>
        <v>2</v>
      </c>
      <c r="F10" s="20" t="str">
        <f>equipos!$D$8</f>
        <v>España</v>
      </c>
      <c r="G10" s="20">
        <f>'GRUPO B'!I17</f>
        <v>1</v>
      </c>
      <c r="H10" s="20">
        <f t="shared" si="2"/>
        <v>0</v>
      </c>
      <c r="I10" s="20">
        <f t="shared" si="3"/>
        <v>1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3</v>
      </c>
      <c r="O10">
        <f>B10+B12+I14</f>
        <v>0</v>
      </c>
      <c r="P10">
        <f>M10-(N10+O10)</f>
        <v>0</v>
      </c>
      <c r="Q10">
        <f>E10+E12+G14</f>
        <v>6</v>
      </c>
      <c r="R10">
        <f>G10+G12+E14</f>
        <v>3</v>
      </c>
    </row>
    <row r="11" spans="1:18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0</v>
      </c>
      <c r="D11" s="20" t="str">
        <f>equipos!$D$9</f>
        <v>Marruecos</v>
      </c>
      <c r="E11" s="20">
        <f>'GRUPO B'!G18</f>
        <v>1</v>
      </c>
      <c r="F11" s="20" t="str">
        <f>equipos!$D$10</f>
        <v>Irán</v>
      </c>
      <c r="G11" s="20">
        <f>'GRUPO B'!I18</f>
        <v>1</v>
      </c>
      <c r="H11" s="20">
        <f t="shared" si="2"/>
        <v>0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2</v>
      </c>
      <c r="O11">
        <f>I10+I13+B15</f>
        <v>1</v>
      </c>
      <c r="P11">
        <f t="shared" ref="P11:P13" si="5">M11-(N11+O11)</f>
        <v>0</v>
      </c>
      <c r="Q11">
        <f>G10+G13+E15</f>
        <v>5</v>
      </c>
      <c r="R11">
        <f>E10+E13+G15</f>
        <v>3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1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2</v>
      </c>
      <c r="P12">
        <f t="shared" si="5"/>
        <v>1</v>
      </c>
      <c r="Q12">
        <f>E11+G12+G15</f>
        <v>2</v>
      </c>
      <c r="R12">
        <f>G11+E12+E15</f>
        <v>5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1</v>
      </c>
      <c r="F13" s="20" t="str">
        <f>equipos!$D$8</f>
        <v>España</v>
      </c>
      <c r="G13" s="20">
        <f>'GRUPO B'!I20</f>
        <v>2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2</v>
      </c>
      <c r="P13">
        <f t="shared" si="5"/>
        <v>1</v>
      </c>
      <c r="Q13">
        <f>G11+E13+E14</f>
        <v>3</v>
      </c>
      <c r="R13">
        <f>E11+G13+G14</f>
        <v>5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2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2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1</v>
      </c>
      <c r="O17">
        <f>B17+B19+I21</f>
        <v>0</v>
      </c>
      <c r="P17">
        <f>M17-(N17+O17)</f>
        <v>2</v>
      </c>
      <c r="Q17">
        <f>E17+E19+G21</f>
        <v>4</v>
      </c>
      <c r="R17">
        <f>G17+G19+E21</f>
        <v>3</v>
      </c>
    </row>
    <row r="18" spans="1:18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1</v>
      </c>
      <c r="D18" s="20" t="str">
        <f>equipos!$D$14</f>
        <v>Perú</v>
      </c>
      <c r="E18" s="20">
        <f>'GRUPO C'!G18</f>
        <v>2</v>
      </c>
      <c r="F18" s="20" t="str">
        <f>equipos!$D$15</f>
        <v>Dinamarca</v>
      </c>
      <c r="G18" s="20">
        <f>'GRUPO C'!I18</f>
        <v>1</v>
      </c>
      <c r="H18" s="20">
        <f t="shared" si="2"/>
        <v>0</v>
      </c>
      <c r="I18" s="20">
        <f t="shared" si="3"/>
        <v>1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3</v>
      </c>
      <c r="P18">
        <f t="shared" ref="P18:P20" si="6">M18-(N18+O18)</f>
        <v>0</v>
      </c>
      <c r="Q18">
        <f>G17+G20+E22</f>
        <v>3</v>
      </c>
      <c r="R18">
        <f>E17+E20+G22</f>
        <v>6</v>
      </c>
    </row>
    <row r="19" spans="1:18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0</v>
      </c>
      <c r="D19" s="20" t="str">
        <f>equipos!$D$12</f>
        <v>Francia</v>
      </c>
      <c r="E19" s="20">
        <f>'GRUPO C'!G19</f>
        <v>1</v>
      </c>
      <c r="F19" s="20" t="str">
        <f>equipos!$D$14</f>
        <v>Perú</v>
      </c>
      <c r="G19" s="20">
        <f>'GRUPO C'!I19</f>
        <v>1</v>
      </c>
      <c r="H19" s="20">
        <f t="shared" si="2"/>
        <v>0</v>
      </c>
      <c r="I19" s="20">
        <f t="shared" si="3"/>
        <v>0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2</v>
      </c>
      <c r="O19">
        <f>B18+I19+I22</f>
        <v>0</v>
      </c>
      <c r="P19">
        <f t="shared" si="6"/>
        <v>1</v>
      </c>
      <c r="Q19">
        <f>E18+G19+G22</f>
        <v>5</v>
      </c>
      <c r="R19">
        <f>G18+E19+E22</f>
        <v>3</v>
      </c>
    </row>
    <row r="20" spans="1:18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1</v>
      </c>
      <c r="O20">
        <f>I18+B20+B21</f>
        <v>1</v>
      </c>
      <c r="P20">
        <f t="shared" si="6"/>
        <v>1</v>
      </c>
      <c r="Q20">
        <f>G18+E20+E21</f>
        <v>4</v>
      </c>
      <c r="R20">
        <f>E18+G20+G21</f>
        <v>4</v>
      </c>
    </row>
    <row r="21" spans="1:18">
      <c r="A21" s="20">
        <f>IF(ISBLANK('GRUPO C'!$G21),0,IF(ISBLANK('GRUPO C'!$I21),0,1))</f>
        <v>1</v>
      </c>
      <c r="B21" s="20">
        <f t="shared" si="0"/>
        <v>0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1</v>
      </c>
      <c r="H21" s="20">
        <f t="shared" si="2"/>
        <v>0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2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1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2</v>
      </c>
      <c r="O24">
        <f>B24+B26+I28</f>
        <v>0</v>
      </c>
      <c r="P24">
        <f>M24-(N24+O24)</f>
        <v>1</v>
      </c>
      <c r="Q24">
        <f>E24+E26+G28</f>
        <v>6</v>
      </c>
      <c r="R24">
        <f>G24+G26+E28</f>
        <v>4</v>
      </c>
    </row>
    <row r="25" spans="1:18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2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1</v>
      </c>
      <c r="O25">
        <f>I24+I27+B29</f>
        <v>2</v>
      </c>
      <c r="P25">
        <f t="shared" ref="P25:P27" si="7">M25-(N25+O25)</f>
        <v>0</v>
      </c>
      <c r="Q25">
        <f>G24+G27+E29</f>
        <v>4</v>
      </c>
      <c r="R25">
        <f>E24+E27+G29</f>
        <v>4</v>
      </c>
    </row>
    <row r="26" spans="1:18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1</v>
      </c>
      <c r="D26" s="20" t="str">
        <f>equipos!$D$17</f>
        <v>Argentina</v>
      </c>
      <c r="E26" s="20">
        <f>'GRUPO D'!G19</f>
        <v>2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1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0</v>
      </c>
      <c r="O26">
        <f>B25+I26+I29</f>
        <v>2</v>
      </c>
      <c r="P26">
        <f t="shared" si="7"/>
        <v>1</v>
      </c>
      <c r="Q26">
        <f>E25+G26+G29</f>
        <v>3</v>
      </c>
      <c r="R26">
        <f>G25+E26+E29</f>
        <v>6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2</v>
      </c>
      <c r="F27" s="20" t="str">
        <f>equipos!$D$18</f>
        <v>Islandia</v>
      </c>
      <c r="G27" s="20">
        <f>'GRUPO D'!I20</f>
        <v>1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0</v>
      </c>
      <c r="P27">
        <f t="shared" si="7"/>
        <v>2</v>
      </c>
      <c r="Q27">
        <f>G25+E27+E28</f>
        <v>6</v>
      </c>
      <c r="R27">
        <f>E25+G27+G28</f>
        <v>5</v>
      </c>
    </row>
    <row r="28" spans="1:18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2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0</v>
      </c>
      <c r="C29" s="20">
        <f t="shared" si="1"/>
        <v>1</v>
      </c>
      <c r="D29" s="20" t="str">
        <f>equipos!$D$18</f>
        <v>Islandia</v>
      </c>
      <c r="E29" s="20">
        <f>'GRUPO D'!G22</f>
        <v>2</v>
      </c>
      <c r="F29" s="20" t="str">
        <f>equipos!$D$19</f>
        <v>Croacia</v>
      </c>
      <c r="G29" s="20">
        <f>'GRUPO D'!I22</f>
        <v>0</v>
      </c>
      <c r="H29" s="20">
        <f t="shared" si="2"/>
        <v>0</v>
      </c>
      <c r="I29" s="20">
        <f t="shared" si="3"/>
        <v>1</v>
      </c>
      <c r="J29" s="20">
        <f>IF(ISBLANK('GRUPO D'!$G22),0,IF(ISBLANK('GRUPO D'!$I22),0,1))</f>
        <v>1</v>
      </c>
    </row>
    <row r="30" spans="1:18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2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7</v>
      </c>
      <c r="R31">
        <f>G31+G33+E35</f>
        <v>2</v>
      </c>
    </row>
    <row r="32" spans="1:18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0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1</v>
      </c>
      <c r="H32" s="20">
        <f t="shared" si="2"/>
        <v>0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1</v>
      </c>
      <c r="P32">
        <f t="shared" ref="P32:P34" si="8">M32-(N32+O32)</f>
        <v>1</v>
      </c>
      <c r="Q32">
        <f>G31+G34+E36</f>
        <v>3</v>
      </c>
      <c r="R32">
        <f>E31+E34+G36</f>
        <v>4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2</v>
      </c>
      <c r="F33" s="20" t="str">
        <f>equipos!$G$4</f>
        <v>Costa Rica</v>
      </c>
      <c r="G33" s="20">
        <f>'GRUPO E'!I19</f>
        <v>1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1</v>
      </c>
      <c r="P33">
        <f t="shared" si="8"/>
        <v>2</v>
      </c>
      <c r="Q33">
        <f>E32+G33+G36</f>
        <v>3</v>
      </c>
      <c r="R33">
        <f>G32+E33+E36</f>
        <v>4</v>
      </c>
    </row>
    <row r="34" spans="1:18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2</v>
      </c>
      <c r="P34">
        <f t="shared" si="8"/>
        <v>1</v>
      </c>
      <c r="Q34">
        <f>G32+E34+E35</f>
        <v>3</v>
      </c>
      <c r="R34">
        <f>E32+G34+G35</f>
        <v>6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0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1</v>
      </c>
      <c r="H36" s="20">
        <f t="shared" si="2"/>
        <v>0</v>
      </c>
      <c r="I36" s="20">
        <f t="shared" si="3"/>
        <v>0</v>
      </c>
      <c r="J36" s="20">
        <f>IF(ISBLANK('GRUPO E'!$G22),0,IF(ISBLANK('GRUPO E'!$I22),0,1))</f>
        <v>1</v>
      </c>
    </row>
    <row r="37" spans="1:18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1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6</v>
      </c>
      <c r="R38">
        <f>G38+G40+E42</f>
        <v>3</v>
      </c>
    </row>
    <row r="39" spans="1:18">
      <c r="A39" s="20">
        <f>IF(ISBLANK('GRUPO F'!$G18),0,IF(ISBLANK('GRUPO F'!$I18),0,1))</f>
        <v>1</v>
      </c>
      <c r="B39" s="20">
        <f t="shared" si="0"/>
        <v>1</v>
      </c>
      <c r="C39" s="20">
        <f t="shared" si="1"/>
        <v>0</v>
      </c>
      <c r="D39" s="20" t="str">
        <f>equipos!$G$9</f>
        <v>Suecia</v>
      </c>
      <c r="E39" s="20">
        <f>'GRUPO F'!G18</f>
        <v>1</v>
      </c>
      <c r="F39" s="20" t="str">
        <f>equipos!$G$10</f>
        <v>Corea</v>
      </c>
      <c r="G39" s="20">
        <f>'GRUPO F'!I18</f>
        <v>2</v>
      </c>
      <c r="H39" s="20">
        <f t="shared" si="2"/>
        <v>1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2</v>
      </c>
      <c r="O39">
        <f>I38+I41+B43</f>
        <v>1</v>
      </c>
      <c r="P39">
        <f t="shared" ref="P39:P41" si="9">M39-(N39+O39)</f>
        <v>0</v>
      </c>
      <c r="Q39">
        <f>G38+G41+E43</f>
        <v>6</v>
      </c>
      <c r="R39">
        <f>E38+E41+G43</f>
        <v>5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2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3</v>
      </c>
      <c r="P40">
        <f t="shared" si="9"/>
        <v>0</v>
      </c>
      <c r="Q40">
        <f>E39+G40+G43</f>
        <v>4</v>
      </c>
      <c r="R40">
        <f>G39+E40+E43</f>
        <v>7</v>
      </c>
    </row>
    <row r="41" spans="1:18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1</v>
      </c>
      <c r="O41">
        <f>I39+B41+B42</f>
        <v>2</v>
      </c>
      <c r="P41">
        <f t="shared" si="9"/>
        <v>0</v>
      </c>
      <c r="Q41">
        <f>G39+E41+E42</f>
        <v>4</v>
      </c>
      <c r="R41">
        <f>E39+G41+G42</f>
        <v>5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1</v>
      </c>
      <c r="F42" s="20" t="str">
        <f>equipos!$G$7</f>
        <v>Alemania</v>
      </c>
      <c r="G42" s="20">
        <f>'GRUPO F'!I21</f>
        <v>2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1</v>
      </c>
      <c r="D43" s="20" t="str">
        <f>equipos!$G$8</f>
        <v>México</v>
      </c>
      <c r="E43" s="20">
        <f>'GRUPO F'!G22</f>
        <v>3</v>
      </c>
      <c r="F43" s="20" t="str">
        <f>equipos!$G$9</f>
        <v>Suecia</v>
      </c>
      <c r="G43" s="20">
        <f>'GRUPO F'!I22</f>
        <v>2</v>
      </c>
      <c r="H43" s="20">
        <f t="shared" si="2"/>
        <v>0</v>
      </c>
      <c r="I43" s="20">
        <f t="shared" si="3"/>
        <v>1</v>
      </c>
      <c r="J43" s="20">
        <f>IF(ISBLANK('GRUPO F'!$G22),0,IF(ISBLANK('GRUPO F'!$I22),0,1))</f>
        <v>1</v>
      </c>
    </row>
    <row r="44" spans="1:18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2</v>
      </c>
      <c r="F45" s="20" t="str">
        <f>equipos!$G$13</f>
        <v>Panamá</v>
      </c>
      <c r="G45" s="20">
        <f>'GRUPO G'!I17</f>
        <v>1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1</v>
      </c>
      <c r="P45">
        <f>M45-(N45+O45)</f>
        <v>0</v>
      </c>
      <c r="Q45">
        <f>E45+E47+G49</f>
        <v>6</v>
      </c>
      <c r="R45">
        <f>G45+G47+E49</f>
        <v>5</v>
      </c>
    </row>
    <row r="46" spans="1:18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0</v>
      </c>
      <c r="F46" s="20" t="str">
        <f>equipos!$G$15</f>
        <v>Inglaterra</v>
      </c>
      <c r="G46" s="20">
        <f>'GRUPO G'!I18</f>
        <v>3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1</v>
      </c>
      <c r="R46">
        <f>E45+E48+G50</f>
        <v>4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2</v>
      </c>
      <c r="P47">
        <f t="shared" si="10"/>
        <v>1</v>
      </c>
      <c r="Q47">
        <f>E46+G47+G50</f>
        <v>1</v>
      </c>
      <c r="R47">
        <f>G46+E47+E50</f>
        <v>5</v>
      </c>
    </row>
    <row r="48" spans="1:18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2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3</v>
      </c>
      <c r="O48">
        <f>I46+B48+B49</f>
        <v>0</v>
      </c>
      <c r="P48">
        <f t="shared" si="10"/>
        <v>0</v>
      </c>
      <c r="Q48">
        <f>G46+E48+E49</f>
        <v>8</v>
      </c>
      <c r="R48">
        <f>E46+G48+G49</f>
        <v>2</v>
      </c>
    </row>
    <row r="49" spans="1:18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1</v>
      </c>
      <c r="D49" s="20" t="str">
        <f>equipos!$G$15</f>
        <v>Inglaterra</v>
      </c>
      <c r="E49" s="20">
        <f>'GRUPO G'!G21</f>
        <v>3</v>
      </c>
      <c r="F49" s="20" t="str">
        <f>equipos!$G$12</f>
        <v>Bélgica</v>
      </c>
      <c r="G49" s="20">
        <f>'GRUPO G'!I21</f>
        <v>2</v>
      </c>
      <c r="H49" s="20">
        <f t="shared" si="2"/>
        <v>0</v>
      </c>
      <c r="I49" s="20">
        <f t="shared" si="3"/>
        <v>1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0</v>
      </c>
      <c r="F50" s="20" t="str">
        <f>equipos!$G$14</f>
        <v>Túnez</v>
      </c>
      <c r="G50" s="20">
        <f>'GRUPO G'!I22</f>
        <v>0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1</v>
      </c>
      <c r="O52">
        <f>B52+B54+I56</f>
        <v>2</v>
      </c>
      <c r="P52">
        <f>M52-(N52+O52)</f>
        <v>0</v>
      </c>
      <c r="Q52">
        <f>E52+E54+G56</f>
        <v>3</v>
      </c>
      <c r="R52">
        <f>G52+G54+E56</f>
        <v>4</v>
      </c>
    </row>
    <row r="53" spans="1:18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0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2</v>
      </c>
      <c r="H53" s="20">
        <f t="shared" si="2"/>
        <v>0</v>
      </c>
      <c r="I53" s="20">
        <f t="shared" si="3"/>
        <v>0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3</v>
      </c>
      <c r="P53">
        <f t="shared" ref="P53:P55" si="11">M53-(N53+O53)</f>
        <v>0</v>
      </c>
      <c r="Q53">
        <f>G52+G55+E57</f>
        <v>2</v>
      </c>
      <c r="R53">
        <f>E52+E55+G57</f>
        <v>6</v>
      </c>
    </row>
    <row r="54" spans="1:18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2</v>
      </c>
      <c r="O54">
        <f>B53+I54+I57</f>
        <v>0</v>
      </c>
      <c r="P54">
        <f t="shared" si="11"/>
        <v>1</v>
      </c>
      <c r="Q54">
        <f>E53+G54+G57</f>
        <v>6</v>
      </c>
      <c r="R54">
        <f>G53+E54+E57</f>
        <v>3</v>
      </c>
    </row>
    <row r="55" spans="1:18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1</v>
      </c>
      <c r="D55" s="20" t="str">
        <f>equipos!$G$20</f>
        <v>Japón</v>
      </c>
      <c r="E55" s="20">
        <f>'GRUPO H'!G20</f>
        <v>2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1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2</v>
      </c>
      <c r="O55">
        <f>I53+B55+B56</f>
        <v>0</v>
      </c>
      <c r="P55">
        <f t="shared" si="11"/>
        <v>1</v>
      </c>
      <c r="Q55">
        <f>G53+E55+E56</f>
        <v>5</v>
      </c>
      <c r="R55">
        <f>E53+G55+G56</f>
        <v>3</v>
      </c>
    </row>
    <row r="56" spans="1:18">
      <c r="A56" s="20">
        <f>IF(ISBLANK('GRUPO H'!$G21),0,IF(ISBLANK('GRUPO H'!$I21),0,1))</f>
        <v>1</v>
      </c>
      <c r="B56" s="20">
        <f t="shared" si="0"/>
        <v>0</v>
      </c>
      <c r="C56" s="20">
        <f t="shared" si="1"/>
        <v>1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0</v>
      </c>
      <c r="H56" s="20">
        <f t="shared" si="2"/>
        <v>0</v>
      </c>
      <c r="I56" s="20">
        <f t="shared" si="3"/>
        <v>1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0</v>
      </c>
      <c r="F57" s="20" t="str">
        <f>equipos!$G$19</f>
        <v>Colombia</v>
      </c>
      <c r="G57" s="20">
        <f>'GRUPO H'!I22</f>
        <v>2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" sqref="H4:I51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0"/>
  <dimension ref="B2:N56"/>
  <sheetViews>
    <sheetView zoomScale="115" zoomScaleNormal="115" workbookViewId="0">
      <pane ySplit="2" topLeftCell="A21" activePane="bottomLeft" state="frozenSplit"/>
      <selection activeCell="H4" sqref="H4:I51"/>
      <selection pane="bottomLeft" activeCell="I9" sqref="I9"/>
    </sheetView>
  </sheetViews>
  <sheetFormatPr baseColWidth="10" defaultRowHeight="12.75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>
      <c r="C3" s="27" t="s">
        <v>21</v>
      </c>
      <c r="D3" s="27" t="s">
        <v>22</v>
      </c>
    </row>
    <row r="4" spans="2:14">
      <c r="B4" s="77" t="str">
        <f>'GRUPO A'!K23</f>
        <v>Uruguay</v>
      </c>
      <c r="C4" s="78"/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España</v>
      </c>
      <c r="C8" s="78"/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>
      <c r="B10" s="77" t="str">
        <f>'GRUPO C'!K23</f>
        <v>Perú</v>
      </c>
      <c r="C10" s="78"/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Nigeria</v>
      </c>
      <c r="C14" s="78"/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.5" thickBot="1">
      <c r="B26" s="77" t="str">
        <f>'GRUPO H'!$K$24</f>
        <v>Japón</v>
      </c>
      <c r="C26" s="78"/>
      <c r="D26" s="86"/>
      <c r="K26" s="80"/>
      <c r="N26" s="82"/>
    </row>
    <row r="27" spans="2:14" ht="21" thickBot="1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>
      <c r="B28" s="77" t="str">
        <f>'GRUPO B'!K23</f>
        <v>Portugal</v>
      </c>
      <c r="C28" s="78"/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>
      <c r="B34" s="77" t="str">
        <f>'GRUPO D'!K23</f>
        <v>Argentina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Francia</v>
      </c>
      <c r="C38" s="78"/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Suiza</v>
      </c>
      <c r="C44" s="78"/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>
      <c r="N51" s="82"/>
    </row>
    <row r="52" spans="2:14">
      <c r="K52" s="80"/>
      <c r="N52" s="82"/>
    </row>
    <row r="53" spans="2:14" ht="23.25">
      <c r="K53" s="83">
        <v>43295</v>
      </c>
      <c r="N53" s="88" t="str">
        <f>IF(L50="","",IF(L50&gt;L56,K50,IF(L50&lt;L56,K56,IF(M50&gt;M56,K50,IF(M50&lt;M56,K56,"")))))</f>
        <v/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1:S36"/>
  <sheetViews>
    <sheetView showGridLines="0" showRowColHeaders="0" tabSelected="1" zoomScale="85" zoomScaleNormal="85" workbookViewId="0">
      <pane xSplit="20" ySplit="25" topLeftCell="U75" activePane="bottomRight" state="frozenSplit"/>
      <selection activeCell="H37" sqref="H37"/>
      <selection pane="topRight" activeCell="H37" sqref="H37"/>
      <selection pane="bottomLeft" activeCell="H37" sqref="H37"/>
      <selection pane="bottomRight" activeCell="I25" sqref="I25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43264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43264.47813703704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2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7</v>
      </c>
      <c r="P17" s="29">
        <f>'Primera Ronda'!P4</f>
        <v>1</v>
      </c>
      <c r="Q17" s="29">
        <f>'Primera Ronda'!Q4</f>
        <v>6</v>
      </c>
      <c r="R17" s="29">
        <f>'Primera Ronda'!R4</f>
        <v>9</v>
      </c>
      <c r="S17" s="30">
        <f>SUM(L17:N17)</f>
        <v>3</v>
      </c>
    </row>
    <row r="18" spans="2:19" ht="13.5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2</v>
      </c>
      <c r="K18" s="117" t="str">
        <f>'Primera Ronda'!K5</f>
        <v>Rusia</v>
      </c>
      <c r="L18" s="31">
        <f>'Primera Ronda'!L5</f>
        <v>2</v>
      </c>
      <c r="M18" s="32">
        <f>'Primera Ronda'!M5</f>
        <v>0</v>
      </c>
      <c r="N18" s="32">
        <f>'Primera Ronda'!N5</f>
        <v>1</v>
      </c>
      <c r="O18" s="32">
        <f>'Primera Ronda'!O5</f>
        <v>5</v>
      </c>
      <c r="P18" s="32">
        <f>'Primera Ronda'!P5</f>
        <v>2</v>
      </c>
      <c r="Q18" s="32">
        <f>'Primera Ronda'!Q5</f>
        <v>3</v>
      </c>
      <c r="R18" s="32">
        <f>'Primera Ronda'!R5</f>
        <v>6</v>
      </c>
      <c r="S18" s="33">
        <f>SUM(L18:N18)</f>
        <v>3</v>
      </c>
    </row>
    <row r="19" spans="2:19" ht="13.5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2</v>
      </c>
      <c r="H19" s="109" t="str">
        <f>equipos!$D$4</f>
        <v>Egipto</v>
      </c>
      <c r="I19" s="116">
        <v>0</v>
      </c>
      <c r="K19" s="117" t="str">
        <f>'Primera Ronda'!K6</f>
        <v>Arabia Saudí</v>
      </c>
      <c r="L19" s="31">
        <f>'Primera Ronda'!L6</f>
        <v>1</v>
      </c>
      <c r="M19" s="32">
        <f>'Primera Ronda'!M6</f>
        <v>0</v>
      </c>
      <c r="N19" s="32">
        <f>'Primera Ronda'!N6</f>
        <v>2</v>
      </c>
      <c r="O19" s="32">
        <f>'Primera Ronda'!O6</f>
        <v>2</v>
      </c>
      <c r="P19" s="32">
        <f>'Primera Ronda'!P6</f>
        <v>6</v>
      </c>
      <c r="Q19" s="32">
        <f>'Primera Ronda'!Q6</f>
        <v>-4</v>
      </c>
      <c r="R19" s="32">
        <f>'Primera Ronda'!R6</f>
        <v>3</v>
      </c>
      <c r="S19" s="33">
        <f>SUM(L19:N19)</f>
        <v>3</v>
      </c>
    </row>
    <row r="20" spans="2:19" ht="13.5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3</v>
      </c>
      <c r="H20" s="115" t="str">
        <f>equipos!$D$3</f>
        <v>Arabia Saudí</v>
      </c>
      <c r="I20" s="116">
        <v>0</v>
      </c>
      <c r="K20" s="125" t="str">
        <f>'Primera Ronda'!K7</f>
        <v>Egipto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6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25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2</v>
      </c>
      <c r="H21" s="109" t="str">
        <f>equipos!$D$2</f>
        <v>Rusia</v>
      </c>
      <c r="I21" s="116">
        <v>1</v>
      </c>
    </row>
    <row r="22" spans="2:19" ht="14.25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2</v>
      </c>
      <c r="H22" s="115" t="str">
        <f>equipos!$D$4</f>
        <v>Egipto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IF(S17=3,K17,"1A")</f>
        <v>Uruguay</v>
      </c>
      <c r="L23" s="153"/>
      <c r="M23" s="153"/>
      <c r="N23" s="153"/>
      <c r="P23" s="138">
        <f ca="1">HOUR(B4)</f>
        <v>11</v>
      </c>
    </row>
    <row r="24" spans="2:19" ht="12.75" customHeight="1" thickBot="1">
      <c r="K24" s="154" t="str">
        <f>IF(S18=3,K18,"2A")</f>
        <v>Rusia</v>
      </c>
      <c r="L24" s="154"/>
      <c r="M24" s="154"/>
      <c r="N24" s="154"/>
      <c r="P24" s="138">
        <f ca="1">MINUTE(B4)</f>
        <v>28</v>
      </c>
    </row>
    <row r="25" spans="2:19" ht="24.95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B1:S34"/>
  <sheetViews>
    <sheetView zoomScale="85" zoomScaleNormal="85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G19" sqref="G19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43264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43264.47813703704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2</v>
      </c>
      <c r="H17" s="109" t="str">
        <f>equipos!$D$8</f>
        <v>España</v>
      </c>
      <c r="I17" s="110">
        <v>1</v>
      </c>
      <c r="K17" s="111" t="str">
        <f>'Primera Ronda'!K11</f>
        <v>Portugal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6</v>
      </c>
      <c r="P17" s="29">
        <f>'Primera Ronda'!P11</f>
        <v>3</v>
      </c>
      <c r="Q17" s="29">
        <f>'Primera Ronda'!Q11</f>
        <v>3</v>
      </c>
      <c r="R17" s="29">
        <f>'Primera Ronda'!R11</f>
        <v>9</v>
      </c>
      <c r="S17" s="30">
        <f>'Primera Ronda'!S11</f>
        <v>3</v>
      </c>
    </row>
    <row r="18" spans="2:19" ht="13.5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1</v>
      </c>
      <c r="H18" s="115" t="str">
        <f>equipos!$D$10</f>
        <v>Irán</v>
      </c>
      <c r="I18" s="116">
        <v>1</v>
      </c>
      <c r="K18" s="117" t="str">
        <f>'Primera Ronda'!K12</f>
        <v>España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5</v>
      </c>
      <c r="P18" s="32">
        <f>'Primera Ronda'!P12</f>
        <v>3</v>
      </c>
      <c r="Q18" s="32">
        <f>'Primera Ronda'!Q12</f>
        <v>2</v>
      </c>
      <c r="R18" s="32">
        <f>'Primera Ronda'!R12</f>
        <v>6</v>
      </c>
      <c r="S18" s="33">
        <f>'Primera Ronda'!S12</f>
        <v>3</v>
      </c>
    </row>
    <row r="19" spans="2:19" ht="13.5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1</v>
      </c>
      <c r="K19" s="117" t="str">
        <f>'Primera Ronda'!K13</f>
        <v>Irán</v>
      </c>
      <c r="L19" s="31">
        <f>'Primera Ronda'!L13</f>
        <v>0</v>
      </c>
      <c r="M19" s="32">
        <f>'Primera Ronda'!M13</f>
        <v>1</v>
      </c>
      <c r="N19" s="32">
        <f>'Primera Ronda'!N13</f>
        <v>2</v>
      </c>
      <c r="O19" s="32">
        <f>'Primera Ronda'!O13</f>
        <v>3</v>
      </c>
      <c r="P19" s="32">
        <f>'Primera Ronda'!P13</f>
        <v>5</v>
      </c>
      <c r="Q19" s="32">
        <f>'Primera Ronda'!Q13</f>
        <v>-2</v>
      </c>
      <c r="R19" s="32">
        <f>'Primera Ronda'!R13</f>
        <v>1</v>
      </c>
      <c r="S19" s="33">
        <f>'Primera Ronda'!S13</f>
        <v>3</v>
      </c>
    </row>
    <row r="20" spans="2:19" ht="13.5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1</v>
      </c>
      <c r="H20" s="115" t="str">
        <f>equipos!$D$8</f>
        <v>España</v>
      </c>
      <c r="I20" s="116">
        <v>2</v>
      </c>
      <c r="K20" s="125" t="str">
        <f>'Primera Ronda'!K14</f>
        <v>Marruecos</v>
      </c>
      <c r="L20" s="34">
        <f>'Primera Ronda'!L14</f>
        <v>0</v>
      </c>
      <c r="M20" s="35">
        <f>'Primera Ronda'!M14</f>
        <v>1</v>
      </c>
      <c r="N20" s="35">
        <f>'Primera Ronda'!N14</f>
        <v>2</v>
      </c>
      <c r="O20" s="35">
        <f>'Primera Ronda'!O14</f>
        <v>2</v>
      </c>
      <c r="P20" s="35">
        <f>'Primera Ronda'!P14</f>
        <v>5</v>
      </c>
      <c r="Q20" s="35">
        <f>'Primera Ronda'!Q14</f>
        <v>-3</v>
      </c>
      <c r="R20" s="35">
        <f>'Primera Ronda'!R14</f>
        <v>1</v>
      </c>
      <c r="S20" s="36">
        <f>'Primera Ronda'!S14</f>
        <v>3</v>
      </c>
    </row>
    <row r="21" spans="2:19" ht="14.25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2</v>
      </c>
    </row>
    <row r="22" spans="2:19" ht="14.25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IF(S17=3,K17,"1B")</f>
        <v>Portugal</v>
      </c>
      <c r="L23" s="153"/>
      <c r="M23" s="153"/>
      <c r="N23" s="153"/>
      <c r="P23" s="138">
        <f ca="1">HOUR(B4)</f>
        <v>11</v>
      </c>
    </row>
    <row r="24" spans="2:19" ht="13.5" thickBot="1">
      <c r="K24" s="154" t="str">
        <f>IF(S18=3,K18,"2B")</f>
        <v>España</v>
      </c>
      <c r="L24" s="154"/>
      <c r="M24" s="154"/>
      <c r="N24" s="154"/>
      <c r="P24" s="138">
        <f ca="1">MINUTE(B4)</f>
        <v>28</v>
      </c>
    </row>
    <row r="25" spans="2:19" ht="24.95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/>
  <dimension ref="B1:S34"/>
  <sheetViews>
    <sheetView zoomScale="85" zoomScaleNormal="85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G21" sqref="G21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43264.47813703704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2</v>
      </c>
      <c r="H17" s="109" t="str">
        <f>equipos!$D$13</f>
        <v>Australia</v>
      </c>
      <c r="I17" s="110">
        <v>1</v>
      </c>
      <c r="K17" s="111" t="str">
        <f>'Primera Ronda'!K18</f>
        <v>Perú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5</v>
      </c>
      <c r="P17" s="29">
        <f>'Primera Ronda'!P18</f>
        <v>3</v>
      </c>
      <c r="Q17" s="29">
        <f>'Primera Ronda'!Q18</f>
        <v>2</v>
      </c>
      <c r="R17" s="29">
        <f>'Primera Ronda'!R18</f>
        <v>7</v>
      </c>
      <c r="S17" s="30">
        <f>'Primera Ronda'!S18</f>
        <v>3</v>
      </c>
    </row>
    <row r="18" spans="2:19" ht="13.5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2</v>
      </c>
      <c r="H18" s="115" t="str">
        <f>equipos!$D$15</f>
        <v>Dinamarca</v>
      </c>
      <c r="I18" s="116">
        <v>1</v>
      </c>
      <c r="K18" s="117" t="str">
        <f>'Primera Ronda'!K19</f>
        <v>Francia</v>
      </c>
      <c r="L18" s="31">
        <f>'Primera Ronda'!L19</f>
        <v>1</v>
      </c>
      <c r="M18" s="32">
        <f>'Primera Ronda'!M19</f>
        <v>2</v>
      </c>
      <c r="N18" s="32">
        <f>'Primera Ronda'!N19</f>
        <v>0</v>
      </c>
      <c r="O18" s="32">
        <f>'Primera Ronda'!O19</f>
        <v>4</v>
      </c>
      <c r="P18" s="32">
        <f>'Primera Ronda'!P19</f>
        <v>3</v>
      </c>
      <c r="Q18" s="32">
        <f>'Primera Ronda'!Q19</f>
        <v>1</v>
      </c>
      <c r="R18" s="32">
        <f>'Primera Ronda'!R19</f>
        <v>5</v>
      </c>
      <c r="S18" s="33">
        <f>'Primera Ronda'!S19</f>
        <v>3</v>
      </c>
    </row>
    <row r="19" spans="2:19" ht="13.5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1</v>
      </c>
      <c r="H19" s="109" t="str">
        <f>equipos!$D$14</f>
        <v>Perú</v>
      </c>
      <c r="I19" s="116">
        <v>1</v>
      </c>
      <c r="K19" s="117" t="str">
        <f>'Primera Ronda'!K20</f>
        <v>Dinamarca</v>
      </c>
      <c r="L19" s="31">
        <f>'Primera Ronda'!L20</f>
        <v>1</v>
      </c>
      <c r="M19" s="32">
        <f>'Primera Ronda'!M20</f>
        <v>1</v>
      </c>
      <c r="N19" s="32">
        <f>'Primera Ronda'!N20</f>
        <v>1</v>
      </c>
      <c r="O19" s="32">
        <f>'Primera Ronda'!O20</f>
        <v>4</v>
      </c>
      <c r="P19" s="32">
        <f>'Primera Ronda'!P20</f>
        <v>4</v>
      </c>
      <c r="Q19" s="32">
        <f>'Primera Ronda'!Q20</f>
        <v>0</v>
      </c>
      <c r="R19" s="32">
        <f>'Primera Ronda'!R20</f>
        <v>4</v>
      </c>
      <c r="S19" s="33">
        <f>'Primera Ronda'!S20</f>
        <v>3</v>
      </c>
    </row>
    <row r="20" spans="2:19" ht="13.5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1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0</v>
      </c>
      <c r="N20" s="35">
        <f>'Primera Ronda'!N21</f>
        <v>3</v>
      </c>
      <c r="O20" s="35">
        <f>'Primera Ronda'!O21</f>
        <v>3</v>
      </c>
      <c r="P20" s="35">
        <f>'Primera Ronda'!P21</f>
        <v>6</v>
      </c>
      <c r="Q20" s="35">
        <f>'Primera Ronda'!Q21</f>
        <v>-3</v>
      </c>
      <c r="R20" s="35">
        <f>'Primera Ronda'!R21</f>
        <v>0</v>
      </c>
      <c r="S20" s="36">
        <f>'Primera Ronda'!S21</f>
        <v>3</v>
      </c>
    </row>
    <row r="21" spans="2:19" ht="14.25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1</v>
      </c>
    </row>
    <row r="22" spans="2:19" ht="14.25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IF(S17=3,K17,"1C")</f>
        <v>Perú</v>
      </c>
      <c r="L23" s="153"/>
      <c r="M23" s="153"/>
      <c r="N23" s="153"/>
      <c r="P23" s="138">
        <f ca="1">HOUR(B4)</f>
        <v>11</v>
      </c>
    </row>
    <row r="24" spans="2:19" ht="13.5" thickBot="1">
      <c r="K24" s="154" t="str">
        <f>IF(S18=3,K18,"2C")</f>
        <v>Francia</v>
      </c>
      <c r="L24" s="154"/>
      <c r="M24" s="154"/>
      <c r="N24" s="154"/>
      <c r="P24" s="138">
        <f ca="1">MINUTE(B4)</f>
        <v>28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/>
  <dimension ref="B1:S34"/>
  <sheetViews>
    <sheetView zoomScale="85" zoomScaleNormal="85" workbookViewId="0">
      <pane xSplit="20" ySplit="25" topLeftCell="X59" activePane="bottomRight" state="frozenSplit"/>
      <selection activeCell="H37" sqref="H37"/>
      <selection pane="topRight" activeCell="H37" sqref="H37"/>
      <selection pane="bottomLeft" activeCell="H37" sqref="H37"/>
      <selection pane="bottomRight" activeCell="K24" sqref="K24:N24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43264.47813703704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1</v>
      </c>
      <c r="K17" s="111" t="str">
        <f>'Primera Ronda'!K25</f>
        <v>Argentina</v>
      </c>
      <c r="L17" s="28">
        <f>'Primera Ronda'!L25</f>
        <v>2</v>
      </c>
      <c r="M17" s="29">
        <f>'Primera Ronda'!M25</f>
        <v>1</v>
      </c>
      <c r="N17" s="29">
        <f>'Primera Ronda'!N25</f>
        <v>0</v>
      </c>
      <c r="O17" s="29">
        <f>'Primera Ronda'!O25</f>
        <v>6</v>
      </c>
      <c r="P17" s="29">
        <f>'Primera Ronda'!P25</f>
        <v>4</v>
      </c>
      <c r="Q17" s="29">
        <f>'Primera Ronda'!Q25</f>
        <v>2</v>
      </c>
      <c r="R17" s="29">
        <f>'Primera Ronda'!R25</f>
        <v>7</v>
      </c>
      <c r="S17" s="30">
        <f>'Primera Ronda'!S25</f>
        <v>3</v>
      </c>
    </row>
    <row r="18" spans="2:19" ht="13.5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2</v>
      </c>
      <c r="K18" s="117" t="str">
        <f>'Primera Ronda'!K26</f>
        <v>Nigeria</v>
      </c>
      <c r="L18" s="31">
        <f>'Primera Ronda'!L26</f>
        <v>1</v>
      </c>
      <c r="M18" s="32">
        <f>'Primera Ronda'!M26</f>
        <v>2</v>
      </c>
      <c r="N18" s="32">
        <f>'Primera Ronda'!N26</f>
        <v>0</v>
      </c>
      <c r="O18" s="32">
        <f>'Primera Ronda'!O26</f>
        <v>6</v>
      </c>
      <c r="P18" s="32">
        <f>'Primera Ronda'!P26</f>
        <v>5</v>
      </c>
      <c r="Q18" s="32">
        <f>'Primera Ronda'!Q26</f>
        <v>1</v>
      </c>
      <c r="R18" s="32">
        <f>'Primera Ronda'!R26</f>
        <v>5</v>
      </c>
      <c r="S18" s="33">
        <f>'Primera Ronda'!S26</f>
        <v>3</v>
      </c>
    </row>
    <row r="19" spans="2:19" ht="13.5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2</v>
      </c>
      <c r="H19" s="109" t="str">
        <f>equipos!$D$19</f>
        <v>Croacia</v>
      </c>
      <c r="I19" s="116">
        <v>1</v>
      </c>
      <c r="K19" s="117" t="str">
        <f>'Primera Ronda'!K27</f>
        <v>Islandia</v>
      </c>
      <c r="L19" s="31">
        <f>'Primera Ronda'!L27</f>
        <v>1</v>
      </c>
      <c r="M19" s="32">
        <f>'Primera Ronda'!M27</f>
        <v>0</v>
      </c>
      <c r="N19" s="32">
        <f>'Primera Ronda'!N27</f>
        <v>2</v>
      </c>
      <c r="O19" s="32">
        <f>'Primera Ronda'!O27</f>
        <v>4</v>
      </c>
      <c r="P19" s="32">
        <f>'Primera Ronda'!P27</f>
        <v>4</v>
      </c>
      <c r="Q19" s="32">
        <f>'Primera Ronda'!Q27</f>
        <v>0</v>
      </c>
      <c r="R19" s="32">
        <f>'Primera Ronda'!R27</f>
        <v>3</v>
      </c>
      <c r="S19" s="33">
        <f>'Primera Ronda'!S27</f>
        <v>3</v>
      </c>
    </row>
    <row r="20" spans="2:19" ht="13.5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2</v>
      </c>
      <c r="H20" s="115" t="str">
        <f>equipos!$D$18</f>
        <v>Islandia</v>
      </c>
      <c r="I20" s="116">
        <v>1</v>
      </c>
      <c r="K20" s="125" t="str">
        <f>'Primera Ronda'!K28</f>
        <v>Croacia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3</v>
      </c>
      <c r="P20" s="35">
        <f>'Primera Ronda'!P28</f>
        <v>6</v>
      </c>
      <c r="Q20" s="35">
        <f>'Primera Ronda'!Q28</f>
        <v>-3</v>
      </c>
      <c r="R20" s="35">
        <f>'Primera Ronda'!R28</f>
        <v>1</v>
      </c>
      <c r="S20" s="36">
        <f>'Primera Ronda'!S28</f>
        <v>3</v>
      </c>
    </row>
    <row r="21" spans="2:19" ht="14.25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2</v>
      </c>
    </row>
    <row r="22" spans="2:19" ht="14.25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2</v>
      </c>
      <c r="H22" s="115" t="str">
        <f>equipos!$D$19</f>
        <v>Croacia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IF(S17=3,K17,"1D")</f>
        <v>Argentina</v>
      </c>
      <c r="L23" s="153"/>
      <c r="M23" s="153"/>
      <c r="N23" s="153"/>
      <c r="P23" s="138">
        <f ca="1">HOUR(B4)</f>
        <v>11</v>
      </c>
    </row>
    <row r="24" spans="2:19" ht="13.5" thickBot="1">
      <c r="K24" s="154" t="str">
        <f>IF(S18=3,K18,"2D")</f>
        <v>Nigeria</v>
      </c>
      <c r="L24" s="154"/>
      <c r="M24" s="154"/>
      <c r="N24" s="154"/>
      <c r="P24" s="138">
        <f ca="1">MINUTE(B4)</f>
        <v>28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/>
  <dimension ref="B1:S34"/>
  <sheetViews>
    <sheetView zoomScale="85" zoomScaleNormal="85" workbookViewId="0">
      <pane xSplit="20" ySplit="26" topLeftCell="U39" activePane="bottomRight" state="frozenSplit"/>
      <selection activeCell="H37" sqref="H37"/>
      <selection pane="topRight" activeCell="H37" sqref="H37"/>
      <selection pane="bottomLeft" activeCell="H37" sqref="H37"/>
      <selection pane="bottomRight" activeCell="I22" sqref="I22"/>
    </sheetView>
  </sheetViews>
  <sheetFormatPr baseColWidth="10" defaultRowHeight="12.75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43264.47813703704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2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7</v>
      </c>
      <c r="P17" s="29">
        <f>'Primera Ronda'!P32</f>
        <v>2</v>
      </c>
      <c r="Q17" s="29">
        <f>'Primera Ronda'!Q32</f>
        <v>5</v>
      </c>
      <c r="R17" s="29">
        <f>'Primera Ronda'!R32</f>
        <v>9</v>
      </c>
      <c r="S17" s="30">
        <f>'Primera Ronda'!S32</f>
        <v>3</v>
      </c>
    </row>
    <row r="18" spans="2:19" ht="13.5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1</v>
      </c>
      <c r="K18" s="117" t="str">
        <f>'Primera Ronda'!K33</f>
        <v>Suiza</v>
      </c>
      <c r="L18" s="31">
        <f>'Primera Ronda'!L33</f>
        <v>1</v>
      </c>
      <c r="M18" s="32">
        <f>'Primera Ronda'!M33</f>
        <v>1</v>
      </c>
      <c r="N18" s="32">
        <f>'Primera Ronda'!N33</f>
        <v>1</v>
      </c>
      <c r="O18" s="32">
        <f>'Primera Ronda'!O33</f>
        <v>3</v>
      </c>
      <c r="P18" s="32">
        <f>'Primera Ronda'!P33</f>
        <v>4</v>
      </c>
      <c r="Q18" s="32">
        <f>'Primera Ronda'!Q33</f>
        <v>-1</v>
      </c>
      <c r="R18" s="32">
        <f>'Primera Ronda'!R33</f>
        <v>4</v>
      </c>
      <c r="S18" s="33">
        <f>'Primera Ronda'!S33</f>
        <v>3</v>
      </c>
    </row>
    <row r="19" spans="2:19" ht="13.5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2</v>
      </c>
      <c r="H19" s="109" t="str">
        <f>equipos!$G$4</f>
        <v>Costa Rica</v>
      </c>
      <c r="I19" s="116">
        <v>1</v>
      </c>
      <c r="K19" s="117" t="str">
        <f>'Primera Ronda'!K34</f>
        <v>Costa Rica</v>
      </c>
      <c r="L19" s="31">
        <f>'Primera Ronda'!L34</f>
        <v>0</v>
      </c>
      <c r="M19" s="32">
        <f>'Primera Ronda'!M34</f>
        <v>2</v>
      </c>
      <c r="N19" s="32">
        <f>'Primera Ronda'!N34</f>
        <v>1</v>
      </c>
      <c r="O19" s="32">
        <f>'Primera Ronda'!O34</f>
        <v>3</v>
      </c>
      <c r="P19" s="32">
        <f>'Primera Ronda'!P34</f>
        <v>4</v>
      </c>
      <c r="Q19" s="32">
        <f>'Primera Ronda'!Q34</f>
        <v>-1</v>
      </c>
      <c r="R19" s="32">
        <f>'Primera Ronda'!R34</f>
        <v>2</v>
      </c>
      <c r="S19" s="33">
        <f>'Primera Ronda'!S34</f>
        <v>3</v>
      </c>
    </row>
    <row r="20" spans="2:19" ht="13.5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Serbia</v>
      </c>
      <c r="L20" s="34">
        <f>'Primera Ronda'!L35</f>
        <v>0</v>
      </c>
      <c r="M20" s="35">
        <f>'Primera Ronda'!M35</f>
        <v>1</v>
      </c>
      <c r="N20" s="35">
        <f>'Primera Ronda'!N35</f>
        <v>2</v>
      </c>
      <c r="O20" s="35">
        <f>'Primera Ronda'!O35</f>
        <v>3</v>
      </c>
      <c r="P20" s="35">
        <f>'Primera Ronda'!P35</f>
        <v>6</v>
      </c>
      <c r="Q20" s="35">
        <f>'Primera Ronda'!Q35</f>
        <v>-3</v>
      </c>
      <c r="R20" s="35">
        <f>'Primera Ronda'!R35</f>
        <v>1</v>
      </c>
      <c r="S20" s="36">
        <f>'Primera Ronda'!S35</f>
        <v>3</v>
      </c>
    </row>
    <row r="21" spans="2:19" ht="14.25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.25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IF(S17=3,K17,"1E")</f>
        <v>Brasil</v>
      </c>
      <c r="L23" s="153"/>
      <c r="M23" s="153"/>
      <c r="N23" s="153"/>
      <c r="P23" s="138">
        <f ca="1">HOUR(B4)</f>
        <v>11</v>
      </c>
    </row>
    <row r="24" spans="2:19" ht="13.5" thickBot="1">
      <c r="K24" s="154" t="str">
        <f>IF(S18=3,K18,"2E")</f>
        <v>Suiza</v>
      </c>
      <c r="L24" s="154"/>
      <c r="M24" s="154"/>
      <c r="N24" s="154"/>
      <c r="P24" s="138">
        <f ca="1">MINUTE(B4)</f>
        <v>28</v>
      </c>
    </row>
    <row r="29" spans="2:19" ht="35.1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/>
  <dimension ref="B1:S34"/>
  <sheetViews>
    <sheetView zoomScale="70" zoomScaleNormal="70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N32" sqref="N32"/>
    </sheetView>
  </sheetViews>
  <sheetFormatPr baseColWidth="10" defaultRowHeight="12.75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43264.47813703704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1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6</v>
      </c>
      <c r="P17" s="29">
        <f>'Primera Ronda'!P39</f>
        <v>3</v>
      </c>
      <c r="Q17" s="29">
        <f>'Primera Ronda'!Q39</f>
        <v>3</v>
      </c>
      <c r="R17" s="29">
        <f>'Primera Ronda'!R39</f>
        <v>9</v>
      </c>
      <c r="S17" s="30">
        <f>'Primera Ronda'!S39</f>
        <v>3</v>
      </c>
    </row>
    <row r="18" spans="2:19" ht="13.5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1</v>
      </c>
      <c r="H18" s="115" t="str">
        <f>equipos!$G$10</f>
        <v>Corea</v>
      </c>
      <c r="I18" s="116">
        <v>2</v>
      </c>
      <c r="K18" s="117" t="str">
        <f>'Primera Ronda'!K40</f>
        <v>México</v>
      </c>
      <c r="L18" s="31">
        <f>'Primera Ronda'!L40</f>
        <v>2</v>
      </c>
      <c r="M18" s="32">
        <f>'Primera Ronda'!M40</f>
        <v>0</v>
      </c>
      <c r="N18" s="32">
        <f>'Primera Ronda'!N40</f>
        <v>1</v>
      </c>
      <c r="O18" s="32">
        <f>'Primera Ronda'!O40</f>
        <v>6</v>
      </c>
      <c r="P18" s="32">
        <f>'Primera Ronda'!P40</f>
        <v>5</v>
      </c>
      <c r="Q18" s="32">
        <f>'Primera Ronda'!Q40</f>
        <v>1</v>
      </c>
      <c r="R18" s="32">
        <f>'Primera Ronda'!R40</f>
        <v>6</v>
      </c>
      <c r="S18" s="33">
        <f>'Primera Ronda'!S40</f>
        <v>3</v>
      </c>
    </row>
    <row r="19" spans="2:19" ht="13.5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2</v>
      </c>
      <c r="H19" s="109" t="str">
        <f>equipos!$G$9</f>
        <v>Suecia</v>
      </c>
      <c r="I19" s="116">
        <v>1</v>
      </c>
      <c r="K19" s="117" t="str">
        <f>'Primera Ronda'!K41</f>
        <v>Corea</v>
      </c>
      <c r="L19" s="31">
        <f>'Primera Ronda'!L41</f>
        <v>1</v>
      </c>
      <c r="M19" s="32">
        <f>'Primera Ronda'!M41</f>
        <v>0</v>
      </c>
      <c r="N19" s="32">
        <f>'Primera Ronda'!N41</f>
        <v>2</v>
      </c>
      <c r="O19" s="32">
        <f>'Primera Ronda'!O41</f>
        <v>4</v>
      </c>
      <c r="P19" s="32">
        <f>'Primera Ronda'!P41</f>
        <v>5</v>
      </c>
      <c r="Q19" s="32">
        <f>'Primera Ronda'!Q41</f>
        <v>-1</v>
      </c>
      <c r="R19" s="32">
        <f>'Primera Ronda'!R41</f>
        <v>3</v>
      </c>
      <c r="S19" s="33">
        <f>'Primera Ronda'!S41</f>
        <v>3</v>
      </c>
    </row>
    <row r="20" spans="2:19" ht="13.5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2</v>
      </c>
      <c r="K20" s="125" t="str">
        <f>'Primera Ronda'!K42</f>
        <v>Suecia</v>
      </c>
      <c r="L20" s="34">
        <f>'Primera Ronda'!L42</f>
        <v>0</v>
      </c>
      <c r="M20" s="35">
        <f>'Primera Ronda'!M42</f>
        <v>0</v>
      </c>
      <c r="N20" s="35">
        <f>'Primera Ronda'!N42</f>
        <v>3</v>
      </c>
      <c r="O20" s="35">
        <f>'Primera Ronda'!O42</f>
        <v>4</v>
      </c>
      <c r="P20" s="35">
        <f>'Primera Ronda'!P42</f>
        <v>7</v>
      </c>
      <c r="Q20" s="35">
        <f>'Primera Ronda'!Q42</f>
        <v>-3</v>
      </c>
      <c r="R20" s="35">
        <f>'Primera Ronda'!R42</f>
        <v>0</v>
      </c>
      <c r="S20" s="36">
        <f>'Primera Ronda'!S42</f>
        <v>3</v>
      </c>
    </row>
    <row r="21" spans="2:19" ht="14.25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1</v>
      </c>
      <c r="H21" s="109" t="str">
        <f>equipos!$G$7</f>
        <v>Alemania</v>
      </c>
      <c r="I21" s="116">
        <v>2</v>
      </c>
    </row>
    <row r="22" spans="2:19" ht="14.25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3</v>
      </c>
      <c r="H22" s="115" t="str">
        <f>equipos!$G$9</f>
        <v>Suecia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3" t="str">
        <f>IF(S17=3,K17,"1F")</f>
        <v>Alemania</v>
      </c>
      <c r="L23" s="153"/>
      <c r="M23" s="153"/>
      <c r="N23" s="153"/>
      <c r="P23" s="138">
        <f ca="1">HOUR(B4)</f>
        <v>11</v>
      </c>
    </row>
    <row r="24" spans="2:19" ht="13.5" thickBot="1">
      <c r="K24" s="154" t="str">
        <f>IF(S18=3,K18,"2F")</f>
        <v>México</v>
      </c>
      <c r="L24" s="154"/>
      <c r="M24" s="154"/>
      <c r="N24" s="154"/>
      <c r="P24" s="138">
        <f ca="1">MINUTE(B4)</f>
        <v>28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/>
  <dimension ref="B1:S34"/>
  <sheetViews>
    <sheetView zoomScale="70" zoomScaleNormal="70" workbookViewId="0">
      <pane xSplit="20" ySplit="25" topLeftCell="U35" activePane="bottomRight" state="frozenSplit"/>
      <selection activeCell="H37" sqref="H37"/>
      <selection pane="topRight" activeCell="H37" sqref="H37"/>
      <selection pane="bottomLeft" activeCell="H37" sqref="H37"/>
      <selection pane="bottomRight" activeCell="T23" sqref="T23"/>
    </sheetView>
  </sheetViews>
  <sheetFormatPr baseColWidth="10" defaultRowHeight="12.75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43264.478136574071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2</v>
      </c>
      <c r="H17" s="109" t="str">
        <f>equipos!$G$13</f>
        <v>Panamá</v>
      </c>
      <c r="I17" s="110">
        <v>1</v>
      </c>
      <c r="K17" s="111" t="str">
        <f>'Primera Ronda'!K46</f>
        <v>Inglaterra</v>
      </c>
      <c r="L17" s="28">
        <f>'Primera Ronda'!L46</f>
        <v>3</v>
      </c>
      <c r="M17" s="29">
        <f>'Primera Ronda'!M46</f>
        <v>0</v>
      </c>
      <c r="N17" s="29">
        <f>'Primera Ronda'!N46</f>
        <v>0</v>
      </c>
      <c r="O17" s="29">
        <f>'Primera Ronda'!O46</f>
        <v>8</v>
      </c>
      <c r="P17" s="29">
        <f>'Primera Ronda'!P46</f>
        <v>2</v>
      </c>
      <c r="Q17" s="29">
        <f>'Primera Ronda'!Q46</f>
        <v>6</v>
      </c>
      <c r="R17" s="29">
        <f>'Primera Ronda'!R46</f>
        <v>9</v>
      </c>
      <c r="S17" s="30">
        <f>'Primera Ronda'!S46</f>
        <v>3</v>
      </c>
    </row>
    <row r="18" spans="2:19" ht="13.5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0</v>
      </c>
      <c r="H18" s="115" t="str">
        <f>equipos!$G$15</f>
        <v>Inglaterra</v>
      </c>
      <c r="I18" s="116">
        <v>3</v>
      </c>
      <c r="K18" s="117" t="str">
        <f>'Primera Ronda'!K47</f>
        <v>Bélgica</v>
      </c>
      <c r="L18" s="31">
        <f>'Primera Ronda'!L47</f>
        <v>2</v>
      </c>
      <c r="M18" s="32">
        <f>'Primera Ronda'!M47</f>
        <v>0</v>
      </c>
      <c r="N18" s="32">
        <f>'Primera Ronda'!N47</f>
        <v>1</v>
      </c>
      <c r="O18" s="32">
        <f>'Primera Ronda'!O47</f>
        <v>6</v>
      </c>
      <c r="P18" s="32">
        <f>'Primera Ronda'!P47</f>
        <v>5</v>
      </c>
      <c r="Q18" s="32">
        <f>'Primera Ronda'!Q47</f>
        <v>1</v>
      </c>
      <c r="R18" s="32">
        <f>'Primera Ronda'!R47</f>
        <v>6</v>
      </c>
      <c r="S18" s="33">
        <f>'Primera Ronda'!S47</f>
        <v>3</v>
      </c>
    </row>
    <row r="19" spans="2:19" ht="13.5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1</v>
      </c>
      <c r="K19" s="117" t="str">
        <f>'Primera Ronda'!K48</f>
        <v>Panamá</v>
      </c>
      <c r="L19" s="31">
        <f>'Primera Ronda'!L48</f>
        <v>0</v>
      </c>
      <c r="M19" s="32">
        <f>'Primera Ronda'!M48</f>
        <v>1</v>
      </c>
      <c r="N19" s="32">
        <f>'Primera Ronda'!N48</f>
        <v>2</v>
      </c>
      <c r="O19" s="32">
        <f>'Primera Ronda'!O48</f>
        <v>1</v>
      </c>
      <c r="P19" s="32">
        <f>'Primera Ronda'!P48</f>
        <v>4</v>
      </c>
      <c r="Q19" s="32">
        <f>'Primera Ronda'!Q48</f>
        <v>-3</v>
      </c>
      <c r="R19" s="32">
        <f>'Primera Ronda'!R48</f>
        <v>1</v>
      </c>
      <c r="S19" s="33">
        <f>'Primera Ronda'!S48</f>
        <v>3</v>
      </c>
    </row>
    <row r="20" spans="2:19" ht="13.5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2</v>
      </c>
      <c r="H20" s="115" t="str">
        <f>equipos!$G$13</f>
        <v>Panamá</v>
      </c>
      <c r="I20" s="116">
        <v>0</v>
      </c>
      <c r="K20" s="125" t="str">
        <f>'Primera Ronda'!K49</f>
        <v>Túnez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1</v>
      </c>
      <c r="P20" s="35">
        <f>'Primera Ronda'!P49</f>
        <v>5</v>
      </c>
      <c r="Q20" s="35">
        <f>'Primera Ronda'!Q49</f>
        <v>-4</v>
      </c>
      <c r="R20" s="35">
        <f>'Primera Ronda'!R49</f>
        <v>1</v>
      </c>
      <c r="S20" s="36">
        <f>'Primera Ronda'!S49</f>
        <v>3</v>
      </c>
    </row>
    <row r="21" spans="2:19" ht="14.25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3</v>
      </c>
      <c r="H21" s="109" t="str">
        <f>equipos!$G$12</f>
        <v>Bélgica</v>
      </c>
      <c r="I21" s="116">
        <v>2</v>
      </c>
    </row>
    <row r="22" spans="2:19" ht="14.25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0</v>
      </c>
      <c r="H22" s="115" t="str">
        <f>equipos!$G$14</f>
        <v>Túnez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9" t="str">
        <f>IF(S17=3,K17,"1G")</f>
        <v>Inglaterra</v>
      </c>
      <c r="L23" s="159"/>
      <c r="M23" s="159"/>
      <c r="N23" s="159"/>
      <c r="P23" s="138">
        <f ca="1">HOUR(B4)</f>
        <v>11</v>
      </c>
    </row>
    <row r="24" spans="2:19" ht="13.5" thickBot="1">
      <c r="K24" s="158" t="str">
        <f>IF(S18=3,K18,"2G")</f>
        <v>Bélgica</v>
      </c>
      <c r="L24" s="158"/>
      <c r="M24" s="158"/>
      <c r="N24" s="158"/>
      <c r="P24" s="138">
        <f ca="1">MINUTE(B4)</f>
        <v>28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8"/>
  <dimension ref="B1:S34"/>
  <sheetViews>
    <sheetView zoomScale="85" zoomScaleNormal="8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D7" sqref="D7"/>
    </sheetView>
  </sheetViews>
  <sheetFormatPr baseColWidth="10" defaultRowHeight="12.75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43264.478136574071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2</v>
      </c>
      <c r="M17" s="29">
        <f>'Primera Ronda'!M53</f>
        <v>1</v>
      </c>
      <c r="N17" s="29">
        <f>'Primera Ronda'!N53</f>
        <v>0</v>
      </c>
      <c r="O17" s="29">
        <f>'Primera Ronda'!O53</f>
        <v>6</v>
      </c>
      <c r="P17" s="29">
        <f>'Primera Ronda'!P53</f>
        <v>3</v>
      </c>
      <c r="Q17" s="29">
        <f>'Primera Ronda'!Q53</f>
        <v>3</v>
      </c>
      <c r="R17" s="29">
        <f>'Primera Ronda'!R53</f>
        <v>7</v>
      </c>
      <c r="S17" s="30">
        <f>'Primera Ronda'!S53</f>
        <v>3</v>
      </c>
    </row>
    <row r="18" spans="2:19" ht="13.5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2</v>
      </c>
      <c r="K18" s="117" t="str">
        <f>'Primera Ronda'!K54</f>
        <v>Japón</v>
      </c>
      <c r="L18" s="31">
        <f>'Primera Ronda'!L54</f>
        <v>2</v>
      </c>
      <c r="M18" s="32">
        <f>'Primera Ronda'!M54</f>
        <v>1</v>
      </c>
      <c r="N18" s="32">
        <f>'Primera Ronda'!N54</f>
        <v>0</v>
      </c>
      <c r="O18" s="32">
        <f>'Primera Ronda'!O54</f>
        <v>5</v>
      </c>
      <c r="P18" s="32">
        <f>'Primera Ronda'!P54</f>
        <v>3</v>
      </c>
      <c r="Q18" s="32">
        <f>'Primera Ronda'!Q54</f>
        <v>2</v>
      </c>
      <c r="R18" s="32">
        <f>'Primera Ronda'!R54</f>
        <v>7</v>
      </c>
      <c r="S18" s="33">
        <f>'Primera Ronda'!S54</f>
        <v>3</v>
      </c>
    </row>
    <row r="19" spans="2:19" ht="13.5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2</v>
      </c>
      <c r="K19" s="117" t="str">
        <f>'Primera Ronda'!K55</f>
        <v>Polonia</v>
      </c>
      <c r="L19" s="31">
        <f>'Primera Ronda'!L55</f>
        <v>1</v>
      </c>
      <c r="M19" s="32">
        <f>'Primera Ronda'!M55</f>
        <v>0</v>
      </c>
      <c r="N19" s="32">
        <f>'Primera Ronda'!N55</f>
        <v>2</v>
      </c>
      <c r="O19" s="32">
        <f>'Primera Ronda'!O55</f>
        <v>3</v>
      </c>
      <c r="P19" s="32">
        <f>'Primera Ronda'!P55</f>
        <v>4</v>
      </c>
      <c r="Q19" s="32">
        <f>'Primera Ronda'!Q55</f>
        <v>-1</v>
      </c>
      <c r="R19" s="32">
        <f>'Primera Ronda'!R55</f>
        <v>3</v>
      </c>
      <c r="S19" s="33">
        <f>'Primera Ronda'!S55</f>
        <v>3</v>
      </c>
    </row>
    <row r="20" spans="2:19" ht="13.5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2</v>
      </c>
      <c r="H20" s="115" t="str">
        <f>equipos!$G$18</f>
        <v>Senegal</v>
      </c>
      <c r="I20" s="116">
        <v>1</v>
      </c>
      <c r="K20" s="125" t="str">
        <f>'Primera Ronda'!K56</f>
        <v>Senegal</v>
      </c>
      <c r="L20" s="34">
        <f>'Primera Ronda'!L56</f>
        <v>0</v>
      </c>
      <c r="M20" s="35">
        <f>'Primera Ronda'!M56</f>
        <v>0</v>
      </c>
      <c r="N20" s="35">
        <f>'Primera Ronda'!N56</f>
        <v>3</v>
      </c>
      <c r="O20" s="35">
        <f>'Primera Ronda'!O56</f>
        <v>2</v>
      </c>
      <c r="P20" s="35">
        <f>'Primera Ronda'!P56</f>
        <v>6</v>
      </c>
      <c r="Q20" s="35">
        <f>'Primera Ronda'!Q56</f>
        <v>-4</v>
      </c>
      <c r="R20" s="35">
        <f>'Primera Ronda'!R56</f>
        <v>0</v>
      </c>
      <c r="S20" s="36">
        <f>'Primera Ronda'!S56</f>
        <v>3</v>
      </c>
    </row>
    <row r="21" spans="2:19" ht="14.25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0</v>
      </c>
    </row>
    <row r="22" spans="2:19" ht="14.25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0</v>
      </c>
      <c r="H22" s="115" t="str">
        <f>equipos!$G$19</f>
        <v>Colombia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0.4777777777777778</v>
      </c>
    </row>
    <row r="23" spans="2:19" ht="13.5" thickTop="1">
      <c r="K23" s="159" t="str">
        <f>IF(S17=3,K17,"1H")</f>
        <v>Colombia</v>
      </c>
      <c r="L23" s="159"/>
      <c r="M23" s="159"/>
      <c r="N23" s="159"/>
      <c r="P23" s="138">
        <f ca="1">HOUR(B4)</f>
        <v>11</v>
      </c>
    </row>
    <row r="24" spans="2:19" ht="13.5" thickBot="1">
      <c r="K24" s="158" t="str">
        <f>IF(S18=3,K18,"2H")</f>
        <v>Japón</v>
      </c>
      <c r="L24" s="158"/>
      <c r="M24" s="158"/>
      <c r="N24" s="158"/>
      <c r="P24" s="138">
        <f ca="1">MINUTE(B4)</f>
        <v>28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cfigari</cp:lastModifiedBy>
  <cp:lastPrinted>2014-05-13T16:49:18Z</cp:lastPrinted>
  <dcterms:created xsi:type="dcterms:W3CDTF">2010-06-17T02:38:21Z</dcterms:created>
  <dcterms:modified xsi:type="dcterms:W3CDTF">2018-06-13T14:28:31Z</dcterms:modified>
</cp:coreProperties>
</file>