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lockStructure="1"/>
  <bookViews>
    <workbookView xWindow="0" yWindow="240" windowWidth="15390" windowHeight="7650" tabRatio="891" activeTab="8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45621"/>
</workbook>
</file>

<file path=xl/calcChain.xml><?xml version="1.0" encoding="utf-8"?>
<calcChain xmlns="http://schemas.openxmlformats.org/spreadsheetml/2006/main">
  <c r="F17" i="8" l="1"/>
  <c r="H15" i="9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G19" i="14"/>
  <c r="J19" i="14"/>
  <c r="A20" i="14"/>
  <c r="E20" i="14"/>
  <c r="G20" i="14"/>
  <c r="J20" i="14"/>
  <c r="A21" i="14"/>
  <c r="D21" i="14"/>
  <c r="E21" i="14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B26" i="14" s="1"/>
  <c r="J26" i="14"/>
  <c r="A27" i="14"/>
  <c r="D27" i="14"/>
  <c r="E27" i="14"/>
  <c r="F27" i="14"/>
  <c r="G27" i="14"/>
  <c r="J27" i="14"/>
  <c r="A28" i="14"/>
  <c r="D28" i="14"/>
  <c r="E28" i="14"/>
  <c r="F28" i="14"/>
  <c r="G28" i="14"/>
  <c r="B28" i="14" s="1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F49" i="14"/>
  <c r="G49" i="14"/>
  <c r="J49" i="14"/>
  <c r="A50" i="14"/>
  <c r="D50" i="14"/>
  <c r="E50" i="14"/>
  <c r="F50" i="14"/>
  <c r="G50" i="14"/>
  <c r="J50" i="14"/>
  <c r="A52" i="14"/>
  <c r="E52" i="14"/>
  <c r="G52" i="14"/>
  <c r="J52" i="14"/>
  <c r="A53" i="14"/>
  <c r="E53" i="14"/>
  <c r="G53" i="14"/>
  <c r="I53" i="14" s="1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M10" i="9"/>
  <c r="M16" i="2" s="1"/>
  <c r="N10" i="9"/>
  <c r="O10" i="9"/>
  <c r="O16" i="2"/>
  <c r="P10" i="9"/>
  <c r="P16" i="2" s="1"/>
  <c r="Q10" i="9"/>
  <c r="Q16" i="2"/>
  <c r="R10" i="9"/>
  <c r="R16" i="2" s="1"/>
  <c r="K17" i="9"/>
  <c r="K16" i="3" s="1"/>
  <c r="L17" i="9"/>
  <c r="M17" i="9"/>
  <c r="N17" i="9"/>
  <c r="O17" i="9"/>
  <c r="O16" i="3" s="1"/>
  <c r="P17" i="9"/>
  <c r="Q17" i="9"/>
  <c r="R17" i="9"/>
  <c r="K24" i="9"/>
  <c r="L24" i="9"/>
  <c r="L16" i="4"/>
  <c r="M24" i="9"/>
  <c r="M16" i="4" s="1"/>
  <c r="N24" i="9"/>
  <c r="N16" i="4"/>
  <c r="O24" i="9"/>
  <c r="O16" i="4" s="1"/>
  <c r="P24" i="9"/>
  <c r="P16" i="4" s="1"/>
  <c r="Q24" i="9"/>
  <c r="Q16" i="4"/>
  <c r="R24" i="9"/>
  <c r="R16" i="4" s="1"/>
  <c r="K31" i="9"/>
  <c r="L31" i="9"/>
  <c r="L16" i="5" s="1"/>
  <c r="M31" i="9"/>
  <c r="N31" i="9"/>
  <c r="O31" i="9"/>
  <c r="P31" i="9"/>
  <c r="P16" i="5" s="1"/>
  <c r="Q31" i="9"/>
  <c r="R31" i="9"/>
  <c r="K38" i="9"/>
  <c r="L38" i="9"/>
  <c r="L16" i="6" s="1"/>
  <c r="M38" i="9"/>
  <c r="M16" i="6"/>
  <c r="N38" i="9"/>
  <c r="N16" i="6" s="1"/>
  <c r="O38" i="9"/>
  <c r="P38" i="9"/>
  <c r="P16" i="6"/>
  <c r="Q38" i="9"/>
  <c r="Q16" i="6" s="1"/>
  <c r="R38" i="9"/>
  <c r="R16" i="6"/>
  <c r="K45" i="9"/>
  <c r="K16" i="7" s="1"/>
  <c r="L45" i="9"/>
  <c r="M45" i="9"/>
  <c r="N45" i="9"/>
  <c r="O45" i="9"/>
  <c r="O16" i="7" s="1"/>
  <c r="P45" i="9"/>
  <c r="Q45" i="9"/>
  <c r="R45" i="9"/>
  <c r="K52" i="9"/>
  <c r="K16" i="8" s="1"/>
  <c r="L52" i="9"/>
  <c r="L16" i="8"/>
  <c r="M52" i="9"/>
  <c r="M16" i="8" s="1"/>
  <c r="N52" i="9"/>
  <c r="N16" i="8" s="1"/>
  <c r="O52" i="9"/>
  <c r="P52" i="9"/>
  <c r="P16" i="8" s="1"/>
  <c r="Q52" i="9"/>
  <c r="R52" i="9"/>
  <c r="R16" i="8"/>
  <c r="P23" i="8"/>
  <c r="O16" i="8"/>
  <c r="Q16" i="8"/>
  <c r="S16" i="8"/>
  <c r="H21" i="8"/>
  <c r="H57" i="9" s="1"/>
  <c r="F22" i="8"/>
  <c r="F58" i="9" s="1"/>
  <c r="H22" i="8"/>
  <c r="H58" i="9" s="1"/>
  <c r="L16" i="7"/>
  <c r="M16" i="7"/>
  <c r="N16" i="7"/>
  <c r="P16" i="7"/>
  <c r="Q16" i="7"/>
  <c r="R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K16" i="6"/>
  <c r="O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M16" i="5"/>
  <c r="N16" i="5"/>
  <c r="O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L16" i="3"/>
  <c r="M16" i="3"/>
  <c r="N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L16" i="2"/>
  <c r="N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C15" i="14"/>
  <c r="H50" i="14"/>
  <c r="B47" i="14" l="1"/>
  <c r="C42" i="14"/>
  <c r="C33" i="14"/>
  <c r="C29" i="14"/>
  <c r="B27" i="14"/>
  <c r="H21" i="14"/>
  <c r="B19" i="14"/>
  <c r="H15" i="14"/>
  <c r="H14" i="14"/>
  <c r="B21" i="14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O27" i="14" s="1"/>
  <c r="N31" i="12" s="1"/>
  <c r="M25" i="14"/>
  <c r="O20" i="14"/>
  <c r="N24" i="12" s="1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N55" i="14" s="1"/>
  <c r="L59" i="12" s="1"/>
  <c r="C52" i="14"/>
  <c r="C53" i="14"/>
  <c r="I48" i="14"/>
  <c r="B45" i="14"/>
  <c r="O45" i="14" s="1"/>
  <c r="N49" i="12" s="1"/>
  <c r="I50" i="14"/>
  <c r="B46" i="14"/>
  <c r="C46" i="14"/>
  <c r="C45" i="14"/>
  <c r="H46" i="14"/>
  <c r="H45" i="14"/>
  <c r="C39" i="14"/>
  <c r="C38" i="14"/>
  <c r="H38" i="14"/>
  <c r="N39" i="14" s="1"/>
  <c r="L43" i="12" s="1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O24" i="14" s="1"/>
  <c r="N28" i="12" s="1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N20" i="14" l="1"/>
  <c r="L24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P20" i="14"/>
  <c r="M24" i="12" s="1"/>
  <c r="R24" i="12" s="1"/>
  <c r="W24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P55" i="14"/>
  <c r="M59" i="12" s="1"/>
  <c r="R59" i="12" s="1"/>
  <c r="W59" i="12" s="1"/>
  <c r="P53" i="14"/>
  <c r="M57" i="12" s="1"/>
  <c r="R57" i="12" s="1"/>
  <c r="W57" i="12" s="1"/>
  <c r="Q58" i="12"/>
  <c r="O46" i="14"/>
  <c r="N50" i="12" s="1"/>
  <c r="Q49" i="12"/>
  <c r="P45" i="14"/>
  <c r="M49" i="12" s="1"/>
  <c r="R49" i="12" s="1"/>
  <c r="Q51" i="12"/>
  <c r="O38" i="14"/>
  <c r="N42" i="12" s="1"/>
  <c r="O32" i="14"/>
  <c r="N36" i="12" s="1"/>
  <c r="P31" i="14"/>
  <c r="M35" i="12" s="1"/>
  <c r="P33" i="14"/>
  <c r="M37" i="12" s="1"/>
  <c r="Q38" i="12"/>
  <c r="Q22" i="12"/>
  <c r="Q24" i="12"/>
  <c r="O10" i="14"/>
  <c r="N14" i="12" s="1"/>
  <c r="N13" i="14"/>
  <c r="L17" i="12" s="1"/>
  <c r="N12" i="14"/>
  <c r="L16" i="12" s="1"/>
  <c r="N4" i="14"/>
  <c r="N5" i="14"/>
  <c r="Q15" i="12"/>
  <c r="P22" i="5"/>
  <c r="P22" i="3"/>
  <c r="P22" i="1"/>
  <c r="E19" i="1" s="1"/>
  <c r="E6" i="9" s="1"/>
  <c r="P18" i="14" l="1"/>
  <c r="M22" i="12" s="1"/>
  <c r="P4" i="14"/>
  <c r="M8" i="12" s="1"/>
  <c r="P5" i="14"/>
  <c r="M9" i="12" s="1"/>
  <c r="P17" i="14"/>
  <c r="M21" i="12" s="1"/>
  <c r="P27" i="14"/>
  <c r="M31" i="12" s="1"/>
  <c r="P34" i="14"/>
  <c r="M38" i="12" s="1"/>
  <c r="P40" i="14"/>
  <c r="M44" i="12" s="1"/>
  <c r="P47" i="14"/>
  <c r="M51" i="12" s="1"/>
  <c r="R51" i="12" s="1"/>
  <c r="W51" i="12" s="1"/>
  <c r="P25" i="14"/>
  <c r="M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P26" i="14"/>
  <c r="M30" i="12" s="1"/>
  <c r="R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R16" i="12" s="1"/>
  <c r="W16" i="12" s="1"/>
  <c r="E53" i="9"/>
  <c r="P13" i="14"/>
  <c r="M17" i="12" s="1"/>
  <c r="R17" i="12" s="1"/>
  <c r="W17" i="12" s="1"/>
  <c r="P32" i="14"/>
  <c r="M36" i="12" s="1"/>
  <c r="R36" i="12" s="1"/>
  <c r="W36" i="12" s="1"/>
  <c r="E20" i="1"/>
  <c r="E7" i="9" s="1"/>
  <c r="E17" i="1"/>
  <c r="E4" i="9" s="1"/>
  <c r="S58" i="12"/>
  <c r="S59" i="12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R8" i="12" s="1"/>
  <c r="W8" i="12" s="1"/>
  <c r="P46" i="14"/>
  <c r="M50" i="12" s="1"/>
  <c r="R50" i="12" s="1"/>
  <c r="W50" i="12" s="1"/>
  <c r="P38" i="14"/>
  <c r="M42" i="12" s="1"/>
  <c r="R42" i="12" s="1"/>
  <c r="W42" i="12" s="1"/>
  <c r="W56" i="12"/>
  <c r="W49" i="12"/>
  <c r="R44" i="12"/>
  <c r="R37" i="12"/>
  <c r="R38" i="12"/>
  <c r="W38" i="12" s="1"/>
  <c r="R35" i="12"/>
  <c r="W30" i="12"/>
  <c r="R31" i="12"/>
  <c r="R29" i="12"/>
  <c r="S29" i="12" s="1"/>
  <c r="R21" i="12"/>
  <c r="W21" i="12" s="1"/>
  <c r="R22" i="12"/>
  <c r="W22" i="12" s="1"/>
  <c r="S44" i="12" l="1"/>
  <c r="R9" i="12"/>
  <c r="W9" i="12" s="1"/>
  <c r="T59" i="12"/>
  <c r="U59" i="12" s="1"/>
  <c r="X57" i="12"/>
  <c r="S56" i="12"/>
  <c r="T58" i="12"/>
  <c r="U58" i="12" s="1"/>
  <c r="S57" i="12"/>
  <c r="T56" i="12"/>
  <c r="T57" i="12"/>
  <c r="R7" i="12"/>
  <c r="W7" i="12" s="1"/>
  <c r="X8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U44" i="12" s="1"/>
  <c r="S43" i="12"/>
  <c r="S42" i="12"/>
  <c r="T43" i="12"/>
  <c r="T42" i="12"/>
  <c r="W45" i="12"/>
  <c r="T45" i="12"/>
  <c r="U45" i="12" s="1"/>
  <c r="W35" i="12"/>
  <c r="T37" i="12"/>
  <c r="T38" i="12"/>
  <c r="T36" i="12"/>
  <c r="T35" i="12"/>
  <c r="T29" i="12"/>
  <c r="U29" i="12" s="1"/>
  <c r="W29" i="12"/>
  <c r="T31" i="12"/>
  <c r="W31" i="12"/>
  <c r="T30" i="12"/>
  <c r="U30" i="12" s="1"/>
  <c r="T28" i="12"/>
  <c r="X24" i="12"/>
  <c r="X21" i="12"/>
  <c r="W14" i="12"/>
  <c r="X16" i="12" s="1"/>
  <c r="T15" i="12"/>
  <c r="T14" i="12"/>
  <c r="U14" i="12" s="1"/>
  <c r="T17" i="12"/>
  <c r="T16" i="12"/>
  <c r="T10" i="12" l="1"/>
  <c r="U57" i="12"/>
  <c r="U15" i="12"/>
  <c r="U28" i="12"/>
  <c r="X30" i="12"/>
  <c r="U56" i="12"/>
  <c r="V57" i="12" s="1"/>
  <c r="U38" i="12"/>
  <c r="X38" i="12"/>
  <c r="U16" i="12"/>
  <c r="V56" i="12"/>
  <c r="U35" i="12"/>
  <c r="U31" i="12"/>
  <c r="V31" i="12" s="1"/>
  <c r="U24" i="12"/>
  <c r="U17" i="12"/>
  <c r="S10" i="12"/>
  <c r="S9" i="12"/>
  <c r="S7" i="12"/>
  <c r="X10" i="12"/>
  <c r="T9" i="12"/>
  <c r="X7" i="12"/>
  <c r="X9" i="12"/>
  <c r="T7" i="12"/>
  <c r="T8" i="12"/>
  <c r="S8" i="12"/>
  <c r="U49" i="12"/>
  <c r="U36" i="12"/>
  <c r="U37" i="12"/>
  <c r="U23" i="12"/>
  <c r="U22" i="12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V30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X14" i="12"/>
  <c r="X15" i="12"/>
  <c r="X17" i="12"/>
  <c r="V59" i="12" l="1"/>
  <c r="V58" i="12"/>
  <c r="V21" i="12"/>
  <c r="V14" i="12"/>
  <c r="U10" i="12"/>
  <c r="V17" i="12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V10" i="12" l="1"/>
  <c r="K24" i="8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K23" i="4" s="1"/>
  <c r="S5" i="9"/>
  <c r="B26" i="10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4" i="6" l="1"/>
  <c r="B20" i="10" s="1"/>
  <c r="B46" i="10"/>
  <c r="B22" i="10"/>
  <c r="K23" i="5"/>
  <c r="B16" i="10" s="1"/>
  <c r="K24" i="2"/>
  <c r="B8" i="10" s="1"/>
  <c r="B38" i="10"/>
  <c r="B32" i="10"/>
  <c r="B34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K15" i="10" s="1"/>
  <c r="N27" i="10" s="1"/>
  <c r="E42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<sst xmlns="http://schemas.openxmlformats.org/spreadsheetml/2006/main" count="495" uniqueCount="164">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</sst>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 x14ac:knownFonts="1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11</xdr:row>
      <xdr:rowOff>161482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zoomScale="145" zoomScaleNormal="145" workbookViewId="0">
      <pane xSplit="14" ySplit="33" topLeftCell="Y49" activePane="bottomRight" state="frozenSplit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baseColWidth="10" defaultRowHeight="12.75" x14ac:dyDescent="0.2"/>
  <cols>
    <col min="1" max="13" width="11.42578125" style="91"/>
    <col min="14" max="14" width="20.7109375" style="91" customWidth="1"/>
    <col min="15" max="16384" width="11.42578125" style="91"/>
  </cols>
  <sheetData>
    <row r="5" spans="27:27" x14ac:dyDescent="0.2">
      <c r="AA5" s="90"/>
    </row>
    <row r="6" spans="27:27" x14ac:dyDescent="0.2">
      <c r="AA6" s="90"/>
    </row>
    <row r="7" spans="27:27" x14ac:dyDescent="0.2">
      <c r="AA7" s="90"/>
    </row>
    <row r="8" spans="27:27" x14ac:dyDescent="0.2">
      <c r="AA8" s="90"/>
    </row>
    <row r="9" spans="27:27" x14ac:dyDescent="0.2">
      <c r="AA9" s="90"/>
    </row>
    <row r="10" spans="27:27" x14ac:dyDescent="0.2">
      <c r="AA10" s="90"/>
    </row>
    <row r="11" spans="27:27" x14ac:dyDescent="0.2">
      <c r="AA11" s="90"/>
    </row>
    <row r="12" spans="27:27" x14ac:dyDescent="0.2">
      <c r="AA12" s="90"/>
    </row>
    <row r="13" spans="27:27" x14ac:dyDescent="0.2">
      <c r="AA13" s="90"/>
    </row>
    <row r="14" spans="27:27" x14ac:dyDescent="0.2">
      <c r="AA14" s="90"/>
    </row>
    <row r="15" spans="27:27" x14ac:dyDescent="0.2">
      <c r="AA15" s="90"/>
    </row>
    <row r="16" spans="27:27" x14ac:dyDescent="0.2">
      <c r="AA16" s="90"/>
    </row>
    <row r="17" spans="6:27" x14ac:dyDescent="0.2">
      <c r="AA17" s="90"/>
    </row>
    <row r="22" spans="6:27" x14ac:dyDescent="0.2">
      <c r="F22" s="92" t="s">
        <v>115</v>
      </c>
    </row>
    <row r="23" spans="6:27" ht="13.5" thickBot="1" x14ac:dyDescent="0.25"/>
    <row r="24" spans="6:27" ht="24" thickBot="1" x14ac:dyDescent="0.4">
      <c r="F24" s="147" t="s">
        <v>83</v>
      </c>
      <c r="G24" s="148"/>
    </row>
    <row r="33" ht="35.1" customHeight="1" x14ac:dyDescent="0.2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zoomScale="110" zoomScaleNormal="110" workbookViewId="0">
      <selection activeCell="F7" sqref="F7"/>
    </sheetView>
  </sheetViews>
  <sheetFormatPr baseColWidth="10" defaultRowHeight="11.25" x14ac:dyDescent="0.2"/>
  <cols>
    <col min="1" max="1" width="1.5703125" style="38" customWidth="1"/>
    <col min="2" max="3" width="7.28515625" style="38" customWidth="1"/>
    <col min="4" max="4" width="11" style="38" bestFit="1" customWidth="1"/>
    <col min="5" max="5" width="11.85546875" style="38" bestFit="1" customWidth="1"/>
    <col min="6" max="6" width="15" style="38" bestFit="1" customWidth="1"/>
    <col min="7" max="7" width="4.85546875" style="38" customWidth="1"/>
    <col min="8" max="8" width="15" style="38" bestFit="1" customWidth="1"/>
    <col min="9" max="9" width="5" style="38" customWidth="1"/>
    <col min="10" max="10" width="1.7109375" style="38" customWidth="1"/>
    <col min="11" max="11" width="15" style="38" bestFit="1" customWidth="1"/>
    <col min="12" max="12" width="3.140625" style="38" customWidth="1"/>
    <col min="13" max="13" width="3.7109375" style="38" customWidth="1"/>
    <col min="14" max="16" width="3.5703125" style="38" customWidth="1"/>
    <col min="17" max="17" width="3.7109375" style="38" customWidth="1"/>
    <col min="18" max="18" width="3.140625" style="38" customWidth="1"/>
    <col min="19" max="19" width="3.85546875" style="38" customWidth="1"/>
    <col min="20" max="20" width="1.7109375" style="38" customWidth="1"/>
    <col min="21" max="21" width="18.42578125" style="38" customWidth="1"/>
    <col min="22" max="16384" width="11.42578125" style="38"/>
  </cols>
  <sheetData>
    <row r="1" spans="2:21" x14ac:dyDescent="0.2">
      <c r="B1" s="39" t="s">
        <v>0</v>
      </c>
      <c r="C1" s="160">
        <f ca="1">NOW()</f>
        <v>43262.471987384262</v>
      </c>
      <c r="D1" s="160"/>
    </row>
    <row r="2" spans="2:21" ht="12" thickBot="1" x14ac:dyDescent="0.25"/>
    <row r="3" spans="2:21" ht="12.75" thickTop="1" thickBot="1" x14ac:dyDescent="0.25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2" thickTop="1" x14ac:dyDescent="0.2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2</v>
      </c>
      <c r="H4" s="45" t="str">
        <f>'GRUPO A'!H17</f>
        <v>Arabia Saudí</v>
      </c>
      <c r="I4" s="46">
        <f>IF('GRUPO A'!I17="","",'GRUPO A'!I17)</f>
        <v>0</v>
      </c>
      <c r="J4" s="47"/>
      <c r="K4" s="51" t="str">
        <f>Hoja1!B7</f>
        <v>Uruguay</v>
      </c>
      <c r="L4" s="52">
        <f>Hoja1!C7</f>
        <v>3</v>
      </c>
      <c r="M4" s="53">
        <f>Hoja1!D7</f>
        <v>0</v>
      </c>
      <c r="N4" s="53">
        <f>Hoja1!E7</f>
        <v>0</v>
      </c>
      <c r="O4" s="53">
        <f>Hoja1!F7</f>
        <v>5</v>
      </c>
      <c r="P4" s="53">
        <f>Hoja1!G7</f>
        <v>1</v>
      </c>
      <c r="Q4" s="53">
        <f>Hoja1!H7</f>
        <v>4</v>
      </c>
      <c r="R4" s="53">
        <f>Hoja1!I7</f>
        <v>9</v>
      </c>
      <c r="S4" s="54">
        <f>SUM(L4:N4)</f>
        <v>3</v>
      </c>
      <c r="U4" s="75" t="str">
        <f>K4</f>
        <v>Uruguay</v>
      </c>
    </row>
    <row r="5" spans="2:21" ht="12" thickBot="1" x14ac:dyDescent="0.25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0</v>
      </c>
      <c r="H5" s="50" t="str">
        <f>'GRUPO A'!H18</f>
        <v>Uruguay</v>
      </c>
      <c r="I5" s="46">
        <f>IF('GRUPO A'!I18="","",'GRUPO A'!I18)</f>
        <v>1</v>
      </c>
      <c r="J5" s="47"/>
      <c r="K5" s="59" t="str">
        <f>Hoja1!B8</f>
        <v>Rusia</v>
      </c>
      <c r="L5" s="60">
        <f>Hoja1!C8</f>
        <v>1</v>
      </c>
      <c r="M5" s="61">
        <f>Hoja1!D8</f>
        <v>1</v>
      </c>
      <c r="N5" s="61">
        <f>Hoja1!E8</f>
        <v>1</v>
      </c>
      <c r="O5" s="61">
        <f>Hoja1!F8</f>
        <v>4</v>
      </c>
      <c r="P5" s="61">
        <f>Hoja1!G8</f>
        <v>3</v>
      </c>
      <c r="Q5" s="61">
        <f>Hoja1!H8</f>
        <v>1</v>
      </c>
      <c r="R5" s="61">
        <f>Hoja1!I8</f>
        <v>4</v>
      </c>
      <c r="S5" s="62">
        <f>SUM(L5:N5)</f>
        <v>3</v>
      </c>
      <c r="U5" s="76" t="str">
        <f>K5</f>
        <v>Rusia</v>
      </c>
    </row>
    <row r="6" spans="2:21" ht="12" thickTop="1" x14ac:dyDescent="0.2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1</v>
      </c>
      <c r="H6" s="45" t="str">
        <f>'GRUPO A'!H19</f>
        <v>Egipto</v>
      </c>
      <c r="I6" s="46">
        <f>IF('GRUPO A'!I19="","",'GRUPO A'!I19)</f>
        <v>1</v>
      </c>
      <c r="J6" s="47"/>
      <c r="K6" s="59" t="str">
        <f>Hoja1!B9</f>
        <v>Egipto</v>
      </c>
      <c r="L6" s="60">
        <f>Hoja1!C9</f>
        <v>1</v>
      </c>
      <c r="M6" s="61">
        <f>Hoja1!D9</f>
        <v>1</v>
      </c>
      <c r="N6" s="61">
        <f>Hoja1!E9</f>
        <v>1</v>
      </c>
      <c r="O6" s="61">
        <f>Hoja1!F9</f>
        <v>3</v>
      </c>
      <c r="P6" s="61">
        <f>Hoja1!G9</f>
        <v>3</v>
      </c>
      <c r="Q6" s="61">
        <f>Hoja1!H9</f>
        <v>0</v>
      </c>
      <c r="R6" s="61">
        <f>Hoja1!I9</f>
        <v>4</v>
      </c>
      <c r="S6" s="62">
        <f>SUM(L6:N6)</f>
        <v>3</v>
      </c>
    </row>
    <row r="7" spans="2:21" ht="12" thickBot="1" x14ac:dyDescent="0.25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2</v>
      </c>
      <c r="H7" s="50" t="str">
        <f>'GRUPO A'!H20</f>
        <v>Arabia Saudí</v>
      </c>
      <c r="I7" s="46">
        <f>IF('GRUPO A'!I20="","",'GRUPO A'!I20)</f>
        <v>0</v>
      </c>
      <c r="J7" s="47"/>
      <c r="K7" s="67" t="str">
        <f>Hoja1!B10</f>
        <v>Arabia Saudí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1</v>
      </c>
      <c r="P7" s="69">
        <f>Hoja1!G10</f>
        <v>6</v>
      </c>
      <c r="Q7" s="69">
        <f>Hoja1!H10</f>
        <v>-5</v>
      </c>
      <c r="R7" s="69">
        <f>Hoja1!I10</f>
        <v>0</v>
      </c>
      <c r="S7" s="70">
        <f>SUM(L7:N7)</f>
        <v>3</v>
      </c>
    </row>
    <row r="8" spans="2:21" ht="12" thickTop="1" x14ac:dyDescent="0.2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2</v>
      </c>
      <c r="H8" s="45" t="str">
        <f>'GRUPO A'!H21</f>
        <v>Rusia</v>
      </c>
      <c r="I8" s="46">
        <f>IF('GRUPO A'!I21="","",'GRUPO A'!I21)</f>
        <v>1</v>
      </c>
      <c r="J8" s="47"/>
    </row>
    <row r="9" spans="2:21" ht="12" thickBot="1" x14ac:dyDescent="0.25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1</v>
      </c>
      <c r="H9" s="45" t="str">
        <f>'GRUPO A'!H22</f>
        <v>Egipto</v>
      </c>
      <c r="I9" s="46">
        <f>IF('GRUPO A'!I22="","",'GRUPO A'!I22)</f>
        <v>2</v>
      </c>
      <c r="J9" s="47"/>
    </row>
    <row r="10" spans="2:21" ht="12.75" thickTop="1" thickBot="1" x14ac:dyDescent="0.25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2" thickTop="1" x14ac:dyDescent="0.2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1</v>
      </c>
      <c r="H11" s="45" t="str">
        <f>'GRUPO B'!H17</f>
        <v>España</v>
      </c>
      <c r="I11" s="46">
        <f>IF('GRUPO B'!I17="","",'GRUPO B'!I17)</f>
        <v>2</v>
      </c>
      <c r="J11" s="47"/>
      <c r="K11" s="51" t="str">
        <f>Hoja1!B14</f>
        <v>España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9</v>
      </c>
      <c r="P11" s="53">
        <f>Hoja1!G14</f>
        <v>1</v>
      </c>
      <c r="Q11" s="53">
        <f>Hoja1!H14</f>
        <v>8</v>
      </c>
      <c r="R11" s="53">
        <f>Hoja1!I14</f>
        <v>9</v>
      </c>
      <c r="S11" s="54">
        <f>SUM(L11:N11)</f>
        <v>3</v>
      </c>
      <c r="U11" s="75" t="str">
        <f>K11</f>
        <v>España</v>
      </c>
    </row>
    <row r="12" spans="2:21" ht="12" thickBot="1" x14ac:dyDescent="0.25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2</v>
      </c>
      <c r="H12" s="50" t="str">
        <f>'GRUPO B'!H18</f>
        <v>Irán</v>
      </c>
      <c r="I12" s="46">
        <f>IF('GRUPO B'!I18="","",'GRUPO B'!I18)</f>
        <v>0</v>
      </c>
      <c r="J12" s="47"/>
      <c r="K12" s="59" t="str">
        <f>Hoja1!B15</f>
        <v>Portugal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6</v>
      </c>
      <c r="P12" s="61">
        <f>Hoja1!G15</f>
        <v>3</v>
      </c>
      <c r="Q12" s="61">
        <f>Hoja1!H15</f>
        <v>3</v>
      </c>
      <c r="R12" s="61">
        <f>Hoja1!I15</f>
        <v>6</v>
      </c>
      <c r="S12" s="62">
        <f>SUM(L12:N12)</f>
        <v>3</v>
      </c>
      <c r="U12" s="76" t="str">
        <f>K12</f>
        <v>Portugal</v>
      </c>
    </row>
    <row r="13" spans="2:21" ht="12" thickTop="1" x14ac:dyDescent="0.2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2</v>
      </c>
      <c r="H13" s="45" t="str">
        <f>'GRUPO B'!H19</f>
        <v>Marruecos</v>
      </c>
      <c r="I13" s="46">
        <f>IF('GRUPO B'!I19="","",'GRUPO B'!I19)</f>
        <v>1</v>
      </c>
      <c r="J13" s="47"/>
      <c r="K13" s="59" t="str">
        <f>Hoja1!B16</f>
        <v>Marruecos</v>
      </c>
      <c r="L13" s="60">
        <f>Hoja1!C16</f>
        <v>1</v>
      </c>
      <c r="M13" s="61">
        <f>Hoja1!D16</f>
        <v>0</v>
      </c>
      <c r="N13" s="61">
        <f>Hoja1!E16</f>
        <v>2</v>
      </c>
      <c r="O13" s="61">
        <f>Hoja1!F16</f>
        <v>3</v>
      </c>
      <c r="P13" s="61">
        <f>Hoja1!G16</f>
        <v>5</v>
      </c>
      <c r="Q13" s="61">
        <f>Hoja1!H16</f>
        <v>-2</v>
      </c>
      <c r="R13" s="61">
        <f>Hoja1!I16</f>
        <v>3</v>
      </c>
      <c r="S13" s="62">
        <f>SUM(L13:N13)</f>
        <v>3</v>
      </c>
    </row>
    <row r="14" spans="2:21" ht="12" thickBot="1" x14ac:dyDescent="0.25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0</v>
      </c>
      <c r="H14" s="50" t="str">
        <f>'GRUPO B'!H20</f>
        <v>España</v>
      </c>
      <c r="I14" s="46">
        <f>IF('GRUPO B'!I20="","",'GRUPO B'!I20)</f>
        <v>4</v>
      </c>
      <c r="J14" s="47"/>
      <c r="K14" s="67" t="str">
        <f>Hoja1!B17</f>
        <v>Irán</v>
      </c>
      <c r="L14" s="68">
        <f>Hoja1!C17</f>
        <v>0</v>
      </c>
      <c r="M14" s="69">
        <f>Hoja1!D17</f>
        <v>0</v>
      </c>
      <c r="N14" s="69">
        <f>Hoja1!E17</f>
        <v>3</v>
      </c>
      <c r="O14" s="69">
        <f>Hoja1!F17</f>
        <v>0</v>
      </c>
      <c r="P14" s="69">
        <f>Hoja1!G17</f>
        <v>9</v>
      </c>
      <c r="Q14" s="69">
        <f>Hoja1!H17</f>
        <v>-9</v>
      </c>
      <c r="R14" s="69">
        <f>Hoja1!I17</f>
        <v>0</v>
      </c>
      <c r="S14" s="70">
        <f>SUM(L14:N14)</f>
        <v>3</v>
      </c>
    </row>
    <row r="15" spans="2:21" ht="12" thickTop="1" x14ac:dyDescent="0.2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0</v>
      </c>
      <c r="H15" s="45" t="str">
        <f>'GRUPO B'!H21</f>
        <v>Portugal</v>
      </c>
      <c r="I15" s="46">
        <f>IF('GRUPO B'!I21="","",'GRUPO B'!I21)</f>
        <v>3</v>
      </c>
      <c r="J15" s="47"/>
    </row>
    <row r="16" spans="2:21" ht="12" thickBot="1" x14ac:dyDescent="0.25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3</v>
      </c>
      <c r="H16" s="45" t="str">
        <f>'GRUPO B'!H22</f>
        <v>Marruecos</v>
      </c>
      <c r="I16" s="46">
        <f>IF('GRUPO B'!I22="","",'GRUPO B'!I22)</f>
        <v>0</v>
      </c>
      <c r="J16" s="47"/>
    </row>
    <row r="17" spans="2:21" ht="12.75" thickTop="1" thickBot="1" x14ac:dyDescent="0.25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2" thickTop="1" x14ac:dyDescent="0.2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2</v>
      </c>
      <c r="H18" s="45" t="str">
        <f>'GRUPO C'!H17</f>
        <v>Australia</v>
      </c>
      <c r="I18" s="46">
        <f>IF('GRUPO C'!I17="","",'GRUPO C'!I17)</f>
        <v>0</v>
      </c>
      <c r="J18" s="47"/>
      <c r="K18" s="51" t="str">
        <f>Hoja1!B21</f>
        <v>Francia</v>
      </c>
      <c r="L18" s="52">
        <f>Hoja1!C21</f>
        <v>2</v>
      </c>
      <c r="M18" s="53">
        <f>Hoja1!D21</f>
        <v>1</v>
      </c>
      <c r="N18" s="53">
        <f>Hoja1!E21</f>
        <v>0</v>
      </c>
      <c r="O18" s="53">
        <f>Hoja1!F21</f>
        <v>7</v>
      </c>
      <c r="P18" s="53">
        <f>Hoja1!G21</f>
        <v>3</v>
      </c>
      <c r="Q18" s="53">
        <f>Hoja1!H21</f>
        <v>4</v>
      </c>
      <c r="R18" s="53">
        <f>Hoja1!I21</f>
        <v>7</v>
      </c>
      <c r="S18" s="54">
        <f>SUM(L18:N18)</f>
        <v>3</v>
      </c>
      <c r="U18" s="75" t="str">
        <f>K18</f>
        <v>Francia</v>
      </c>
    </row>
    <row r="19" spans="2:21" ht="12" thickBot="1" x14ac:dyDescent="0.25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2</v>
      </c>
      <c r="H19" s="50" t="str">
        <f>'GRUPO C'!H18</f>
        <v>Dinamarca</v>
      </c>
      <c r="I19" s="46">
        <f>IF('GRUPO C'!I18="","",'GRUPO C'!I18)</f>
        <v>1</v>
      </c>
      <c r="J19" s="47"/>
      <c r="K19" s="59" t="str">
        <f>Hoja1!B22</f>
        <v>Perú</v>
      </c>
      <c r="L19" s="60">
        <f>Hoja1!C22</f>
        <v>2</v>
      </c>
      <c r="M19" s="61">
        <f>Hoja1!D22</f>
        <v>1</v>
      </c>
      <c r="N19" s="61">
        <f>Hoja1!E22</f>
        <v>0</v>
      </c>
      <c r="O19" s="61">
        <f>Hoja1!F22</f>
        <v>6</v>
      </c>
      <c r="P19" s="61">
        <f>Hoja1!G22</f>
        <v>4</v>
      </c>
      <c r="Q19" s="61">
        <f>Hoja1!H22</f>
        <v>2</v>
      </c>
      <c r="R19" s="61">
        <f>Hoja1!I22</f>
        <v>7</v>
      </c>
      <c r="S19" s="62">
        <f>SUM(L19:N19)</f>
        <v>3</v>
      </c>
      <c r="U19" s="76" t="str">
        <f>K19</f>
        <v>Perú</v>
      </c>
    </row>
    <row r="20" spans="2:21" ht="12" thickTop="1" x14ac:dyDescent="0.2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2</v>
      </c>
      <c r="H20" s="45" t="str">
        <f>'GRUPO C'!H19</f>
        <v>Perú</v>
      </c>
      <c r="I20" s="46">
        <f>IF('GRUPO C'!I19="","",'GRUPO C'!I19)</f>
        <v>2</v>
      </c>
      <c r="J20" s="47"/>
      <c r="K20" s="59" t="str">
        <f>Hoja1!B23</f>
        <v>Dinamarca</v>
      </c>
      <c r="L20" s="60">
        <f>Hoja1!C23</f>
        <v>0</v>
      </c>
      <c r="M20" s="61">
        <f>Hoja1!D23</f>
        <v>1</v>
      </c>
      <c r="N20" s="61">
        <f>Hoja1!E23</f>
        <v>2</v>
      </c>
      <c r="O20" s="61">
        <f>Hoja1!F23</f>
        <v>3</v>
      </c>
      <c r="P20" s="61">
        <f>Hoja1!G23</f>
        <v>6</v>
      </c>
      <c r="Q20" s="61">
        <f>Hoja1!H23</f>
        <v>-3</v>
      </c>
      <c r="R20" s="61">
        <f>Hoja1!I23</f>
        <v>1</v>
      </c>
      <c r="S20" s="62">
        <f>SUM(L20:N20)</f>
        <v>3</v>
      </c>
    </row>
    <row r="21" spans="2:21" ht="12" thickBot="1" x14ac:dyDescent="0.25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1</v>
      </c>
      <c r="H21" s="50" t="str">
        <f>'GRUPO C'!H20</f>
        <v>Australia</v>
      </c>
      <c r="I21" s="46">
        <f>IF('GRUPO C'!I20="","",'GRUPO C'!I20)</f>
        <v>1</v>
      </c>
      <c r="J21" s="47"/>
      <c r="K21" s="67" t="str">
        <f>Hoja1!B24</f>
        <v>Australia</v>
      </c>
      <c r="L21" s="68">
        <f>Hoja1!C24</f>
        <v>0</v>
      </c>
      <c r="M21" s="69">
        <f>Hoja1!D24</f>
        <v>1</v>
      </c>
      <c r="N21" s="69">
        <f>Hoja1!E24</f>
        <v>2</v>
      </c>
      <c r="O21" s="69">
        <f>Hoja1!F24</f>
        <v>2</v>
      </c>
      <c r="P21" s="69">
        <f>Hoja1!G24</f>
        <v>5</v>
      </c>
      <c r="Q21" s="69">
        <f>Hoja1!H24</f>
        <v>-3</v>
      </c>
      <c r="R21" s="69">
        <f>Hoja1!I24</f>
        <v>1</v>
      </c>
      <c r="S21" s="70">
        <f>SUM(L21:N21)</f>
        <v>3</v>
      </c>
    </row>
    <row r="22" spans="2:21" ht="12" thickTop="1" x14ac:dyDescent="0.2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1</v>
      </c>
      <c r="H22" s="45" t="str">
        <f>'GRUPO C'!H21</f>
        <v>Francia</v>
      </c>
      <c r="I22" s="46">
        <f>IF('GRUPO C'!I21="","",'GRUPO C'!I21)</f>
        <v>3</v>
      </c>
      <c r="J22" s="47"/>
    </row>
    <row r="23" spans="2:21" ht="12" thickBot="1" x14ac:dyDescent="0.25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1</v>
      </c>
      <c r="H23" s="45" t="str">
        <f>'GRUPO C'!H22</f>
        <v>Perú</v>
      </c>
      <c r="I23" s="46">
        <f>IF('GRUPO C'!I22="","",'GRUPO C'!I22)</f>
        <v>2</v>
      </c>
      <c r="J23" s="47"/>
    </row>
    <row r="24" spans="2:21" ht="12.75" thickTop="1" thickBot="1" x14ac:dyDescent="0.25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2" thickTop="1" x14ac:dyDescent="0.2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2</v>
      </c>
      <c r="H25" s="45" t="str">
        <f>'GRUPO D'!H17</f>
        <v>Islandia</v>
      </c>
      <c r="I25" s="46">
        <f>IF('GRUPO D'!I17="","",'GRUPO D'!I17)</f>
        <v>0</v>
      </c>
      <c r="J25" s="47"/>
      <c r="K25" s="51" t="str">
        <f>Hoja1!B28</f>
        <v>Argentina</v>
      </c>
      <c r="L25" s="52">
        <f>Hoja1!C28</f>
        <v>1</v>
      </c>
      <c r="M25" s="53">
        <f>Hoja1!D28</f>
        <v>2</v>
      </c>
      <c r="N25" s="53">
        <f>Hoja1!E28</f>
        <v>0</v>
      </c>
      <c r="O25" s="53">
        <f>Hoja1!F28</f>
        <v>4</v>
      </c>
      <c r="P25" s="53">
        <f>Hoja1!G28</f>
        <v>2</v>
      </c>
      <c r="Q25" s="53">
        <f>Hoja1!H28</f>
        <v>2</v>
      </c>
      <c r="R25" s="53">
        <f>Hoja1!I28</f>
        <v>5</v>
      </c>
      <c r="S25" s="54">
        <f>SUM(L25:N25)</f>
        <v>3</v>
      </c>
      <c r="U25" s="75" t="str">
        <f>K25</f>
        <v>Argentina</v>
      </c>
    </row>
    <row r="26" spans="2:21" ht="12" thickBot="1" x14ac:dyDescent="0.25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1</v>
      </c>
      <c r="H26" s="50" t="str">
        <f>'GRUPO D'!H18</f>
        <v>Nigeria</v>
      </c>
      <c r="I26" s="46">
        <f>IF('GRUPO D'!I18="","",'GRUPO D'!I18)</f>
        <v>1</v>
      </c>
      <c r="J26" s="47"/>
      <c r="K26" s="59" t="str">
        <f>Hoja1!B29</f>
        <v>Croacia</v>
      </c>
      <c r="L26" s="60">
        <f>Hoja1!C29</f>
        <v>1</v>
      </c>
      <c r="M26" s="61">
        <f>Hoja1!D29</f>
        <v>2</v>
      </c>
      <c r="N26" s="61">
        <f>Hoja1!E29</f>
        <v>0</v>
      </c>
      <c r="O26" s="61">
        <f>Hoja1!F29</f>
        <v>4</v>
      </c>
      <c r="P26" s="61">
        <f>Hoja1!G29</f>
        <v>3</v>
      </c>
      <c r="Q26" s="61">
        <f>Hoja1!H29</f>
        <v>1</v>
      </c>
      <c r="R26" s="61">
        <f>Hoja1!I29</f>
        <v>5</v>
      </c>
      <c r="S26" s="62">
        <f>SUM(L26:N26)</f>
        <v>3</v>
      </c>
      <c r="U26" s="76" t="str">
        <f>K26</f>
        <v>Croacia</v>
      </c>
    </row>
    <row r="27" spans="2:21" ht="12" thickTop="1" x14ac:dyDescent="0.2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1</v>
      </c>
      <c r="H27" s="45" t="str">
        <f>'GRUPO D'!H19</f>
        <v>Croacia</v>
      </c>
      <c r="I27" s="46">
        <f>IF('GRUPO D'!I19="","",'GRUPO D'!I19)</f>
        <v>1</v>
      </c>
      <c r="J27" s="47"/>
      <c r="K27" s="59" t="str">
        <f>Hoja1!B30</f>
        <v>Nigeria</v>
      </c>
      <c r="L27" s="60">
        <f>Hoja1!C30</f>
        <v>0</v>
      </c>
      <c r="M27" s="61">
        <f>Hoja1!D30</f>
        <v>3</v>
      </c>
      <c r="N27" s="61">
        <f>Hoja1!E30</f>
        <v>0</v>
      </c>
      <c r="O27" s="61">
        <f>Hoja1!F30</f>
        <v>4</v>
      </c>
      <c r="P27" s="61">
        <f>Hoja1!G30</f>
        <v>4</v>
      </c>
      <c r="Q27" s="61">
        <f>Hoja1!H30</f>
        <v>0</v>
      </c>
      <c r="R27" s="61">
        <f>Hoja1!I30</f>
        <v>3</v>
      </c>
      <c r="S27" s="62">
        <f>SUM(L27:N27)</f>
        <v>3</v>
      </c>
    </row>
    <row r="28" spans="2:21" ht="12" thickBot="1" x14ac:dyDescent="0.25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2</v>
      </c>
      <c r="H28" s="50" t="str">
        <f>'GRUPO D'!H20</f>
        <v>Islandia</v>
      </c>
      <c r="I28" s="46">
        <f>IF('GRUPO D'!I20="","",'GRUPO D'!I20)</f>
        <v>2</v>
      </c>
      <c r="J28" s="47"/>
      <c r="K28" s="67" t="str">
        <f>Hoja1!B31</f>
        <v>Islandia</v>
      </c>
      <c r="L28" s="68">
        <f>Hoja1!C31</f>
        <v>0</v>
      </c>
      <c r="M28" s="69">
        <f>Hoja1!D31</f>
        <v>1</v>
      </c>
      <c r="N28" s="69">
        <f>Hoja1!E31</f>
        <v>2</v>
      </c>
      <c r="O28" s="69">
        <f>Hoja1!F31</f>
        <v>3</v>
      </c>
      <c r="P28" s="69">
        <f>Hoja1!G31</f>
        <v>6</v>
      </c>
      <c r="Q28" s="69">
        <f>Hoja1!H31</f>
        <v>-3</v>
      </c>
      <c r="R28" s="69">
        <f>Hoja1!I31</f>
        <v>1</v>
      </c>
      <c r="S28" s="70">
        <f>SUM(L28:N28)</f>
        <v>3</v>
      </c>
    </row>
    <row r="29" spans="2:21" ht="12" thickTop="1" x14ac:dyDescent="0.2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1</v>
      </c>
      <c r="H29" s="45" t="str">
        <f>'GRUPO D'!H21</f>
        <v>Argentina</v>
      </c>
      <c r="I29" s="46">
        <f>IF('GRUPO D'!I21="","",'GRUPO D'!I21)</f>
        <v>1</v>
      </c>
      <c r="J29" s="47"/>
    </row>
    <row r="30" spans="2:21" ht="12" thickBot="1" x14ac:dyDescent="0.25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1</v>
      </c>
      <c r="H30" s="45" t="str">
        <f>'GRUPO D'!H22</f>
        <v>Croacia</v>
      </c>
      <c r="I30" s="46">
        <f>IF('GRUPO D'!I22="","",'GRUPO D'!I22)</f>
        <v>2</v>
      </c>
      <c r="J30" s="47"/>
    </row>
    <row r="31" spans="2:21" ht="12.75" thickTop="1" thickBot="1" x14ac:dyDescent="0.25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2" thickTop="1" x14ac:dyDescent="0.2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2</v>
      </c>
      <c r="H32" s="45" t="str">
        <f>'GRUPO E'!H17</f>
        <v>Suiza</v>
      </c>
      <c r="I32" s="46">
        <f>IF('GRUPO E'!I17="","",'GRUPO E'!I17)</f>
        <v>0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8</v>
      </c>
      <c r="P32" s="53">
        <f>Hoja1!G35</f>
        <v>0</v>
      </c>
      <c r="Q32" s="53">
        <f>Hoja1!H35</f>
        <v>8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2" thickBot="1" x14ac:dyDescent="0.25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1</v>
      </c>
      <c r="H33" s="50" t="str">
        <f>'GRUPO E'!H18</f>
        <v>Serbia</v>
      </c>
      <c r="I33" s="46">
        <f>IF('GRUPO E'!I18="","",'GRUPO E'!I18)</f>
        <v>0</v>
      </c>
      <c r="J33" s="47"/>
      <c r="K33" s="59" t="str">
        <f>Hoja1!B36</f>
        <v>Suiza</v>
      </c>
      <c r="L33" s="60">
        <f>Hoja1!C36</f>
        <v>2</v>
      </c>
      <c r="M33" s="61">
        <f>Hoja1!D36</f>
        <v>0</v>
      </c>
      <c r="N33" s="61">
        <f>Hoja1!E36</f>
        <v>1</v>
      </c>
      <c r="O33" s="61">
        <f>Hoja1!F36</f>
        <v>3</v>
      </c>
      <c r="P33" s="61">
        <f>Hoja1!G36</f>
        <v>3</v>
      </c>
      <c r="Q33" s="61">
        <f>Hoja1!H36</f>
        <v>0</v>
      </c>
      <c r="R33" s="61">
        <f>Hoja1!I36</f>
        <v>6</v>
      </c>
      <c r="S33" s="62">
        <f>SUM(L33:N33)</f>
        <v>3</v>
      </c>
      <c r="U33" s="76" t="str">
        <f>K33</f>
        <v>Suiza</v>
      </c>
    </row>
    <row r="34" spans="2:21" ht="12" thickTop="1" x14ac:dyDescent="0.2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3</v>
      </c>
      <c r="H34" s="45" t="str">
        <f>'GRUPO E'!H19</f>
        <v>Costa Rica</v>
      </c>
      <c r="I34" s="46">
        <f>IF('GRUPO E'!I19="","",'GRUPO E'!I19)</f>
        <v>0</v>
      </c>
      <c r="J34" s="47"/>
      <c r="K34" s="59" t="str">
        <f>Hoja1!B37</f>
        <v>Costa Rica</v>
      </c>
      <c r="L34" s="60">
        <f>Hoja1!C37</f>
        <v>1</v>
      </c>
      <c r="M34" s="61">
        <f>Hoja1!D37</f>
        <v>0</v>
      </c>
      <c r="N34" s="61">
        <f>Hoja1!E37</f>
        <v>2</v>
      </c>
      <c r="O34" s="61">
        <f>Hoja1!F37</f>
        <v>1</v>
      </c>
      <c r="P34" s="61">
        <f>Hoja1!G37</f>
        <v>4</v>
      </c>
      <c r="Q34" s="61">
        <f>Hoja1!H37</f>
        <v>-3</v>
      </c>
      <c r="R34" s="61">
        <f>Hoja1!I37</f>
        <v>3</v>
      </c>
      <c r="S34" s="62">
        <f>SUM(L34:N34)</f>
        <v>3</v>
      </c>
    </row>
    <row r="35" spans="2:21" ht="12" thickBot="1" x14ac:dyDescent="0.25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1</v>
      </c>
      <c r="H35" s="50" t="str">
        <f>'GRUPO E'!H20</f>
        <v>Suiza</v>
      </c>
      <c r="I35" s="46">
        <f>IF('GRUPO E'!I20="","",'GRUPO E'!I20)</f>
        <v>2</v>
      </c>
      <c r="J35" s="47"/>
      <c r="K35" s="67" t="str">
        <f>Hoja1!B38</f>
        <v>Serbia</v>
      </c>
      <c r="L35" s="68">
        <f>Hoja1!C38</f>
        <v>0</v>
      </c>
      <c r="M35" s="69">
        <f>Hoja1!D38</f>
        <v>0</v>
      </c>
      <c r="N35" s="69">
        <f>Hoja1!E38</f>
        <v>3</v>
      </c>
      <c r="O35" s="69">
        <f>Hoja1!F38</f>
        <v>1</v>
      </c>
      <c r="P35" s="69">
        <f>Hoja1!G38</f>
        <v>6</v>
      </c>
      <c r="Q35" s="69">
        <f>Hoja1!H38</f>
        <v>-5</v>
      </c>
      <c r="R35" s="69">
        <f>Hoja1!I38</f>
        <v>0</v>
      </c>
      <c r="S35" s="70">
        <f>SUM(L35:N35)</f>
        <v>3</v>
      </c>
    </row>
    <row r="36" spans="2:21" ht="12" thickTop="1" x14ac:dyDescent="0.2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0</v>
      </c>
      <c r="H36" s="45" t="str">
        <f>'GRUPO E'!H21</f>
        <v>Brasil</v>
      </c>
      <c r="I36" s="46">
        <f>IF('GRUPO E'!I21="","",'GRUPO E'!I21)</f>
        <v>3</v>
      </c>
      <c r="J36" s="47"/>
    </row>
    <row r="37" spans="2:21" ht="12" thickBot="1" x14ac:dyDescent="0.25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1</v>
      </c>
      <c r="H37" s="45" t="str">
        <f>'GRUPO E'!H22</f>
        <v>Costa Rica</v>
      </c>
      <c r="I37" s="46">
        <f>IF('GRUPO E'!I22="","",'GRUPO E'!I22)</f>
        <v>0</v>
      </c>
      <c r="J37" s="47"/>
    </row>
    <row r="38" spans="2:21" ht="12.75" thickTop="1" thickBot="1" x14ac:dyDescent="0.25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2" thickTop="1" x14ac:dyDescent="0.2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2</v>
      </c>
      <c r="H39" s="45" t="str">
        <f>'GRUPO F'!H17</f>
        <v>México</v>
      </c>
      <c r="I39" s="46">
        <f>IF('GRUPO F'!I17="","",'GRUPO F'!I17)</f>
        <v>0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9</v>
      </c>
      <c r="P39" s="53">
        <f>Hoja1!G42</f>
        <v>1</v>
      </c>
      <c r="Q39" s="53">
        <f>Hoja1!H42</f>
        <v>8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2" thickBot="1" x14ac:dyDescent="0.25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2</v>
      </c>
      <c r="H40" s="50" t="str">
        <f>'GRUPO F'!H18</f>
        <v>Corea</v>
      </c>
      <c r="I40" s="46">
        <f>IF('GRUPO F'!I18="","",'GRUPO F'!I18)</f>
        <v>0</v>
      </c>
      <c r="J40" s="47"/>
      <c r="K40" s="59" t="str">
        <f>Hoja1!B43</f>
        <v>Suecia</v>
      </c>
      <c r="L40" s="60">
        <f>Hoja1!C43</f>
        <v>1</v>
      </c>
      <c r="M40" s="61">
        <f>Hoja1!D43</f>
        <v>1</v>
      </c>
      <c r="N40" s="61">
        <f>Hoja1!E43</f>
        <v>1</v>
      </c>
      <c r="O40" s="61">
        <f>Hoja1!F43</f>
        <v>4</v>
      </c>
      <c r="P40" s="61">
        <f>Hoja1!G43</f>
        <v>4</v>
      </c>
      <c r="Q40" s="61">
        <f>Hoja1!H43</f>
        <v>0</v>
      </c>
      <c r="R40" s="61">
        <f>Hoja1!I43</f>
        <v>4</v>
      </c>
      <c r="S40" s="62">
        <f>SUM(L40:N40)</f>
        <v>3</v>
      </c>
      <c r="U40" s="76" t="str">
        <f>K40</f>
        <v>Suecia</v>
      </c>
    </row>
    <row r="41" spans="2:21" ht="12" thickTop="1" x14ac:dyDescent="0.2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3</v>
      </c>
      <c r="H41" s="45" t="str">
        <f>'GRUPO F'!H19</f>
        <v>Suecia</v>
      </c>
      <c r="I41" s="46">
        <f>IF('GRUPO F'!I19="","",'GRUPO F'!I19)</f>
        <v>1</v>
      </c>
      <c r="J41" s="47"/>
      <c r="K41" s="59" t="str">
        <f>Hoja1!B44</f>
        <v>México</v>
      </c>
      <c r="L41" s="60">
        <f>Hoja1!C44</f>
        <v>1</v>
      </c>
      <c r="M41" s="61">
        <f>Hoja1!D44</f>
        <v>1</v>
      </c>
      <c r="N41" s="61">
        <f>Hoja1!E44</f>
        <v>1</v>
      </c>
      <c r="O41" s="61">
        <f>Hoja1!F44</f>
        <v>2</v>
      </c>
      <c r="P41" s="61">
        <f>Hoja1!G44</f>
        <v>3</v>
      </c>
      <c r="Q41" s="61">
        <f>Hoja1!H44</f>
        <v>-1</v>
      </c>
      <c r="R41" s="61">
        <f>Hoja1!I44</f>
        <v>4</v>
      </c>
      <c r="S41" s="62">
        <f>SUM(L41:N41)</f>
        <v>3</v>
      </c>
    </row>
    <row r="42" spans="2:21" ht="12" thickBot="1" x14ac:dyDescent="0.25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0</v>
      </c>
      <c r="H42" s="50" t="str">
        <f>'GRUPO F'!H20</f>
        <v>México</v>
      </c>
      <c r="I42" s="46">
        <f>IF('GRUPO F'!I20="","",'GRUPO F'!I20)</f>
        <v>1</v>
      </c>
      <c r="J42" s="47"/>
      <c r="K42" s="67" t="str">
        <f>Hoja1!B45</f>
        <v>Corea</v>
      </c>
      <c r="L42" s="68">
        <f>Hoja1!C45</f>
        <v>0</v>
      </c>
      <c r="M42" s="69">
        <f>Hoja1!D45</f>
        <v>0</v>
      </c>
      <c r="N42" s="69">
        <f>Hoja1!E45</f>
        <v>3</v>
      </c>
      <c r="O42" s="69">
        <f>Hoja1!F45</f>
        <v>0</v>
      </c>
      <c r="P42" s="69">
        <f>Hoja1!G45</f>
        <v>7</v>
      </c>
      <c r="Q42" s="69">
        <f>Hoja1!H45</f>
        <v>-7</v>
      </c>
      <c r="R42" s="69">
        <f>Hoja1!I45</f>
        <v>0</v>
      </c>
      <c r="S42" s="70">
        <f>SUM(L42:N42)</f>
        <v>3</v>
      </c>
    </row>
    <row r="43" spans="2:21" ht="12" thickTop="1" x14ac:dyDescent="0.2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0</v>
      </c>
      <c r="H43" s="45" t="str">
        <f>'GRUPO F'!H21</f>
        <v>Alemania</v>
      </c>
      <c r="I43" s="46">
        <f>IF('GRUPO F'!I21="","",'GRUPO F'!I21)</f>
        <v>4</v>
      </c>
      <c r="J43" s="47"/>
    </row>
    <row r="44" spans="2:21" ht="12" thickBot="1" x14ac:dyDescent="0.25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1</v>
      </c>
      <c r="H44" s="45" t="str">
        <f>'GRUPO F'!H22</f>
        <v>Suecia</v>
      </c>
      <c r="I44" s="46">
        <f>IF('GRUPO F'!I22="","",'GRUPO F'!I22)</f>
        <v>1</v>
      </c>
      <c r="J44" s="47"/>
    </row>
    <row r="45" spans="2:21" ht="12.75" thickTop="1" thickBot="1" x14ac:dyDescent="0.25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2" thickTop="1" x14ac:dyDescent="0.2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3</v>
      </c>
      <c r="H46" s="45" t="str">
        <f>'GRUPO G'!H17</f>
        <v>Panamá</v>
      </c>
      <c r="I46" s="46">
        <f>IF('GRUPO G'!I17="","",'GRUPO G'!I17)</f>
        <v>0</v>
      </c>
      <c r="J46" s="47"/>
      <c r="K46" s="51" t="str">
        <f>Hoja1!B49</f>
        <v>Bélgica</v>
      </c>
      <c r="L46" s="52">
        <f>Hoja1!C49</f>
        <v>3</v>
      </c>
      <c r="M46" s="53">
        <f>Hoja1!D49</f>
        <v>0</v>
      </c>
      <c r="N46" s="53">
        <f>Hoja1!E49</f>
        <v>0</v>
      </c>
      <c r="O46" s="53">
        <f>Hoja1!F49</f>
        <v>9</v>
      </c>
      <c r="P46" s="53">
        <f>Hoja1!G49</f>
        <v>2</v>
      </c>
      <c r="Q46" s="53">
        <f>Hoja1!H49</f>
        <v>7</v>
      </c>
      <c r="R46" s="53">
        <f>Hoja1!I49</f>
        <v>9</v>
      </c>
      <c r="S46" s="54">
        <f>SUM(L46:N46)</f>
        <v>3</v>
      </c>
      <c r="U46" s="75" t="str">
        <f>K46</f>
        <v>Bélgica</v>
      </c>
    </row>
    <row r="47" spans="2:21" ht="12" thickBot="1" x14ac:dyDescent="0.25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0</v>
      </c>
      <c r="H47" s="50" t="str">
        <f>'GRUPO G'!H18</f>
        <v>Inglaterra</v>
      </c>
      <c r="I47" s="46">
        <f>IF('GRUPO G'!I18="","",'GRUPO G'!I18)</f>
        <v>3</v>
      </c>
      <c r="J47" s="47"/>
      <c r="K47" s="59" t="str">
        <f>Hoja1!B50</f>
        <v>Inglaterra</v>
      </c>
      <c r="L47" s="60">
        <f>Hoja1!C50</f>
        <v>2</v>
      </c>
      <c r="M47" s="61">
        <f>Hoja1!D50</f>
        <v>0</v>
      </c>
      <c r="N47" s="61">
        <f>Hoja1!E50</f>
        <v>1</v>
      </c>
      <c r="O47" s="61">
        <f>Hoja1!F50</f>
        <v>7</v>
      </c>
      <c r="P47" s="61">
        <f>Hoja1!G50</f>
        <v>2</v>
      </c>
      <c r="Q47" s="61">
        <f>Hoja1!H50</f>
        <v>5</v>
      </c>
      <c r="R47" s="61">
        <f>Hoja1!I50</f>
        <v>6</v>
      </c>
      <c r="S47" s="62">
        <f>SUM(L47:N47)</f>
        <v>3</v>
      </c>
      <c r="U47" s="76" t="str">
        <f>K47</f>
        <v>Inglaterra</v>
      </c>
    </row>
    <row r="48" spans="2:21" ht="12" thickTop="1" x14ac:dyDescent="0.2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4</v>
      </c>
      <c r="H48" s="45" t="str">
        <f>'GRUPO G'!H19</f>
        <v>Túnez</v>
      </c>
      <c r="I48" s="46">
        <f>IF('GRUPO G'!I19="","",'GRUPO G'!I19)</f>
        <v>1</v>
      </c>
      <c r="J48" s="47"/>
      <c r="K48" s="59" t="str">
        <f>Hoja1!B51</f>
        <v>Túnez</v>
      </c>
      <c r="L48" s="60">
        <f>Hoja1!C51</f>
        <v>1</v>
      </c>
      <c r="M48" s="61">
        <f>Hoja1!D51</f>
        <v>0</v>
      </c>
      <c r="N48" s="61">
        <f>Hoja1!E51</f>
        <v>2</v>
      </c>
      <c r="O48" s="61">
        <f>Hoja1!F51</f>
        <v>2</v>
      </c>
      <c r="P48" s="61">
        <f>Hoja1!G51</f>
        <v>7</v>
      </c>
      <c r="Q48" s="61">
        <f>Hoja1!H51</f>
        <v>-5</v>
      </c>
      <c r="R48" s="61">
        <f>Hoja1!I51</f>
        <v>3</v>
      </c>
      <c r="S48" s="62">
        <f>SUM(L48:N48)</f>
        <v>3</v>
      </c>
    </row>
    <row r="49" spans="2:21" ht="12" thickBot="1" x14ac:dyDescent="0.25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3</v>
      </c>
      <c r="H49" s="50" t="str">
        <f>'GRUPO G'!H20</f>
        <v>Panamá</v>
      </c>
      <c r="I49" s="46">
        <f>IF('GRUPO G'!I20="","",'GRUPO G'!I20)</f>
        <v>0</v>
      </c>
      <c r="J49" s="47"/>
      <c r="K49" s="67" t="str">
        <f>Hoja1!B52</f>
        <v>Panamá</v>
      </c>
      <c r="L49" s="68">
        <f>Hoja1!C52</f>
        <v>0</v>
      </c>
      <c r="M49" s="69">
        <f>Hoja1!D52</f>
        <v>0</v>
      </c>
      <c r="N49" s="69">
        <f>Hoja1!E52</f>
        <v>3</v>
      </c>
      <c r="O49" s="69">
        <f>Hoja1!F52</f>
        <v>0</v>
      </c>
      <c r="P49" s="69">
        <f>Hoja1!G52</f>
        <v>7</v>
      </c>
      <c r="Q49" s="69">
        <f>Hoja1!H52</f>
        <v>-7</v>
      </c>
      <c r="R49" s="69">
        <f>Hoja1!I52</f>
        <v>0</v>
      </c>
      <c r="S49" s="70">
        <f>SUM(L49:N49)</f>
        <v>3</v>
      </c>
    </row>
    <row r="50" spans="2:21" ht="12" thickTop="1" x14ac:dyDescent="0.2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1</v>
      </c>
      <c r="H50" s="45" t="str">
        <f>'GRUPO G'!H21</f>
        <v>Bélgica</v>
      </c>
      <c r="I50" s="46">
        <f>IF('GRUPO G'!I21="","",'GRUPO G'!I21)</f>
        <v>2</v>
      </c>
      <c r="J50" s="47"/>
    </row>
    <row r="51" spans="2:21" ht="12" thickBot="1" x14ac:dyDescent="0.25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0</v>
      </c>
      <c r="H51" s="45" t="str">
        <f>'GRUPO G'!H22</f>
        <v>Túnez</v>
      </c>
      <c r="I51" s="46">
        <f>IF('GRUPO G'!I22="","",'GRUPO G'!I22)</f>
        <v>1</v>
      </c>
      <c r="J51" s="47"/>
    </row>
    <row r="52" spans="2:21" ht="12.75" thickTop="1" thickBot="1" x14ac:dyDescent="0.25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2" thickTop="1" x14ac:dyDescent="0.2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2</v>
      </c>
      <c r="H53" s="45" t="str">
        <f>'GRUPO H'!H17</f>
        <v>Senegal</v>
      </c>
      <c r="I53" s="46">
        <f>IF('GRUPO H'!I17="","",'GRUPO H'!I17)</f>
        <v>1</v>
      </c>
      <c r="J53" s="47"/>
      <c r="K53" s="51" t="str">
        <f>Hoja1!B56</f>
        <v>Colombia</v>
      </c>
      <c r="L53" s="52">
        <f>Hoja1!C56</f>
        <v>2</v>
      </c>
      <c r="M53" s="53">
        <f>Hoja1!D56</f>
        <v>1</v>
      </c>
      <c r="N53" s="53">
        <f>Hoja1!E56</f>
        <v>0</v>
      </c>
      <c r="O53" s="53">
        <f>Hoja1!F56</f>
        <v>6</v>
      </c>
      <c r="P53" s="53">
        <f>Hoja1!G56</f>
        <v>3</v>
      </c>
      <c r="Q53" s="53">
        <f>Hoja1!H56</f>
        <v>3</v>
      </c>
      <c r="R53" s="53">
        <f>Hoja1!I56</f>
        <v>7</v>
      </c>
      <c r="S53" s="54">
        <f>SUM(L53:N53)</f>
        <v>3</v>
      </c>
      <c r="U53" s="75" t="str">
        <f>K53</f>
        <v>Colombia</v>
      </c>
    </row>
    <row r="54" spans="2:21" ht="12" thickBot="1" x14ac:dyDescent="0.25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2</v>
      </c>
      <c r="H54" s="50" t="str">
        <f>'GRUPO H'!H18</f>
        <v>Japón</v>
      </c>
      <c r="I54" s="46">
        <f>IF('GRUPO H'!I18="","",'GRUPO H'!I18)</f>
        <v>0</v>
      </c>
      <c r="J54" s="47"/>
      <c r="K54" s="59" t="str">
        <f>Hoja1!B57</f>
        <v>Polonia</v>
      </c>
      <c r="L54" s="60">
        <f>Hoja1!C57</f>
        <v>2</v>
      </c>
      <c r="M54" s="61">
        <f>Hoja1!D57</f>
        <v>1</v>
      </c>
      <c r="N54" s="61">
        <f>Hoja1!E57</f>
        <v>0</v>
      </c>
      <c r="O54" s="61">
        <f>Hoja1!F57</f>
        <v>6</v>
      </c>
      <c r="P54" s="61">
        <f>Hoja1!G57</f>
        <v>4</v>
      </c>
      <c r="Q54" s="61">
        <f>Hoja1!H57</f>
        <v>2</v>
      </c>
      <c r="R54" s="61">
        <f>Hoja1!I57</f>
        <v>7</v>
      </c>
      <c r="S54" s="62">
        <f>SUM(L54:N54)</f>
        <v>3</v>
      </c>
      <c r="U54" s="76" t="str">
        <f>K54</f>
        <v>Polonia</v>
      </c>
    </row>
    <row r="55" spans="2:21" ht="12" thickTop="1" x14ac:dyDescent="0.2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2</v>
      </c>
      <c r="H55" s="45" t="str">
        <f>'GRUPO H'!H19</f>
        <v>Colombia</v>
      </c>
      <c r="I55" s="46">
        <f>IF('GRUPO H'!I19="","",'GRUPO H'!I19)</f>
        <v>2</v>
      </c>
      <c r="J55" s="47"/>
      <c r="K55" s="59" t="str">
        <f>Hoja1!B58</f>
        <v>Senegal</v>
      </c>
      <c r="L55" s="60">
        <f>Hoja1!C58</f>
        <v>0</v>
      </c>
      <c r="M55" s="61">
        <f>Hoja1!D58</f>
        <v>1</v>
      </c>
      <c r="N55" s="61">
        <f>Hoja1!E58</f>
        <v>2</v>
      </c>
      <c r="O55" s="61">
        <f>Hoja1!F58</f>
        <v>3</v>
      </c>
      <c r="P55" s="61">
        <f>Hoja1!G58</f>
        <v>5</v>
      </c>
      <c r="Q55" s="61">
        <f>Hoja1!H58</f>
        <v>-2</v>
      </c>
      <c r="R55" s="61">
        <f>Hoja1!I58</f>
        <v>1</v>
      </c>
      <c r="S55" s="62">
        <f>SUM(L55:N55)</f>
        <v>3</v>
      </c>
    </row>
    <row r="56" spans="2:21" ht="12" thickBot="1" x14ac:dyDescent="0.25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1</v>
      </c>
      <c r="H56" s="50" t="str">
        <f>'GRUPO H'!H20</f>
        <v>Senegal</v>
      </c>
      <c r="I56" s="46">
        <f>IF('GRUPO H'!I20="","",'GRUPO H'!I20)</f>
        <v>1</v>
      </c>
      <c r="J56" s="47"/>
      <c r="K56" s="67" t="str">
        <f>Hoja1!B59</f>
        <v>Japón</v>
      </c>
      <c r="L56" s="68">
        <f>Hoja1!C59</f>
        <v>0</v>
      </c>
      <c r="M56" s="69">
        <f>Hoja1!D59</f>
        <v>1</v>
      </c>
      <c r="N56" s="69">
        <f>Hoja1!E59</f>
        <v>2</v>
      </c>
      <c r="O56" s="69">
        <f>Hoja1!F59</f>
        <v>2</v>
      </c>
      <c r="P56" s="69">
        <f>Hoja1!G59</f>
        <v>5</v>
      </c>
      <c r="Q56" s="69">
        <f>Hoja1!H59</f>
        <v>-3</v>
      </c>
      <c r="R56" s="69">
        <f>Hoja1!I59</f>
        <v>1</v>
      </c>
      <c r="S56" s="70">
        <f>SUM(L56:N56)</f>
        <v>3</v>
      </c>
    </row>
    <row r="57" spans="2:21" ht="12" thickTop="1" x14ac:dyDescent="0.2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1</v>
      </c>
      <c r="H57" s="45" t="str">
        <f>'GRUPO H'!H21</f>
        <v>Polonia</v>
      </c>
      <c r="I57" s="46">
        <f>IF('GRUPO H'!I21="","",'GRUPO H'!I21)</f>
        <v>2</v>
      </c>
      <c r="J57" s="47"/>
    </row>
    <row r="58" spans="2:21" ht="12" thickBot="1" x14ac:dyDescent="0.25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1</v>
      </c>
      <c r="H58" s="50" t="str">
        <f>'GRUPO H'!H22</f>
        <v>Colombia</v>
      </c>
      <c r="I58" s="74">
        <f>IF('GRUPO H'!I22="","",'GRUPO H'!I22)</f>
        <v>2</v>
      </c>
      <c r="J58" s="47"/>
    </row>
    <row r="59" spans="2:21" ht="12" thickTop="1" x14ac:dyDescent="0.2"/>
    <row r="62" spans="2:21" x14ac:dyDescent="0.2">
      <c r="C62" s="38">
        <f>IF('GRUPO A'!G17="","",'GRUPO A'!G17)</f>
        <v>2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2.75" x14ac:dyDescent="0.2"/>
  <cols>
    <col min="3" max="3" width="12.42578125" bestFit="1" customWidth="1"/>
    <col min="6" max="6" width="9.140625" customWidth="1"/>
    <col min="11" max="11" width="15.28515625" customWidth="1"/>
    <col min="14" max="14" width="9.140625" bestFit="1" customWidth="1"/>
  </cols>
  <sheetData>
    <row r="2" spans="2:14" x14ac:dyDescent="0.2">
      <c r="J2" t="s">
        <v>24</v>
      </c>
      <c r="K2" s="1">
        <f ca="1">NOW()</f>
        <v>43262.471987384262</v>
      </c>
    </row>
    <row r="3" spans="2:14" x14ac:dyDescent="0.2">
      <c r="M3" t="s">
        <v>69</v>
      </c>
      <c r="N3" t="s">
        <v>114</v>
      </c>
    </row>
    <row r="4" spans="2:14" x14ac:dyDescent="0.2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 x14ac:dyDescent="0.2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 x14ac:dyDescent="0.2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 x14ac:dyDescent="0.2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 x14ac:dyDescent="0.2">
      <c r="L8" t="s">
        <v>134</v>
      </c>
      <c r="M8" s="2">
        <v>0.75</v>
      </c>
      <c r="N8" s="2">
        <f t="shared" si="0"/>
        <v>0.70833333333333337</v>
      </c>
    </row>
    <row r="9" spans="2:14" x14ac:dyDescent="0.2">
      <c r="L9" t="s">
        <v>135</v>
      </c>
      <c r="M9" s="2">
        <v>0.79166666666666696</v>
      </c>
      <c r="N9" s="2">
        <f t="shared" si="0"/>
        <v>0.75000000000000033</v>
      </c>
    </row>
    <row r="10" spans="2:14" x14ac:dyDescent="0.2">
      <c r="L10" t="s">
        <v>136</v>
      </c>
      <c r="M10" s="2">
        <v>0.875</v>
      </c>
      <c r="N10" s="2">
        <f>+M10</f>
        <v>0.875</v>
      </c>
    </row>
    <row r="13" spans="2:14" x14ac:dyDescent="0.2">
      <c r="F13" t="s">
        <v>7</v>
      </c>
      <c r="G13" s="2">
        <v>0</v>
      </c>
      <c r="H13" t="s">
        <v>108</v>
      </c>
      <c r="I13" s="17" t="s">
        <v>125</v>
      </c>
    </row>
    <row r="14" spans="2:14" x14ac:dyDescent="0.2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 x14ac:dyDescent="0.2">
      <c r="F15" t="s">
        <v>69</v>
      </c>
      <c r="G15" s="2">
        <v>0</v>
      </c>
      <c r="H15" t="s">
        <v>108</v>
      </c>
      <c r="I15" t="s">
        <v>118</v>
      </c>
    </row>
    <row r="16" spans="2:14" x14ac:dyDescent="0.2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 x14ac:dyDescent="0.2">
      <c r="F17" t="s">
        <v>111</v>
      </c>
      <c r="G17" s="2">
        <v>8.3333333333333329E-2</v>
      </c>
      <c r="H17" t="s">
        <v>108</v>
      </c>
      <c r="I17" t="s">
        <v>126</v>
      </c>
    </row>
    <row r="18" spans="2:9" x14ac:dyDescent="0.2">
      <c r="F18" t="s">
        <v>112</v>
      </c>
      <c r="G18" s="2">
        <v>8.3333333333333329E-2</v>
      </c>
      <c r="H18" t="s">
        <v>108</v>
      </c>
      <c r="I18" t="s">
        <v>120</v>
      </c>
    </row>
    <row r="19" spans="2:9" x14ac:dyDescent="0.2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 x14ac:dyDescent="0.2">
      <c r="F20" t="s">
        <v>53</v>
      </c>
      <c r="G20" s="2">
        <v>0.125</v>
      </c>
      <c r="H20" t="s">
        <v>108</v>
      </c>
      <c r="I20" t="s">
        <v>127</v>
      </c>
    </row>
    <row r="21" spans="2:9" x14ac:dyDescent="0.2">
      <c r="F21" t="s">
        <v>55</v>
      </c>
      <c r="G21" s="2">
        <v>4.1666666666666664E-2</v>
      </c>
      <c r="H21" t="s">
        <v>108</v>
      </c>
      <c r="I21" t="s">
        <v>128</v>
      </c>
    </row>
    <row r="22" spans="2:9" x14ac:dyDescent="0.2">
      <c r="F22" t="s">
        <v>110</v>
      </c>
      <c r="G22" s="2">
        <v>8.3333333333333329E-2</v>
      </c>
      <c r="H22" t="s">
        <v>108</v>
      </c>
      <c r="I22" t="s">
        <v>129</v>
      </c>
    </row>
    <row r="23" spans="2:9" x14ac:dyDescent="0.2">
      <c r="F23" t="s">
        <v>31</v>
      </c>
      <c r="G23" s="2">
        <v>0.25</v>
      </c>
      <c r="H23" t="s">
        <v>109</v>
      </c>
      <c r="I23" t="s">
        <v>130</v>
      </c>
    </row>
    <row r="24" spans="2:9" x14ac:dyDescent="0.2">
      <c r="F24" t="s">
        <v>57</v>
      </c>
      <c r="G24" s="2">
        <v>0</v>
      </c>
      <c r="H24" t="s">
        <v>108</v>
      </c>
      <c r="I24" t="s">
        <v>131</v>
      </c>
    </row>
    <row r="25" spans="2:9" x14ac:dyDescent="0.2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40625" defaultRowHeight="12.75" x14ac:dyDescent="0.2"/>
  <cols>
    <col min="1" max="10" width="9.140625" style="4"/>
    <col min="11" max="11" width="14.140625" style="4" customWidth="1"/>
    <col min="12" max="22" width="9.140625" style="4"/>
    <col min="23" max="23" width="15.85546875" style="4" customWidth="1"/>
    <col min="24" max="24" width="14.140625" style="5" customWidth="1"/>
    <col min="25" max="25" width="9.140625" style="4"/>
    <col min="26" max="26" width="3.42578125" style="4" customWidth="1"/>
    <col min="27" max="27" width="12.28515625" style="4" customWidth="1"/>
    <col min="28" max="29" width="3.140625" style="4" customWidth="1"/>
    <col min="30" max="31" width="3.28515625" style="4" customWidth="1"/>
    <col min="32" max="32" width="3.42578125" style="4" customWidth="1"/>
    <col min="33" max="33" width="3.140625" style="4" customWidth="1"/>
    <col min="34" max="16384" width="9.140625" style="4"/>
  </cols>
  <sheetData>
    <row r="1" spans="1:33" x14ac:dyDescent="0.2">
      <c r="A1"/>
      <c r="B1"/>
      <c r="C1"/>
      <c r="D1"/>
    </row>
    <row r="4" spans="1:33" x14ac:dyDescent="0.2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 x14ac:dyDescent="0.2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2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 x14ac:dyDescent="0.2">
      <c r="A7" s="6">
        <v>1</v>
      </c>
      <c r="B7" s="24" t="str">
        <f>INDEX(K$7:K$11,MATCH($A7,$X$7:$X$11,0))</f>
        <v>Uruguay</v>
      </c>
      <c r="C7" s="24">
        <f t="shared" ref="C7:I7" si="0">INDEX(L$7:L$11,MATCH($A7,$X$7:$X$11,0))</f>
        <v>3</v>
      </c>
      <c r="D7" s="24">
        <f t="shared" si="0"/>
        <v>0</v>
      </c>
      <c r="E7" s="24">
        <f t="shared" si="0"/>
        <v>0</v>
      </c>
      <c r="F7" s="24">
        <f t="shared" si="0"/>
        <v>5</v>
      </c>
      <c r="G7" s="24">
        <f t="shared" si="0"/>
        <v>1</v>
      </c>
      <c r="H7" s="24">
        <f t="shared" si="0"/>
        <v>4</v>
      </c>
      <c r="I7" s="24">
        <f t="shared" si="0"/>
        <v>9</v>
      </c>
      <c r="K7" s="13" t="str">
        <f>equipos!$D2</f>
        <v>Rusia</v>
      </c>
      <c r="L7" s="13">
        <f>'tabla posiciones auxiliar'!N3</f>
        <v>1</v>
      </c>
      <c r="M7" s="13">
        <f>'tabla posiciones auxiliar'!P3</f>
        <v>1</v>
      </c>
      <c r="N7" s="13">
        <f>'tabla posiciones auxiliar'!O3</f>
        <v>1</v>
      </c>
      <c r="O7" s="13">
        <f>'tabla posiciones auxiliar'!Q3</f>
        <v>4</v>
      </c>
      <c r="P7" s="13">
        <f>'tabla posiciones auxiliar'!R3</f>
        <v>3</v>
      </c>
      <c r="Q7" s="13">
        <f>O7-P7</f>
        <v>1</v>
      </c>
      <c r="R7" s="13">
        <f>L7*3+M7</f>
        <v>4</v>
      </c>
      <c r="S7" s="13">
        <f>IF(SUM(L7:N7)=0,ROW()-6,RANK(R7,$R$7:$R$10))</f>
        <v>2</v>
      </c>
      <c r="T7" s="13">
        <f>SUMPRODUCT(($R$7:$R$10=R7)*(Q7&lt;$Q$7:$Q$10))</f>
        <v>0</v>
      </c>
      <c r="U7" s="13">
        <f>S7+T7</f>
        <v>2</v>
      </c>
      <c r="V7" s="24">
        <f>RANK(U7,$U$7:$U$10,1)+COUNTIF($U$7:U7,U7)-1</f>
        <v>2</v>
      </c>
      <c r="W7" s="14">
        <f>R7*100+(O7-P7)*10+O7-ROW(K7)*0.01</f>
        <v>413.93</v>
      </c>
      <c r="X7" s="12">
        <f>RANK(W7,$W$7:$W$10,0)</f>
        <v>2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 x14ac:dyDescent="0.2">
      <c r="A8" s="6">
        <v>2</v>
      </c>
      <c r="B8" s="24" t="str">
        <f>INDEX(K$7:K$11,MATCH($A8,$X$7:$X$11,0))</f>
        <v>Rusia</v>
      </c>
      <c r="C8" s="24">
        <f t="shared" ref="C8:I10" si="1">INDEX(L$7:L$11,MATCH($A8,$X$7:$X$11,0))</f>
        <v>1</v>
      </c>
      <c r="D8" s="24">
        <f t="shared" si="1"/>
        <v>1</v>
      </c>
      <c r="E8" s="24">
        <f t="shared" si="1"/>
        <v>1</v>
      </c>
      <c r="F8" s="24">
        <f t="shared" si="1"/>
        <v>4</v>
      </c>
      <c r="G8" s="24">
        <f t="shared" si="1"/>
        <v>3</v>
      </c>
      <c r="H8" s="24">
        <f t="shared" si="1"/>
        <v>1</v>
      </c>
      <c r="I8" s="24">
        <f t="shared" si="1"/>
        <v>4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0</v>
      </c>
      <c r="N8" s="13">
        <f>'tabla posiciones auxiliar'!O4</f>
        <v>3</v>
      </c>
      <c r="O8" s="13">
        <f>'tabla posiciones auxiliar'!Q4</f>
        <v>1</v>
      </c>
      <c r="P8" s="13">
        <f>'tabla posiciones auxiliar'!R4</f>
        <v>6</v>
      </c>
      <c r="Q8" s="13">
        <f>O8-P8</f>
        <v>-5</v>
      </c>
      <c r="R8" s="13">
        <f>L8*3+M8</f>
        <v>0</v>
      </c>
      <c r="S8" s="13">
        <f>IF(SUM(L8:N8)=0,ROW()-6,RANK(R8,$R$7:$R$10))</f>
        <v>4</v>
      </c>
      <c r="T8" s="13">
        <f>SUMPRODUCT(($R$7:$R$10=R8)*(Q8&lt;$Q$7:$Q$10))</f>
        <v>0</v>
      </c>
      <c r="U8" s="13">
        <f>S8+T8</f>
        <v>4</v>
      </c>
      <c r="V8" s="24">
        <f>RANK(U8,$U$7:$U$10,1)+COUNTIF($U$7:U8,U8)-1</f>
        <v>4</v>
      </c>
      <c r="W8" s="14">
        <f>R8*100+(O8-P8)*10+O8-ROW(K8)*0.01</f>
        <v>-49.08</v>
      </c>
      <c r="X8" s="12">
        <f>RANK(W8,$W$7:$W$10,0)</f>
        <v>4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 x14ac:dyDescent="0.2">
      <c r="A9" s="6">
        <v>3</v>
      </c>
      <c r="B9" s="24" t="str">
        <f>INDEX(K$7:K$11,MATCH($A9,$X$7:$X$11,0))</f>
        <v>Egipto</v>
      </c>
      <c r="C9" s="24">
        <f t="shared" si="1"/>
        <v>1</v>
      </c>
      <c r="D9" s="24">
        <f t="shared" si="1"/>
        <v>1</v>
      </c>
      <c r="E9" s="24">
        <f t="shared" si="1"/>
        <v>1</v>
      </c>
      <c r="F9" s="24">
        <f t="shared" si="1"/>
        <v>3</v>
      </c>
      <c r="G9" s="24">
        <f t="shared" si="1"/>
        <v>3</v>
      </c>
      <c r="H9" s="24">
        <f t="shared" si="1"/>
        <v>0</v>
      </c>
      <c r="I9" s="24">
        <f t="shared" si="1"/>
        <v>4</v>
      </c>
      <c r="K9" s="13" t="str">
        <f>equipos!$D4</f>
        <v>Egipto</v>
      </c>
      <c r="L9" s="13">
        <f>'tabla posiciones auxiliar'!N5</f>
        <v>1</v>
      </c>
      <c r="M9" s="13">
        <f>'tabla posiciones auxiliar'!P5</f>
        <v>1</v>
      </c>
      <c r="N9" s="13">
        <f>'tabla posiciones auxiliar'!O5</f>
        <v>1</v>
      </c>
      <c r="O9" s="13">
        <f>'tabla posiciones auxiliar'!Q5</f>
        <v>3</v>
      </c>
      <c r="P9" s="13">
        <f>'tabla posiciones auxiliar'!R5</f>
        <v>3</v>
      </c>
      <c r="Q9" s="13">
        <f>O9-P9</f>
        <v>0</v>
      </c>
      <c r="R9" s="13">
        <f>L9*3+M9</f>
        <v>4</v>
      </c>
      <c r="S9" s="13">
        <f>IF(SUM(L9:N9)=0,ROW()-6,RANK(R9,$R$7:$R$10))</f>
        <v>2</v>
      </c>
      <c r="T9" s="13">
        <f>SUMPRODUCT(($R$7:$R$10=R9)*(Q9&lt;$Q$7:$Q$10))</f>
        <v>1</v>
      </c>
      <c r="U9" s="13">
        <f>S9+T9</f>
        <v>3</v>
      </c>
      <c r="V9" s="24">
        <f>RANK(U9,$U$7:$U$10,1)+COUNTIF($U$7:U9,U9)-1</f>
        <v>3</v>
      </c>
      <c r="W9" s="14">
        <f>R9*100+(O9-P9)*10+O9-ROW(K9)*0.01</f>
        <v>402.91</v>
      </c>
      <c r="X9" s="12">
        <f>RANK(W9,$W$7:$W$10,0)</f>
        <v>3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 x14ac:dyDescent="0.2">
      <c r="A10" s="6">
        <v>4</v>
      </c>
      <c r="B10" s="24" t="str">
        <f>INDEX(K$7:K$11,MATCH($A10,$X$7:$X$11,0))</f>
        <v>Arabia Saudí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1</v>
      </c>
      <c r="G10" s="24">
        <f t="shared" si="1"/>
        <v>6</v>
      </c>
      <c r="H10" s="24">
        <f t="shared" si="1"/>
        <v>-5</v>
      </c>
      <c r="I10" s="24">
        <f t="shared" si="1"/>
        <v>0</v>
      </c>
      <c r="K10" s="13" t="str">
        <f>equipos!$D5</f>
        <v>Uruguay</v>
      </c>
      <c r="L10" s="13">
        <f>'tabla posiciones auxiliar'!N6</f>
        <v>3</v>
      </c>
      <c r="M10" s="13">
        <f>'tabla posiciones auxiliar'!P6</f>
        <v>0</v>
      </c>
      <c r="N10" s="13">
        <f>'tabla posiciones auxiliar'!O6</f>
        <v>0</v>
      </c>
      <c r="O10" s="13">
        <f>'tabla posiciones auxiliar'!Q6</f>
        <v>5</v>
      </c>
      <c r="P10" s="13">
        <f>'tabla posiciones auxiliar'!R6</f>
        <v>1</v>
      </c>
      <c r="Q10" s="13">
        <f>O10-P10</f>
        <v>4</v>
      </c>
      <c r="R10" s="13">
        <f>L10*3+M10</f>
        <v>9</v>
      </c>
      <c r="S10" s="13">
        <f>IF(SUM(L10:N10)=0,ROW()-6,RANK(R10,$R$7:$R$10))</f>
        <v>1</v>
      </c>
      <c r="T10" s="13">
        <f>SUMPRODUCT(($R$7:$R$10=R10)*(Q10&lt;$Q$7:$Q$10))</f>
        <v>0</v>
      </c>
      <c r="U10" s="13">
        <f>S10+T10</f>
        <v>1</v>
      </c>
      <c r="V10" s="24">
        <f>RANK(U10,$U$7:$U$10,1)+COUNTIF($U$7:U10,U10)-1</f>
        <v>1</v>
      </c>
      <c r="W10" s="14">
        <f>R10*100+(O10-P10)*10+O10-ROW(K10)*0.01</f>
        <v>944.9</v>
      </c>
      <c r="X10" s="12">
        <f>RANK(W10,$W$7:$W$10,0)</f>
        <v>1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 x14ac:dyDescent="0.2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 x14ac:dyDescent="0.2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 x14ac:dyDescent="0.2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">
      <c r="A14" s="6">
        <v>1</v>
      </c>
      <c r="B14" s="24" t="str">
        <f>INDEX(K$14:K$18,MATCH($A14,$X$14:$X$18,0))</f>
        <v>España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9</v>
      </c>
      <c r="G14" s="24">
        <f t="shared" si="2"/>
        <v>1</v>
      </c>
      <c r="H14" s="24">
        <f t="shared" si="2"/>
        <v>8</v>
      </c>
      <c r="I14" s="24">
        <f t="shared" si="2"/>
        <v>9</v>
      </c>
      <c r="K14" s="13" t="str">
        <f>equipos!D7</f>
        <v>Portugal</v>
      </c>
      <c r="L14" s="13">
        <f>'tabla posiciones auxiliar'!N10</f>
        <v>2</v>
      </c>
      <c r="M14" s="13">
        <f>'tabla posiciones auxiliar'!P10</f>
        <v>0</v>
      </c>
      <c r="N14" s="13">
        <f>'tabla posiciones auxiliar'!O10</f>
        <v>1</v>
      </c>
      <c r="O14" s="13">
        <f>'tabla posiciones auxiliar'!Q10</f>
        <v>6</v>
      </c>
      <c r="P14" s="13">
        <f>'tabla posiciones auxiliar'!R10</f>
        <v>3</v>
      </c>
      <c r="Q14" s="13">
        <f>O14-P14</f>
        <v>3</v>
      </c>
      <c r="R14" s="13">
        <f>L14*3+M14</f>
        <v>6</v>
      </c>
      <c r="S14" s="13">
        <f>IF(SUM(L14:N14)=0,ROW()-13,RANK(R14,$R$14:$R$17))</f>
        <v>2</v>
      </c>
      <c r="T14" s="13">
        <f>SUMPRODUCT(($R$14:$R$17=R14)*(Q14&lt;$Q$14:$Q$17))</f>
        <v>0</v>
      </c>
      <c r="U14" s="13">
        <f>S14+T14</f>
        <v>2</v>
      </c>
      <c r="V14" s="24">
        <f>RANK(U14,$U$14:$U$17,1)+COUNTIF($U$14:U14,U14)-1</f>
        <v>2</v>
      </c>
      <c r="W14" s="14">
        <f>R14*100+(O14-P14)*10+O14-ROW(K14)*0.01</f>
        <v>635.86</v>
      </c>
      <c r="X14" s="12">
        <f>RANK(W14,$W$14:$W$17,0)</f>
        <v>2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">
      <c r="A15" s="6">
        <v>2</v>
      </c>
      <c r="B15" s="24" t="str">
        <f>INDEX(K$14:K$18,MATCH($A15,$X$14:$X$18,0))</f>
        <v>Portugal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6</v>
      </c>
      <c r="G15" s="24">
        <f t="shared" si="3"/>
        <v>3</v>
      </c>
      <c r="H15" s="24">
        <f t="shared" si="3"/>
        <v>3</v>
      </c>
      <c r="I15" s="24">
        <f t="shared" si="3"/>
        <v>6</v>
      </c>
      <c r="K15" s="13" t="str">
        <f>equipos!D8</f>
        <v>España</v>
      </c>
      <c r="L15" s="13">
        <f>'tabla posiciones auxiliar'!N11</f>
        <v>3</v>
      </c>
      <c r="M15" s="13">
        <f>'tabla posiciones auxiliar'!P11</f>
        <v>0</v>
      </c>
      <c r="N15" s="13">
        <f>'tabla posiciones auxiliar'!O11</f>
        <v>0</v>
      </c>
      <c r="O15" s="13">
        <f>'tabla posiciones auxiliar'!Q11</f>
        <v>9</v>
      </c>
      <c r="P15" s="13">
        <f>'tabla posiciones auxiliar'!R11</f>
        <v>1</v>
      </c>
      <c r="Q15" s="13">
        <f>O15-P15</f>
        <v>8</v>
      </c>
      <c r="R15" s="13">
        <f>L15*3+M15</f>
        <v>9</v>
      </c>
      <c r="S15" s="13">
        <f>IF(SUM(L15:N15)=0,ROW()-13,RANK(R15,$R$14:$R$17))</f>
        <v>1</v>
      </c>
      <c r="T15" s="13">
        <f>SUMPRODUCT(($R$14:$R$17=R15)*(Q15&lt;$Q$14:$Q$17))</f>
        <v>0</v>
      </c>
      <c r="U15" s="13">
        <f>S15+T15</f>
        <v>1</v>
      </c>
      <c r="V15" s="24">
        <f>RANK(U15,$U$14:$U$18,1)+COUNTIF($U$14:U15,U15)-1</f>
        <v>1</v>
      </c>
      <c r="W15" s="14">
        <f>R15*100+(O15-P15)*10+O15-ROW(K15)*0.01</f>
        <v>988.85</v>
      </c>
      <c r="X15" s="12">
        <f>RANK(W15,$W$14:$W$17,0)</f>
        <v>1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x14ac:dyDescent="0.2">
      <c r="A16" s="6">
        <v>3</v>
      </c>
      <c r="B16" s="24" t="str">
        <f>INDEX(K$14:K$18,MATCH($A16,$X$14:$X$18,0))</f>
        <v>Marruecos</v>
      </c>
      <c r="C16" s="24">
        <f t="shared" si="3"/>
        <v>1</v>
      </c>
      <c r="D16" s="24">
        <f t="shared" si="3"/>
        <v>0</v>
      </c>
      <c r="E16" s="24">
        <f t="shared" si="3"/>
        <v>2</v>
      </c>
      <c r="F16" s="24">
        <f t="shared" si="3"/>
        <v>3</v>
      </c>
      <c r="G16" s="24">
        <f t="shared" si="3"/>
        <v>5</v>
      </c>
      <c r="H16" s="24">
        <f t="shared" si="3"/>
        <v>-2</v>
      </c>
      <c r="I16" s="24">
        <f t="shared" si="3"/>
        <v>3</v>
      </c>
      <c r="K16" s="13" t="str">
        <f>equipos!D9</f>
        <v>Marruecos</v>
      </c>
      <c r="L16" s="13">
        <f>'tabla posiciones auxiliar'!N12</f>
        <v>1</v>
      </c>
      <c r="M16" s="13">
        <f>'tabla posiciones auxiliar'!P12</f>
        <v>0</v>
      </c>
      <c r="N16" s="13">
        <f>'tabla posiciones auxiliar'!O12</f>
        <v>2</v>
      </c>
      <c r="O16" s="13">
        <f>'tabla posiciones auxiliar'!Q12</f>
        <v>3</v>
      </c>
      <c r="P16" s="13">
        <f>'tabla posiciones auxiliar'!R12</f>
        <v>5</v>
      </c>
      <c r="Q16" s="13">
        <f>O16-P16</f>
        <v>-2</v>
      </c>
      <c r="R16" s="13">
        <f>L16*3+M16</f>
        <v>3</v>
      </c>
      <c r="S16" s="13">
        <f>IF(SUM(L16:N16)=0,ROW()-13,RANK(R16,$R$14:$R$17))</f>
        <v>3</v>
      </c>
      <c r="T16" s="13">
        <f>SUMPRODUCT(($R$14:$R$17=R16)*(Q16&lt;$Q$14:$Q$17))</f>
        <v>0</v>
      </c>
      <c r="U16" s="13">
        <f>S16+T16</f>
        <v>3</v>
      </c>
      <c r="V16" s="24">
        <f>RANK(U16,$U$14:$U$18,1)+COUNTIF($U$14:U16,U16)-1</f>
        <v>3</v>
      </c>
      <c r="W16" s="14">
        <f>R16*100+(O16-P16)*10+O16-ROW(K16)*0.01</f>
        <v>282.83999999999997</v>
      </c>
      <c r="X16" s="12">
        <f>RANK(W16,$W$14:$W$17,0)</f>
        <v>3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">
      <c r="A17" s="6">
        <v>4</v>
      </c>
      <c r="B17" s="24" t="str">
        <f>INDEX(K$14:K$18,MATCH($A17,$X$14:$X$18,0))</f>
        <v>Irán</v>
      </c>
      <c r="C17" s="24">
        <f t="shared" si="3"/>
        <v>0</v>
      </c>
      <c r="D17" s="24">
        <f t="shared" si="3"/>
        <v>0</v>
      </c>
      <c r="E17" s="24">
        <f t="shared" si="3"/>
        <v>3</v>
      </c>
      <c r="F17" s="24">
        <f t="shared" si="3"/>
        <v>0</v>
      </c>
      <c r="G17" s="24">
        <f t="shared" si="3"/>
        <v>9</v>
      </c>
      <c r="H17" s="24">
        <f t="shared" si="3"/>
        <v>-9</v>
      </c>
      <c r="I17" s="24">
        <f t="shared" si="3"/>
        <v>0</v>
      </c>
      <c r="K17" s="13" t="str">
        <f>equipos!D10</f>
        <v>Irán</v>
      </c>
      <c r="L17" s="13">
        <f>'tabla posiciones auxiliar'!N13</f>
        <v>0</v>
      </c>
      <c r="M17" s="13">
        <f>'tabla posiciones auxiliar'!P13</f>
        <v>0</v>
      </c>
      <c r="N17" s="13">
        <f>'tabla posiciones auxiliar'!O13</f>
        <v>3</v>
      </c>
      <c r="O17" s="13">
        <f>'tabla posiciones auxiliar'!Q13</f>
        <v>0</v>
      </c>
      <c r="P17" s="13">
        <f>'tabla posiciones auxiliar'!R13</f>
        <v>9</v>
      </c>
      <c r="Q17" s="13">
        <f>O17-P17</f>
        <v>-9</v>
      </c>
      <c r="R17" s="13">
        <f>L17*3+M17</f>
        <v>0</v>
      </c>
      <c r="S17" s="13">
        <f>IF(SUM(L17:N17)=0,ROW()-13,RANK(R17,$R$14:$R$17))</f>
        <v>4</v>
      </c>
      <c r="T17" s="13">
        <f>SUMPRODUCT(($R$14:$R$17=R17)*(Q17&lt;$Q$14:$Q$17))</f>
        <v>0</v>
      </c>
      <c r="U17" s="13">
        <f>S17+T17</f>
        <v>4</v>
      </c>
      <c r="V17" s="24">
        <f>RANK(U17,$U$14:$U$18,1)+COUNTIF($U$14:U17,U17)-1</f>
        <v>4</v>
      </c>
      <c r="W17" s="14">
        <f>R17*100+(O17-P17)*10+O17-ROW(K17)*0.01</f>
        <v>-90.17</v>
      </c>
      <c r="X17" s="12">
        <f>RANK(W17,$W$14:$W$17,0)</f>
        <v>4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x14ac:dyDescent="0.2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 x14ac:dyDescent="0.2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">
      <c r="A21" s="6">
        <v>1</v>
      </c>
      <c r="B21" s="24" t="str">
        <f>INDEX(K$21:K$25,MATCH($A21,$X$21:$X$25,0))</f>
        <v>Francia</v>
      </c>
      <c r="C21" s="24">
        <f t="shared" ref="C21:I21" si="4">INDEX(L$21:L$25,MATCH($A21,$X$21:$X$25,0))</f>
        <v>2</v>
      </c>
      <c r="D21" s="24">
        <f t="shared" si="4"/>
        <v>1</v>
      </c>
      <c r="E21" s="24">
        <f t="shared" si="4"/>
        <v>0</v>
      </c>
      <c r="F21" s="24">
        <f t="shared" si="4"/>
        <v>7</v>
      </c>
      <c r="G21" s="24">
        <f t="shared" si="4"/>
        <v>3</v>
      </c>
      <c r="H21" s="24">
        <f t="shared" si="4"/>
        <v>4</v>
      </c>
      <c r="I21" s="24">
        <f t="shared" si="4"/>
        <v>7</v>
      </c>
      <c r="K21" s="13" t="str">
        <f>equipos!$D12</f>
        <v>Francia</v>
      </c>
      <c r="L21" s="13">
        <f>'tabla posiciones auxiliar'!N17</f>
        <v>2</v>
      </c>
      <c r="M21" s="13">
        <f>'tabla posiciones auxiliar'!P17</f>
        <v>1</v>
      </c>
      <c r="N21" s="13">
        <f>'tabla posiciones auxiliar'!O17</f>
        <v>0</v>
      </c>
      <c r="O21" s="13">
        <f>'tabla posiciones auxiliar'!Q17</f>
        <v>7</v>
      </c>
      <c r="P21" s="13">
        <f>'tabla posiciones auxiliar'!R17</f>
        <v>3</v>
      </c>
      <c r="Q21" s="13">
        <f>O21-P21</f>
        <v>4</v>
      </c>
      <c r="R21" s="13">
        <f>L21*3+M21</f>
        <v>7</v>
      </c>
      <c r="S21" s="13">
        <f>IF(SUM(L21:N21)=0,ROW()-20,RANK(R21,$R$21:$R$24))</f>
        <v>1</v>
      </c>
      <c r="T21" s="13">
        <f>SUMPRODUCT(($R$21:$R$24=R21)*(Q21&lt;$Q$21:$Q$24))</f>
        <v>0</v>
      </c>
      <c r="U21" s="13">
        <f>S21+T21</f>
        <v>1</v>
      </c>
      <c r="V21" s="24">
        <f>RANK(U21,$U$21:$U$24,1)+COUNTIF($U$21:U21,U21)-1</f>
        <v>1</v>
      </c>
      <c r="W21" s="14">
        <f>R21*100+(O21-P21)*10+O21-ROW(K21)*0.01</f>
        <v>746.79</v>
      </c>
      <c r="X21" s="12">
        <f>RANK(W21,$W$21:$W$24,0)</f>
        <v>1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x14ac:dyDescent="0.2">
      <c r="A22" s="6">
        <v>2</v>
      </c>
      <c r="B22" s="24" t="str">
        <f>INDEX(K$21:K$25,MATCH($A22,$X$21:$X$25,0))</f>
        <v>Perú</v>
      </c>
      <c r="C22" s="24">
        <f t="shared" ref="C22:I24" si="5">INDEX(L$21:L$25,MATCH($A22,$X$21:$X$25,0))</f>
        <v>2</v>
      </c>
      <c r="D22" s="24">
        <f t="shared" si="5"/>
        <v>1</v>
      </c>
      <c r="E22" s="24">
        <f t="shared" si="5"/>
        <v>0</v>
      </c>
      <c r="F22" s="24">
        <f t="shared" si="5"/>
        <v>6</v>
      </c>
      <c r="G22" s="24">
        <f t="shared" si="5"/>
        <v>4</v>
      </c>
      <c r="H22" s="24">
        <f t="shared" si="5"/>
        <v>2</v>
      </c>
      <c r="I22" s="24">
        <f t="shared" si="5"/>
        <v>7</v>
      </c>
      <c r="K22" s="13" t="str">
        <f>equipos!$D13</f>
        <v>Australia</v>
      </c>
      <c r="L22" s="13">
        <f>'tabla posiciones auxiliar'!N18</f>
        <v>0</v>
      </c>
      <c r="M22" s="13">
        <f>'tabla posiciones auxiliar'!P18</f>
        <v>1</v>
      </c>
      <c r="N22" s="13">
        <f>'tabla posiciones auxiliar'!O18</f>
        <v>2</v>
      </c>
      <c r="O22" s="13">
        <f>'tabla posiciones auxiliar'!Q18</f>
        <v>2</v>
      </c>
      <c r="P22" s="13">
        <f>'tabla posiciones auxiliar'!R18</f>
        <v>5</v>
      </c>
      <c r="Q22" s="13">
        <f>O22-P22</f>
        <v>-3</v>
      </c>
      <c r="R22" s="13">
        <f>L22*3+M22</f>
        <v>1</v>
      </c>
      <c r="S22" s="13">
        <f>IF(SUM(L22:N22)=0,ROW()-20,RANK(R22,$R$21:$R$24))</f>
        <v>3</v>
      </c>
      <c r="T22" s="13">
        <f>SUMPRODUCT(($R$21:$R$24=R22)*(Q22&lt;$Q$21:$Q$24))</f>
        <v>0</v>
      </c>
      <c r="U22" s="13">
        <f>S22+T22</f>
        <v>3</v>
      </c>
      <c r="V22" s="24">
        <f>RANK(U22,$U$21:$U$24,1)+COUNTIF($U$21:U22,U22)-1</f>
        <v>3</v>
      </c>
      <c r="W22" s="14">
        <f>R22*100+(O22-P22)*10+O22-ROW(K22)*0.01</f>
        <v>71.78</v>
      </c>
      <c r="X22" s="12">
        <f>RANK(W22,$W$21:$W$24,0)</f>
        <v>4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">
      <c r="A23" s="6">
        <v>3</v>
      </c>
      <c r="B23" s="24" t="str">
        <f>INDEX(K$21:K$25,MATCH($A23,$X$21:$X$25,0))</f>
        <v>Dinamarca</v>
      </c>
      <c r="C23" s="24">
        <f t="shared" si="5"/>
        <v>0</v>
      </c>
      <c r="D23" s="24">
        <f t="shared" si="5"/>
        <v>1</v>
      </c>
      <c r="E23" s="24">
        <f t="shared" si="5"/>
        <v>2</v>
      </c>
      <c r="F23" s="24">
        <f t="shared" si="5"/>
        <v>3</v>
      </c>
      <c r="G23" s="24">
        <f t="shared" si="5"/>
        <v>6</v>
      </c>
      <c r="H23" s="24">
        <f t="shared" si="5"/>
        <v>-3</v>
      </c>
      <c r="I23" s="24">
        <f t="shared" si="5"/>
        <v>1</v>
      </c>
      <c r="K23" s="13" t="str">
        <f>equipos!$D14</f>
        <v>Perú</v>
      </c>
      <c r="L23" s="13">
        <f>'tabla posiciones auxiliar'!N19</f>
        <v>2</v>
      </c>
      <c r="M23" s="13">
        <f>'tabla posiciones auxiliar'!P19</f>
        <v>1</v>
      </c>
      <c r="N23" s="13">
        <f>'tabla posiciones auxiliar'!O19</f>
        <v>0</v>
      </c>
      <c r="O23" s="13">
        <f>'tabla posiciones auxiliar'!Q19</f>
        <v>6</v>
      </c>
      <c r="P23" s="13">
        <f>'tabla posiciones auxiliar'!R19</f>
        <v>4</v>
      </c>
      <c r="Q23" s="13">
        <f>O23-P23</f>
        <v>2</v>
      </c>
      <c r="R23" s="13">
        <f>L23*3+M23</f>
        <v>7</v>
      </c>
      <c r="S23" s="13">
        <f>IF(SUM(L23:N23)=0,ROW()-20,RANK(R23,$R$21:$R$24))</f>
        <v>1</v>
      </c>
      <c r="T23" s="13">
        <f>SUMPRODUCT(($R$21:$R$24=R23)*(Q23&lt;$Q$21:$Q$24))</f>
        <v>1</v>
      </c>
      <c r="U23" s="13">
        <f>S23+T23</f>
        <v>2</v>
      </c>
      <c r="V23" s="24">
        <f>RANK(U23,$U$21:$U$24,1)+COUNTIF($U$21:U23,U23)-1</f>
        <v>2</v>
      </c>
      <c r="W23" s="14">
        <f>R23*100+(O23-P23)*10+O23-ROW(K23)*0.01</f>
        <v>725.77</v>
      </c>
      <c r="X23" s="12">
        <f>RANK(W23,$W$21:$W$24,0)</f>
        <v>2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2">
      <c r="A24" s="6">
        <v>4</v>
      </c>
      <c r="B24" s="24" t="str">
        <f>INDEX(K$21:K$25,MATCH($A24,$X$21:$X$25,0))</f>
        <v>Australia</v>
      </c>
      <c r="C24" s="24">
        <f t="shared" si="5"/>
        <v>0</v>
      </c>
      <c r="D24" s="24">
        <f t="shared" si="5"/>
        <v>1</v>
      </c>
      <c r="E24" s="24">
        <f t="shared" si="5"/>
        <v>2</v>
      </c>
      <c r="F24" s="24">
        <f t="shared" si="5"/>
        <v>2</v>
      </c>
      <c r="G24" s="24">
        <f t="shared" si="5"/>
        <v>5</v>
      </c>
      <c r="H24" s="24">
        <f t="shared" si="5"/>
        <v>-3</v>
      </c>
      <c r="I24" s="24">
        <f t="shared" si="5"/>
        <v>1</v>
      </c>
      <c r="K24" s="13" t="str">
        <f>equipos!$D15</f>
        <v>Dinamarca</v>
      </c>
      <c r="L24" s="13">
        <f>'tabla posiciones auxiliar'!N20</f>
        <v>0</v>
      </c>
      <c r="M24" s="13">
        <f>'tabla posiciones auxiliar'!P20</f>
        <v>1</v>
      </c>
      <c r="N24" s="13">
        <f>'tabla posiciones auxiliar'!O20</f>
        <v>2</v>
      </c>
      <c r="O24" s="13">
        <f>'tabla posiciones auxiliar'!Q20</f>
        <v>3</v>
      </c>
      <c r="P24" s="13">
        <f>'tabla posiciones auxiliar'!R20</f>
        <v>6</v>
      </c>
      <c r="Q24" s="13">
        <f>O24-P24</f>
        <v>-3</v>
      </c>
      <c r="R24" s="13">
        <f>L24*3+M24</f>
        <v>1</v>
      </c>
      <c r="S24" s="13">
        <f>IF(SUM(L24:N24)=0,ROW()-20,RANK(R24,$R$21:$R$24))</f>
        <v>3</v>
      </c>
      <c r="T24" s="13">
        <f>SUMPRODUCT(($R$21:$R$24=R24)*(Q24&lt;$Q$21:$Q$24))</f>
        <v>0</v>
      </c>
      <c r="U24" s="13">
        <f>S24+T24</f>
        <v>3</v>
      </c>
      <c r="V24" s="24">
        <f>RANK(U24,$U$21:$U$24,1)+COUNTIF($U$21:U24,U24)-1</f>
        <v>4</v>
      </c>
      <c r="W24" s="14">
        <f>R24*100+(O24-P24)*10+O24-ROW(K24)*0.01</f>
        <v>72.760000000000005</v>
      </c>
      <c r="X24" s="12">
        <f>RANK(W24,$W$21:$W$24,0)</f>
        <v>3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2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2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2">
      <c r="A28" s="6">
        <v>1</v>
      </c>
      <c r="B28" s="24" t="str">
        <f>INDEX(K$28:K$32,MATCH($A28,$X$28:$X$32,0))</f>
        <v>Argentina</v>
      </c>
      <c r="C28" s="24">
        <f t="shared" ref="C28:I28" si="6">INDEX(L$28:L$32,MATCH($A28,$X$28:$X$32,0))</f>
        <v>1</v>
      </c>
      <c r="D28" s="24">
        <f t="shared" si="6"/>
        <v>2</v>
      </c>
      <c r="E28" s="24">
        <f t="shared" si="6"/>
        <v>0</v>
      </c>
      <c r="F28" s="24">
        <f t="shared" si="6"/>
        <v>4</v>
      </c>
      <c r="G28" s="24">
        <f t="shared" si="6"/>
        <v>2</v>
      </c>
      <c r="H28" s="24">
        <f t="shared" si="6"/>
        <v>2</v>
      </c>
      <c r="I28" s="24">
        <f t="shared" si="6"/>
        <v>5</v>
      </c>
      <c r="K28" s="13" t="str">
        <f>equipos!$D17</f>
        <v>Argentina</v>
      </c>
      <c r="L28" s="13">
        <f>'tabla posiciones auxiliar'!N24</f>
        <v>1</v>
      </c>
      <c r="M28" s="13">
        <f>'tabla posiciones auxiliar'!P24</f>
        <v>2</v>
      </c>
      <c r="N28" s="13">
        <f>'tabla posiciones auxiliar'!O24</f>
        <v>0</v>
      </c>
      <c r="O28" s="13">
        <f>'tabla posiciones auxiliar'!Q24</f>
        <v>4</v>
      </c>
      <c r="P28" s="13">
        <f>'tabla posiciones auxiliar'!R24</f>
        <v>2</v>
      </c>
      <c r="Q28" s="13">
        <f>O28-P28</f>
        <v>2</v>
      </c>
      <c r="R28" s="13">
        <f>L28*3+M28</f>
        <v>5</v>
      </c>
      <c r="S28" s="13">
        <f>IF(SUM(L28:N28)=0,ROW()-27,RANK(R28,$R$28:$R$31))</f>
        <v>1</v>
      </c>
      <c r="T28" s="13">
        <f>SUMPRODUCT(($R$28:$R$32=R28)*(Q28&lt;$Q$28:$Q$32))</f>
        <v>0</v>
      </c>
      <c r="U28" s="13">
        <f>S28+T28</f>
        <v>1</v>
      </c>
      <c r="V28" s="24">
        <f>RANK(U28,$U$28:$U$31,1)+COUNTIF($U$28:U28,U28)-1</f>
        <v>1</v>
      </c>
      <c r="W28" s="14">
        <f>R28*100+(O28-P28)*10+O28-ROW(K28)*0.01</f>
        <v>523.72</v>
      </c>
      <c r="X28" s="12">
        <f>RANK(W28,$W$28:$W$31,0)</f>
        <v>1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">
      <c r="A29" s="6">
        <v>2</v>
      </c>
      <c r="B29" s="24" t="str">
        <f>INDEX(K$28:K$32,MATCH($A29,$X$28:$X$32,0))</f>
        <v>Croacia</v>
      </c>
      <c r="C29" s="24">
        <f t="shared" ref="C29:I31" si="7">INDEX(L$28:L$32,MATCH($A29,$X$28:$X$32,0))</f>
        <v>1</v>
      </c>
      <c r="D29" s="24">
        <f t="shared" si="7"/>
        <v>2</v>
      </c>
      <c r="E29" s="24">
        <f t="shared" si="7"/>
        <v>0</v>
      </c>
      <c r="F29" s="24">
        <f t="shared" si="7"/>
        <v>4</v>
      </c>
      <c r="G29" s="24">
        <f t="shared" si="7"/>
        <v>3</v>
      </c>
      <c r="H29" s="24">
        <f t="shared" si="7"/>
        <v>1</v>
      </c>
      <c r="I29" s="24">
        <f t="shared" si="7"/>
        <v>5</v>
      </c>
      <c r="K29" s="13" t="str">
        <f>equipos!$D18</f>
        <v>Islandia</v>
      </c>
      <c r="L29" s="13">
        <f>'tabla posiciones auxiliar'!N25</f>
        <v>0</v>
      </c>
      <c r="M29" s="13">
        <f>'tabla posiciones auxiliar'!P25</f>
        <v>1</v>
      </c>
      <c r="N29" s="13">
        <f>'tabla posiciones auxiliar'!O25</f>
        <v>2</v>
      </c>
      <c r="O29" s="13">
        <f>'tabla posiciones auxiliar'!Q25</f>
        <v>3</v>
      </c>
      <c r="P29" s="13">
        <f>'tabla posiciones auxiliar'!R25</f>
        <v>6</v>
      </c>
      <c r="Q29" s="13">
        <f>O29-P29</f>
        <v>-3</v>
      </c>
      <c r="R29" s="13">
        <f>L29*3+M29</f>
        <v>1</v>
      </c>
      <c r="S29" s="13">
        <f>IF(SUM(L29:N29)=0,ROW()-27,RANK(R29,$R$28:$R$31))</f>
        <v>4</v>
      </c>
      <c r="T29" s="13">
        <f>SUMPRODUCT(($R$28:$R$32=R29)*(Q29&lt;$Q$28:$Q$32))</f>
        <v>0</v>
      </c>
      <c r="U29" s="13">
        <f>S29+T29</f>
        <v>4</v>
      </c>
      <c r="V29" s="24">
        <f>RANK(U29,$U$28:$U$31,1)+COUNTIF($U$28:U29,U29)-1</f>
        <v>4</v>
      </c>
      <c r="W29" s="14">
        <f>R29*100+(O29-P29)*10+O29-ROW(K29)*0.01</f>
        <v>72.709999999999994</v>
      </c>
      <c r="X29" s="12">
        <f>RANK(W29,$W$28:$W$31,0)</f>
        <v>4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2">
      <c r="A30" s="6">
        <v>3</v>
      </c>
      <c r="B30" s="24" t="str">
        <f>INDEX(K$28:K$32,MATCH($A30,$X$28:$X$32,0))</f>
        <v>Nigeria</v>
      </c>
      <c r="C30" s="24">
        <f t="shared" si="7"/>
        <v>0</v>
      </c>
      <c r="D30" s="24">
        <f t="shared" si="7"/>
        <v>3</v>
      </c>
      <c r="E30" s="24">
        <f t="shared" si="7"/>
        <v>0</v>
      </c>
      <c r="F30" s="24">
        <f t="shared" si="7"/>
        <v>4</v>
      </c>
      <c r="G30" s="24">
        <f t="shared" si="7"/>
        <v>4</v>
      </c>
      <c r="H30" s="24">
        <f t="shared" si="7"/>
        <v>0</v>
      </c>
      <c r="I30" s="24">
        <f t="shared" si="7"/>
        <v>3</v>
      </c>
      <c r="K30" s="13" t="str">
        <f>equipos!$D19</f>
        <v>Croacia</v>
      </c>
      <c r="L30" s="13">
        <f>'tabla posiciones auxiliar'!N26</f>
        <v>1</v>
      </c>
      <c r="M30" s="13">
        <f>'tabla posiciones auxiliar'!P26</f>
        <v>2</v>
      </c>
      <c r="N30" s="13">
        <f>'tabla posiciones auxiliar'!O26</f>
        <v>0</v>
      </c>
      <c r="O30" s="13">
        <f>'tabla posiciones auxiliar'!Q26</f>
        <v>4</v>
      </c>
      <c r="P30" s="13">
        <f>'tabla posiciones auxiliar'!R26</f>
        <v>3</v>
      </c>
      <c r="Q30" s="13">
        <f>O30-P30</f>
        <v>1</v>
      </c>
      <c r="R30" s="13">
        <f>L30*3+M30</f>
        <v>5</v>
      </c>
      <c r="S30" s="13">
        <f>IF(SUM(L30:N30)=0,ROW()-27,RANK(R30,$R$28:$R$31))</f>
        <v>1</v>
      </c>
      <c r="T30" s="13">
        <f>SUMPRODUCT(($R$28:$R$32=R30)*(Q30&lt;$Q$28:$Q$32))</f>
        <v>1</v>
      </c>
      <c r="U30" s="13">
        <f>S30+T30</f>
        <v>2</v>
      </c>
      <c r="V30" s="24">
        <f>RANK(U30,$U$28:$U$31,1)+COUNTIF($U$28:U30,U30)-1</f>
        <v>2</v>
      </c>
      <c r="W30" s="14">
        <f>R30*100+(O30-P30)*10+O30-ROW(K30)*0.01</f>
        <v>513.70000000000005</v>
      </c>
      <c r="X30" s="12">
        <f>RANK(W30,$W$28:$W$31,0)</f>
        <v>2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">
      <c r="A31" s="6">
        <v>4</v>
      </c>
      <c r="B31" s="24" t="str">
        <f>INDEX(K$28:K$32,MATCH($A31,$X$28:$X$32,0))</f>
        <v>Islandia</v>
      </c>
      <c r="C31" s="24">
        <f t="shared" si="7"/>
        <v>0</v>
      </c>
      <c r="D31" s="24">
        <f t="shared" si="7"/>
        <v>1</v>
      </c>
      <c r="E31" s="24">
        <f t="shared" si="7"/>
        <v>2</v>
      </c>
      <c r="F31" s="24">
        <f t="shared" si="7"/>
        <v>3</v>
      </c>
      <c r="G31" s="24">
        <f t="shared" si="7"/>
        <v>6</v>
      </c>
      <c r="H31" s="24">
        <f t="shared" si="7"/>
        <v>-3</v>
      </c>
      <c r="I31" s="24">
        <f t="shared" si="7"/>
        <v>1</v>
      </c>
      <c r="K31" s="13" t="str">
        <f>equipos!$D20</f>
        <v>Nigeria</v>
      </c>
      <c r="L31" s="13">
        <f>'tabla posiciones auxiliar'!N27</f>
        <v>0</v>
      </c>
      <c r="M31" s="13">
        <f>'tabla posiciones auxiliar'!P27</f>
        <v>3</v>
      </c>
      <c r="N31" s="13">
        <f>'tabla posiciones auxiliar'!O27</f>
        <v>0</v>
      </c>
      <c r="O31" s="13">
        <f>'tabla posiciones auxiliar'!Q27</f>
        <v>4</v>
      </c>
      <c r="P31" s="13">
        <f>'tabla posiciones auxiliar'!R27</f>
        <v>4</v>
      </c>
      <c r="Q31" s="13">
        <f>O31-P31</f>
        <v>0</v>
      </c>
      <c r="R31" s="13">
        <f>L31*3+M31</f>
        <v>3</v>
      </c>
      <c r="S31" s="13">
        <f>IF(SUM(L31:N31)=0,ROW()-27,RANK(R31,$R$28:$R$31))</f>
        <v>3</v>
      </c>
      <c r="T31" s="13">
        <f>SUMPRODUCT(($R$28:$R$32=R31)*(Q31&lt;$Q$28:$Q$32))</f>
        <v>0</v>
      </c>
      <c r="U31" s="13">
        <f>S31+T31</f>
        <v>3</v>
      </c>
      <c r="V31" s="24">
        <f>RANK(U31,$U$28:$U$31,1)+COUNTIF($U$28:U31,U31)-1</f>
        <v>3</v>
      </c>
      <c r="W31" s="14">
        <f>R31*100+(O31-P31)*10+O31-ROW(K31)*0.01</f>
        <v>303.69</v>
      </c>
      <c r="X31" s="12">
        <f>RANK(W31,$W$28:$W$31,0)</f>
        <v>3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x14ac:dyDescent="0.2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 x14ac:dyDescent="0.2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x14ac:dyDescent="0.2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8</v>
      </c>
      <c r="G35" s="24">
        <f t="shared" si="8"/>
        <v>0</v>
      </c>
      <c r="H35" s="24">
        <f t="shared" si="8"/>
        <v>8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8</v>
      </c>
      <c r="P35" s="13">
        <f>'tabla posiciones auxiliar'!R31</f>
        <v>0</v>
      </c>
      <c r="Q35" s="13">
        <f>O35-P35</f>
        <v>8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987.65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">
      <c r="A36" s="6">
        <v>2</v>
      </c>
      <c r="B36" s="24" t="str">
        <f>INDEX(K$35:K$39,MATCH($A36,$X$35:$X$39,0))</f>
        <v>Suiza</v>
      </c>
      <c r="C36" s="24">
        <f t="shared" ref="C36:I38" si="9">INDEX(L$35:L$39,MATCH($A36,$X$35:$X$39,0))</f>
        <v>2</v>
      </c>
      <c r="D36" s="24">
        <f t="shared" si="9"/>
        <v>0</v>
      </c>
      <c r="E36" s="24">
        <f t="shared" si="9"/>
        <v>1</v>
      </c>
      <c r="F36" s="24">
        <f t="shared" si="9"/>
        <v>3</v>
      </c>
      <c r="G36" s="24">
        <f t="shared" si="9"/>
        <v>3</v>
      </c>
      <c r="H36" s="24">
        <f t="shared" si="9"/>
        <v>0</v>
      </c>
      <c r="I36" s="24">
        <f t="shared" si="9"/>
        <v>6</v>
      </c>
      <c r="K36" s="13" t="str">
        <f>equipos!$G3</f>
        <v>Suiza</v>
      </c>
      <c r="L36" s="13">
        <f>'tabla posiciones auxiliar'!N32</f>
        <v>2</v>
      </c>
      <c r="M36" s="13">
        <f>'tabla posiciones auxiliar'!P32</f>
        <v>0</v>
      </c>
      <c r="N36" s="13">
        <f>'tabla posiciones auxiliar'!O32</f>
        <v>1</v>
      </c>
      <c r="O36" s="13">
        <f>'tabla posiciones auxiliar'!Q32</f>
        <v>3</v>
      </c>
      <c r="P36" s="13">
        <f>'tabla posiciones auxiliar'!R32</f>
        <v>3</v>
      </c>
      <c r="Q36" s="13">
        <f>O36-P36</f>
        <v>0</v>
      </c>
      <c r="R36" s="13">
        <f>L36*3+M36</f>
        <v>6</v>
      </c>
      <c r="S36" s="13">
        <f>IF(SUM(L36:N36)=0,ROW()-34,RANK(R36,$R$35:$R$38))</f>
        <v>2</v>
      </c>
      <c r="T36" s="13">
        <f>SUMPRODUCT(($R$35:$R$38=R36)*(Q36&lt;$Q$35:$Q$38))</f>
        <v>0</v>
      </c>
      <c r="U36" s="13">
        <f>S36+T36</f>
        <v>2</v>
      </c>
      <c r="V36" s="24">
        <f>RANK(U36,$U$35:$U$38,1)+COUNTIF($U$35:U36,U36)-1</f>
        <v>2</v>
      </c>
      <c r="W36" s="14">
        <f>R36*100+(O36-P36)*10+O36-ROW(K36)*0.01</f>
        <v>602.64</v>
      </c>
      <c r="X36" s="12">
        <f>RANK(W36,$W$35:$W$38,0)</f>
        <v>2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">
      <c r="A37" s="6">
        <v>3</v>
      </c>
      <c r="B37" s="24" t="str">
        <f>INDEX(K$35:K$39,MATCH($A37,$X$35:$X$39,0))</f>
        <v>Costa Rica</v>
      </c>
      <c r="C37" s="24">
        <f t="shared" si="9"/>
        <v>1</v>
      </c>
      <c r="D37" s="24">
        <f t="shared" si="9"/>
        <v>0</v>
      </c>
      <c r="E37" s="24">
        <f t="shared" si="9"/>
        <v>2</v>
      </c>
      <c r="F37" s="24">
        <f t="shared" si="9"/>
        <v>1</v>
      </c>
      <c r="G37" s="24">
        <f t="shared" si="9"/>
        <v>4</v>
      </c>
      <c r="H37" s="24">
        <f t="shared" si="9"/>
        <v>-3</v>
      </c>
      <c r="I37" s="24">
        <f t="shared" si="9"/>
        <v>3</v>
      </c>
      <c r="K37" s="13" t="str">
        <f>equipos!$G4</f>
        <v>Costa Rica</v>
      </c>
      <c r="L37" s="13">
        <f>'tabla posiciones auxiliar'!N33</f>
        <v>1</v>
      </c>
      <c r="M37" s="13">
        <f>'tabla posiciones auxiliar'!P33</f>
        <v>0</v>
      </c>
      <c r="N37" s="13">
        <f>'tabla posiciones auxiliar'!O33</f>
        <v>2</v>
      </c>
      <c r="O37" s="13">
        <f>'tabla posiciones auxiliar'!Q33</f>
        <v>1</v>
      </c>
      <c r="P37" s="13">
        <f>'tabla posiciones auxiliar'!R33</f>
        <v>4</v>
      </c>
      <c r="Q37" s="13">
        <f>O37-P37</f>
        <v>-3</v>
      </c>
      <c r="R37" s="13">
        <f>L37*3+M37</f>
        <v>3</v>
      </c>
      <c r="S37" s="13">
        <f>IF(SUM(L37:N37)=0,ROW()-34,RANK(R37,$R$35:$R$38))</f>
        <v>3</v>
      </c>
      <c r="T37" s="13">
        <f>SUMPRODUCT(($R$35:$R$38=R37)*(Q37&lt;$Q$35:$Q$38))</f>
        <v>0</v>
      </c>
      <c r="U37" s="13">
        <f>S37+T37</f>
        <v>3</v>
      </c>
      <c r="V37" s="24">
        <f>RANK(U37,$U$35:$U$38,1)+COUNTIF($U$35:U37,U37)-1</f>
        <v>3</v>
      </c>
      <c r="W37" s="14">
        <f>R37*100+(O37-P37)*10+O37-ROW(K37)*0.01</f>
        <v>270.63</v>
      </c>
      <c r="X37" s="12">
        <f>RANK(W37,$W$35:$W$38,0)</f>
        <v>3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x14ac:dyDescent="0.2">
      <c r="A38" s="6">
        <v>4</v>
      </c>
      <c r="B38" s="24" t="str">
        <f>INDEX(K$35:K$39,MATCH($A38,$X$35:$X$39,0))</f>
        <v>Serbia</v>
      </c>
      <c r="C38" s="24">
        <f t="shared" si="9"/>
        <v>0</v>
      </c>
      <c r="D38" s="24">
        <f t="shared" si="9"/>
        <v>0</v>
      </c>
      <c r="E38" s="24">
        <f t="shared" si="9"/>
        <v>3</v>
      </c>
      <c r="F38" s="24">
        <f t="shared" si="9"/>
        <v>1</v>
      </c>
      <c r="G38" s="24">
        <f t="shared" si="9"/>
        <v>6</v>
      </c>
      <c r="H38" s="24">
        <f t="shared" si="9"/>
        <v>-5</v>
      </c>
      <c r="I38" s="24">
        <f t="shared" si="9"/>
        <v>0</v>
      </c>
      <c r="K38" s="13" t="str">
        <f>equipos!$G5</f>
        <v>Serbia</v>
      </c>
      <c r="L38" s="13">
        <f>'tabla posiciones auxiliar'!N34</f>
        <v>0</v>
      </c>
      <c r="M38" s="13">
        <f>'tabla posiciones auxiliar'!P34</f>
        <v>0</v>
      </c>
      <c r="N38" s="13">
        <f>'tabla posiciones auxiliar'!O34</f>
        <v>3</v>
      </c>
      <c r="O38" s="13">
        <f>'tabla posiciones auxiliar'!Q34</f>
        <v>1</v>
      </c>
      <c r="P38" s="13">
        <f>'tabla posiciones auxiliar'!R34</f>
        <v>6</v>
      </c>
      <c r="Q38" s="13">
        <f>O38-P38</f>
        <v>-5</v>
      </c>
      <c r="R38" s="13">
        <f>L38*3+M38</f>
        <v>0</v>
      </c>
      <c r="S38" s="13">
        <f>IF(SUM(L38:N38)=0,ROW()-34,RANK(R38,$R$35:$R$38))</f>
        <v>4</v>
      </c>
      <c r="T38" s="13">
        <f>SUMPRODUCT(($R$35:$R$38=R38)*(Q38&lt;$Q$35:$Q$38))</f>
        <v>0</v>
      </c>
      <c r="U38" s="13">
        <f>S38+T38</f>
        <v>4</v>
      </c>
      <c r="V38" s="24">
        <f>RANK(U38,$U$35:$U$38,1)+COUNTIF($U$35:U38,U38)-1</f>
        <v>4</v>
      </c>
      <c r="W38" s="14">
        <f>R38*100+(O38-P38)*10+O38-ROW(K38)*0.01</f>
        <v>-49.38</v>
      </c>
      <c r="X38" s="12">
        <f>RANK(W38,$W$35:$W$38,0)</f>
        <v>4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x14ac:dyDescent="0.2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x14ac:dyDescent="0.2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 x14ac:dyDescent="0.2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9</v>
      </c>
      <c r="G42" s="24">
        <f t="shared" si="10"/>
        <v>1</v>
      </c>
      <c r="H42" s="24">
        <f t="shared" si="10"/>
        <v>8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9</v>
      </c>
      <c r="P42" s="13">
        <f>'tabla posiciones auxiliar'!R38</f>
        <v>1</v>
      </c>
      <c r="Q42" s="13">
        <f>O42-P42</f>
        <v>8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988.58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">
      <c r="A43" s="6">
        <v>2</v>
      </c>
      <c r="B43" s="24" t="str">
        <f>INDEX(K$42:K$46,MATCH($A43,$X$42:$X$46,0))</f>
        <v>Suecia</v>
      </c>
      <c r="C43" s="24">
        <f t="shared" ref="C43:I45" si="11">INDEX(L$42:L$46,MATCH($A43,$X$42:$X$46,0))</f>
        <v>1</v>
      </c>
      <c r="D43" s="24">
        <f t="shared" si="11"/>
        <v>1</v>
      </c>
      <c r="E43" s="24">
        <f t="shared" si="11"/>
        <v>1</v>
      </c>
      <c r="F43" s="24">
        <f t="shared" si="11"/>
        <v>4</v>
      </c>
      <c r="G43" s="24">
        <f t="shared" si="11"/>
        <v>4</v>
      </c>
      <c r="H43" s="24">
        <f t="shared" si="11"/>
        <v>0</v>
      </c>
      <c r="I43" s="24">
        <f t="shared" si="11"/>
        <v>4</v>
      </c>
      <c r="K43" s="13" t="str">
        <f>equipos!$G8</f>
        <v>México</v>
      </c>
      <c r="L43" s="13">
        <f>'tabla posiciones auxiliar'!N39</f>
        <v>1</v>
      </c>
      <c r="M43" s="13">
        <f>'tabla posiciones auxiliar'!P39</f>
        <v>1</v>
      </c>
      <c r="N43" s="13">
        <f>'tabla posiciones auxiliar'!O39</f>
        <v>1</v>
      </c>
      <c r="O43" s="13">
        <f>'tabla posiciones auxiliar'!Q39</f>
        <v>2</v>
      </c>
      <c r="P43" s="13">
        <f>'tabla posiciones auxiliar'!R39</f>
        <v>3</v>
      </c>
      <c r="Q43" s="13">
        <f>O43-P43</f>
        <v>-1</v>
      </c>
      <c r="R43" s="13">
        <f>L43*3+M43</f>
        <v>4</v>
      </c>
      <c r="S43" s="13">
        <f>IF(SUM(L43:N43)=0,ROW()-41,RANK(R43,$R$42:$R$45))</f>
        <v>2</v>
      </c>
      <c r="T43" s="13">
        <f>SUMPRODUCT(($R$42:$R$45=R43)*(Q43&lt;$Q$42:$Q$45))</f>
        <v>1</v>
      </c>
      <c r="U43" s="13">
        <f>S43+T43</f>
        <v>3</v>
      </c>
      <c r="V43" s="24">
        <f>RANK(U43,$U$42:$U$45,1)+COUNTIF($U$42:U43,U43)-1</f>
        <v>3</v>
      </c>
      <c r="W43" s="14">
        <f>R43*100+(O43-P43)*10+O43-ROW(K43)*0.01</f>
        <v>391.57</v>
      </c>
      <c r="X43" s="12">
        <f>RANK(W43,$W$42:$W$45,0)</f>
        <v>3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A44" s="6">
        <v>3</v>
      </c>
      <c r="B44" s="24" t="str">
        <f>INDEX(K$42:K$46,MATCH($A44,$X$42:$X$46,0))</f>
        <v>México</v>
      </c>
      <c r="C44" s="24">
        <f t="shared" si="11"/>
        <v>1</v>
      </c>
      <c r="D44" s="24">
        <f t="shared" si="11"/>
        <v>1</v>
      </c>
      <c r="E44" s="24">
        <f t="shared" si="11"/>
        <v>1</v>
      </c>
      <c r="F44" s="24">
        <f t="shared" si="11"/>
        <v>2</v>
      </c>
      <c r="G44" s="24">
        <f t="shared" si="11"/>
        <v>3</v>
      </c>
      <c r="H44" s="24">
        <f t="shared" si="11"/>
        <v>-1</v>
      </c>
      <c r="I44" s="24">
        <f t="shared" si="11"/>
        <v>4</v>
      </c>
      <c r="K44" s="13" t="str">
        <f>equipos!$G9</f>
        <v>Suecia</v>
      </c>
      <c r="L44" s="13">
        <f>'tabla posiciones auxiliar'!N40</f>
        <v>1</v>
      </c>
      <c r="M44" s="13">
        <f>'tabla posiciones auxiliar'!P40</f>
        <v>1</v>
      </c>
      <c r="N44" s="13">
        <f>'tabla posiciones auxiliar'!O40</f>
        <v>1</v>
      </c>
      <c r="O44" s="13">
        <f>'tabla posiciones auxiliar'!Q40</f>
        <v>4</v>
      </c>
      <c r="P44" s="13">
        <f>'tabla posiciones auxiliar'!R40</f>
        <v>4</v>
      </c>
      <c r="Q44" s="13">
        <f>O44-P44</f>
        <v>0</v>
      </c>
      <c r="R44" s="13">
        <f>L44*3+M44</f>
        <v>4</v>
      </c>
      <c r="S44" s="13">
        <f>IF(SUM(L44:N44)=0,ROW()-41,RANK(R44,$R$42:$R$45))</f>
        <v>2</v>
      </c>
      <c r="T44" s="13">
        <f>SUMPRODUCT(($R$42:$R$45=R44)*(Q44&lt;$Q$42:$Q$45))</f>
        <v>0</v>
      </c>
      <c r="U44" s="13">
        <f>S44+T44</f>
        <v>2</v>
      </c>
      <c r="V44" s="24">
        <f>RANK(U44,$U$42:$U$45,1)+COUNTIF($U$42:U44,U44)-1</f>
        <v>2</v>
      </c>
      <c r="W44" s="14">
        <f>R44*100+(O44-P44)*10+O44-ROW(K44)*0.01</f>
        <v>403.56</v>
      </c>
      <c r="X44" s="12">
        <f>RANK(W44,$W$42:$W$45,0)</f>
        <v>2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2">
      <c r="A45" s="6">
        <v>4</v>
      </c>
      <c r="B45" s="24" t="str">
        <f>INDEX(K$42:K$46,MATCH($A45,$X$42:$X$46,0))</f>
        <v>Corea</v>
      </c>
      <c r="C45" s="24">
        <f t="shared" si="11"/>
        <v>0</v>
      </c>
      <c r="D45" s="24">
        <f t="shared" si="11"/>
        <v>0</v>
      </c>
      <c r="E45" s="24">
        <f t="shared" si="11"/>
        <v>3</v>
      </c>
      <c r="F45" s="24">
        <f t="shared" si="11"/>
        <v>0</v>
      </c>
      <c r="G45" s="24">
        <f t="shared" si="11"/>
        <v>7</v>
      </c>
      <c r="H45" s="24">
        <f t="shared" si="11"/>
        <v>-7</v>
      </c>
      <c r="I45" s="24">
        <f t="shared" si="11"/>
        <v>0</v>
      </c>
      <c r="K45" s="13" t="str">
        <f>equipos!$G10</f>
        <v>Corea</v>
      </c>
      <c r="L45" s="13">
        <f>'tabla posiciones auxiliar'!N41</f>
        <v>0</v>
      </c>
      <c r="M45" s="13">
        <f>'tabla posiciones auxiliar'!P41</f>
        <v>0</v>
      </c>
      <c r="N45" s="13">
        <f>'tabla posiciones auxiliar'!O41</f>
        <v>3</v>
      </c>
      <c r="O45" s="13">
        <f>'tabla posiciones auxiliar'!Q41</f>
        <v>0</v>
      </c>
      <c r="P45" s="13">
        <f>'tabla posiciones auxiliar'!R41</f>
        <v>7</v>
      </c>
      <c r="Q45" s="13">
        <f>O45-P45</f>
        <v>-7</v>
      </c>
      <c r="R45" s="13">
        <f>L45*3+M45</f>
        <v>0</v>
      </c>
      <c r="S45" s="13">
        <f>IF(SUM(L45:N45)=0,ROW()-41,RANK(R45,$R$42:$R$45))</f>
        <v>4</v>
      </c>
      <c r="T45" s="13">
        <f>SUMPRODUCT(($R$42:$R$45=R45)*(Q45&lt;$Q$42:$Q$45))</f>
        <v>0</v>
      </c>
      <c r="U45" s="13">
        <f>S45+T45</f>
        <v>4</v>
      </c>
      <c r="V45" s="24">
        <f>RANK(U45,$U$42:$U$45,1)+COUNTIF($U$42:U45,U45)-1</f>
        <v>4</v>
      </c>
      <c r="W45" s="14">
        <f>R45*100+(O45-P45)*10+O45-ROW(K45)*0.01</f>
        <v>-70.45</v>
      </c>
      <c r="X45" s="12">
        <f>RANK(W45,$W$42:$W$45,0)</f>
        <v>4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2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x14ac:dyDescent="0.2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 x14ac:dyDescent="0.2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">
      <c r="A49" s="6">
        <v>1</v>
      </c>
      <c r="B49" s="24" t="str">
        <f>INDEX(K$49:K$53,MATCH($A49,$X$49:$X$53,0))</f>
        <v>Bélgica</v>
      </c>
      <c r="C49" s="24">
        <f t="shared" ref="C49:I49" si="12">INDEX(L$49:L$53,MATCH($A49,$X$49:$X$53,0))</f>
        <v>3</v>
      </c>
      <c r="D49" s="24">
        <f t="shared" si="12"/>
        <v>0</v>
      </c>
      <c r="E49" s="24">
        <f t="shared" si="12"/>
        <v>0</v>
      </c>
      <c r="F49" s="24">
        <f t="shared" si="12"/>
        <v>9</v>
      </c>
      <c r="G49" s="24">
        <f t="shared" si="12"/>
        <v>2</v>
      </c>
      <c r="H49" s="24">
        <f t="shared" si="12"/>
        <v>7</v>
      </c>
      <c r="I49" s="24">
        <f t="shared" si="12"/>
        <v>9</v>
      </c>
      <c r="K49" s="13" t="str">
        <f>equipos!$G12</f>
        <v>Bélgica</v>
      </c>
      <c r="L49" s="13">
        <f>'tabla posiciones auxiliar'!N45</f>
        <v>3</v>
      </c>
      <c r="M49" s="13">
        <f>'tabla posiciones auxiliar'!P45</f>
        <v>0</v>
      </c>
      <c r="N49" s="13">
        <f>'tabla posiciones auxiliar'!O45</f>
        <v>0</v>
      </c>
      <c r="O49" s="13">
        <f>'tabla posiciones auxiliar'!Q45</f>
        <v>9</v>
      </c>
      <c r="P49" s="13">
        <f>'tabla posiciones auxiliar'!R45</f>
        <v>2</v>
      </c>
      <c r="Q49" s="13">
        <f>O49-P49</f>
        <v>7</v>
      </c>
      <c r="R49" s="13">
        <f>L49*3+M49</f>
        <v>9</v>
      </c>
      <c r="S49" s="13">
        <f>IF(SUM(L49:N49)=0,ROW()-48,RANK(R49,$R$49:$R$52))</f>
        <v>1</v>
      </c>
      <c r="T49" s="13">
        <f>SUMPRODUCT(($R$49:$R$52=R49)*(Q49&lt;$Q$49:$Q$52))</f>
        <v>0</v>
      </c>
      <c r="U49" s="13">
        <f>S49+T49</f>
        <v>1</v>
      </c>
      <c r="V49" s="24">
        <f>RANK(U49,$U$49:$U$52,1)+COUNTIF($U$49:U49,U49)-1</f>
        <v>1</v>
      </c>
      <c r="W49" s="14">
        <f>R49*100+(O49-P49)*10+O49-ROW(K49)*0.01</f>
        <v>978.51</v>
      </c>
      <c r="X49" s="12">
        <f>RANK(W49,$W$49:$W$52,0)</f>
        <v>1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x14ac:dyDescent="0.2">
      <c r="A50" s="6">
        <v>2</v>
      </c>
      <c r="B50" s="24" t="str">
        <f>INDEX(K$49:K$53,MATCH($A50,$X$49:$X$53,0))</f>
        <v>Inglaterra</v>
      </c>
      <c r="C50" s="24">
        <f t="shared" ref="C50:I52" si="13">INDEX(L$49:L$53,MATCH($A50,$X$49:$X$53,0))</f>
        <v>2</v>
      </c>
      <c r="D50" s="24">
        <f t="shared" si="13"/>
        <v>0</v>
      </c>
      <c r="E50" s="24">
        <f t="shared" si="13"/>
        <v>1</v>
      </c>
      <c r="F50" s="24">
        <f t="shared" si="13"/>
        <v>7</v>
      </c>
      <c r="G50" s="24">
        <f t="shared" si="13"/>
        <v>2</v>
      </c>
      <c r="H50" s="24">
        <f t="shared" si="13"/>
        <v>5</v>
      </c>
      <c r="I50" s="24">
        <f t="shared" si="13"/>
        <v>6</v>
      </c>
      <c r="K50" s="13" t="str">
        <f>equipos!$G13</f>
        <v>Panamá</v>
      </c>
      <c r="L50" s="13">
        <f>'tabla posiciones auxiliar'!N46</f>
        <v>0</v>
      </c>
      <c r="M50" s="13">
        <f>'tabla posiciones auxiliar'!P46</f>
        <v>0</v>
      </c>
      <c r="N50" s="13">
        <f>'tabla posiciones auxiliar'!O46</f>
        <v>3</v>
      </c>
      <c r="O50" s="13">
        <f>'tabla posiciones auxiliar'!Q46</f>
        <v>0</v>
      </c>
      <c r="P50" s="13">
        <f>'tabla posiciones auxiliar'!R46</f>
        <v>7</v>
      </c>
      <c r="Q50" s="13">
        <f>O50-P50</f>
        <v>-7</v>
      </c>
      <c r="R50" s="13">
        <f>L50*3+M50</f>
        <v>0</v>
      </c>
      <c r="S50" s="13">
        <f>IF(SUM(L50:N50)=0,ROW()-48,RANK(R50,$R$49:$R$52))</f>
        <v>4</v>
      </c>
      <c r="T50" s="13">
        <f>SUMPRODUCT(($R$49:$R$52=R50)*(Q50&lt;$Q$49:$Q$52))</f>
        <v>0</v>
      </c>
      <c r="U50" s="13">
        <f>S50+T50</f>
        <v>4</v>
      </c>
      <c r="V50" s="24">
        <f>RANK(U50,$U$49:$U$52,1)+COUNTIF($U$49:U50,U50)-1</f>
        <v>4</v>
      </c>
      <c r="W50" s="14">
        <f>R50*100+(O50-P50)*10+O50-ROW(K50)*0.01</f>
        <v>-70.5</v>
      </c>
      <c r="X50" s="12">
        <f>RANK(W50,$W$49:$W$52,0)</f>
        <v>4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x14ac:dyDescent="0.2">
      <c r="A51" s="6">
        <v>3</v>
      </c>
      <c r="B51" s="24" t="str">
        <f>INDEX(K$49:K$53,MATCH($A51,$X$49:$X$53,0))</f>
        <v>Túnez</v>
      </c>
      <c r="C51" s="24">
        <f t="shared" si="13"/>
        <v>1</v>
      </c>
      <c r="D51" s="24">
        <f t="shared" si="13"/>
        <v>0</v>
      </c>
      <c r="E51" s="24">
        <f t="shared" si="13"/>
        <v>2</v>
      </c>
      <c r="F51" s="24">
        <f t="shared" si="13"/>
        <v>2</v>
      </c>
      <c r="G51" s="24">
        <f t="shared" si="13"/>
        <v>7</v>
      </c>
      <c r="H51" s="24">
        <f t="shared" si="13"/>
        <v>-5</v>
      </c>
      <c r="I51" s="24">
        <f t="shared" si="13"/>
        <v>3</v>
      </c>
      <c r="K51" s="13" t="str">
        <f>equipos!$G14</f>
        <v>Túnez</v>
      </c>
      <c r="L51" s="13">
        <f>'tabla posiciones auxiliar'!N47</f>
        <v>1</v>
      </c>
      <c r="M51" s="13">
        <f>'tabla posiciones auxiliar'!P47</f>
        <v>0</v>
      </c>
      <c r="N51" s="13">
        <f>'tabla posiciones auxiliar'!O47</f>
        <v>2</v>
      </c>
      <c r="O51" s="13">
        <f>'tabla posiciones auxiliar'!Q47</f>
        <v>2</v>
      </c>
      <c r="P51" s="13">
        <f>'tabla posiciones auxiliar'!R47</f>
        <v>7</v>
      </c>
      <c r="Q51" s="13">
        <f>O51-P51</f>
        <v>-5</v>
      </c>
      <c r="R51" s="13">
        <f>L51*3+M51</f>
        <v>3</v>
      </c>
      <c r="S51" s="13">
        <f>IF(SUM(L51:N51)=0,ROW()-48,RANK(R51,$R$49:$R$52))</f>
        <v>3</v>
      </c>
      <c r="T51" s="13">
        <f>SUMPRODUCT(($R$49:$R$52=R51)*(Q51&lt;$Q$49:$Q$52))</f>
        <v>0</v>
      </c>
      <c r="U51" s="13">
        <f>S51+T51</f>
        <v>3</v>
      </c>
      <c r="V51" s="24">
        <f>RANK(U51,$U$49:$U$52,1)+COUNTIF($U$49:U51,U51)-1</f>
        <v>3</v>
      </c>
      <c r="W51" s="14">
        <f>R51*100+(O51-P51)*10+O51-ROW(K51)*0.01</f>
        <v>251.49</v>
      </c>
      <c r="X51" s="12">
        <f>RANK(W51,$W$49:$W$52,0)</f>
        <v>3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x14ac:dyDescent="0.2">
      <c r="A52" s="6">
        <v>4</v>
      </c>
      <c r="B52" s="24" t="str">
        <f>INDEX(K$49:K$53,MATCH($A52,$X$49:$X$53,0))</f>
        <v>Panamá</v>
      </c>
      <c r="C52" s="24">
        <f t="shared" si="13"/>
        <v>0</v>
      </c>
      <c r="D52" s="24">
        <f t="shared" si="13"/>
        <v>0</v>
      </c>
      <c r="E52" s="24">
        <f t="shared" si="13"/>
        <v>3</v>
      </c>
      <c r="F52" s="24">
        <f t="shared" si="13"/>
        <v>0</v>
      </c>
      <c r="G52" s="24">
        <f t="shared" si="13"/>
        <v>7</v>
      </c>
      <c r="H52" s="24">
        <f t="shared" si="13"/>
        <v>-7</v>
      </c>
      <c r="I52" s="24">
        <f t="shared" si="13"/>
        <v>0</v>
      </c>
      <c r="K52" s="13" t="str">
        <f>equipos!$G15</f>
        <v>Inglaterra</v>
      </c>
      <c r="L52" s="13">
        <f>'tabla posiciones auxiliar'!N48</f>
        <v>2</v>
      </c>
      <c r="M52" s="13">
        <f>'tabla posiciones auxiliar'!P48</f>
        <v>0</v>
      </c>
      <c r="N52" s="13">
        <f>'tabla posiciones auxiliar'!O48</f>
        <v>1</v>
      </c>
      <c r="O52" s="13">
        <f>'tabla posiciones auxiliar'!Q48</f>
        <v>7</v>
      </c>
      <c r="P52" s="13">
        <f>'tabla posiciones auxiliar'!R48</f>
        <v>2</v>
      </c>
      <c r="Q52" s="13">
        <f>O52-P52</f>
        <v>5</v>
      </c>
      <c r="R52" s="13">
        <f>L52*3+M52</f>
        <v>6</v>
      </c>
      <c r="S52" s="13">
        <f>IF(SUM(L52:N52)=0,ROW()-48,RANK(R52,$R$49:$R$52))</f>
        <v>2</v>
      </c>
      <c r="T52" s="13">
        <f>SUMPRODUCT(($R$49:$R$52=R52)*(Q52&lt;$Q$49:$Q$52))</f>
        <v>0</v>
      </c>
      <c r="U52" s="13">
        <f>S52+T52</f>
        <v>2</v>
      </c>
      <c r="V52" s="24">
        <f>RANK(U52,$U$49:$U$52,1)+COUNTIF($U$49:U52,U52)-1</f>
        <v>2</v>
      </c>
      <c r="W52" s="14">
        <f>R52*100+(O52-P52)*10+O52-ROW(K52)*0.01</f>
        <v>656.48</v>
      </c>
      <c r="X52" s="12">
        <f>RANK(W52,$W$49:$W$52,0)</f>
        <v>2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2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x14ac:dyDescent="0.2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2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x14ac:dyDescent="0.2">
      <c r="A56" s="6">
        <v>1</v>
      </c>
      <c r="B56" s="24" t="str">
        <f>INDEX(K$56:K$60,MATCH($A56,$X$56:$X$60,0))</f>
        <v>Colombia</v>
      </c>
      <c r="C56" s="24">
        <f t="shared" ref="C56:I56" si="14">INDEX(L$56:L$60,MATCH($A56,$X$56:$X$60,0))</f>
        <v>2</v>
      </c>
      <c r="D56" s="24">
        <f t="shared" si="14"/>
        <v>1</v>
      </c>
      <c r="E56" s="24">
        <f t="shared" si="14"/>
        <v>0</v>
      </c>
      <c r="F56" s="24">
        <f t="shared" si="14"/>
        <v>6</v>
      </c>
      <c r="G56" s="24">
        <f t="shared" si="14"/>
        <v>3</v>
      </c>
      <c r="H56" s="24">
        <f t="shared" si="14"/>
        <v>3</v>
      </c>
      <c r="I56" s="24">
        <f t="shared" si="14"/>
        <v>7</v>
      </c>
      <c r="K56" s="13" t="str">
        <f>equipos!$G17</f>
        <v>Polonia</v>
      </c>
      <c r="L56" s="13">
        <f>'tabla posiciones auxiliar'!N52</f>
        <v>2</v>
      </c>
      <c r="M56" s="13">
        <f>'tabla posiciones auxiliar'!P52</f>
        <v>1</v>
      </c>
      <c r="N56" s="13">
        <f>'tabla posiciones auxiliar'!O52</f>
        <v>0</v>
      </c>
      <c r="O56" s="13">
        <f>'tabla posiciones auxiliar'!Q52</f>
        <v>6</v>
      </c>
      <c r="P56" s="13">
        <f>'tabla posiciones auxiliar'!R52</f>
        <v>4</v>
      </c>
      <c r="Q56" s="13">
        <f>O56-P56</f>
        <v>2</v>
      </c>
      <c r="R56" s="13">
        <f>L56*3+M56</f>
        <v>7</v>
      </c>
      <c r="S56" s="13">
        <f>IF(SUM(L56:N56)=0,ROW()-55,RANK(R56,$R$56:$R$59))</f>
        <v>1</v>
      </c>
      <c r="T56" s="13">
        <f>SUMPRODUCT(($R$56:$R$59=R56)*(Q56&lt;$Q$56:$Q$59))</f>
        <v>1</v>
      </c>
      <c r="U56" s="13">
        <f>S56+T56</f>
        <v>2</v>
      </c>
      <c r="V56" s="24">
        <f>RANK(U56,$U$56:$U$59,1)+COUNTIF($U$56:U56,U56)-1</f>
        <v>2</v>
      </c>
      <c r="W56" s="14">
        <f>R56*100+(O56-P56)*10+O56-ROW(K56)*0.01</f>
        <v>725.44</v>
      </c>
      <c r="X56" s="12">
        <f>RANK(W56,$W$56:$W$59,0)</f>
        <v>2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x14ac:dyDescent="0.2">
      <c r="A57" s="6">
        <v>2</v>
      </c>
      <c r="B57" s="24" t="str">
        <f>INDEX(K$56:K$60,MATCH($A57,$X$56:$X$60,0))</f>
        <v>Polonia</v>
      </c>
      <c r="C57" s="24">
        <f t="shared" ref="C57:I59" si="15">INDEX(L$56:L$60,MATCH($A57,$X$56:$X$60,0))</f>
        <v>2</v>
      </c>
      <c r="D57" s="24">
        <f t="shared" si="15"/>
        <v>1</v>
      </c>
      <c r="E57" s="24">
        <f t="shared" si="15"/>
        <v>0</v>
      </c>
      <c r="F57" s="24">
        <f t="shared" si="15"/>
        <v>6</v>
      </c>
      <c r="G57" s="24">
        <f t="shared" si="15"/>
        <v>4</v>
      </c>
      <c r="H57" s="24">
        <f t="shared" si="15"/>
        <v>2</v>
      </c>
      <c r="I57" s="24">
        <f t="shared" si="15"/>
        <v>7</v>
      </c>
      <c r="K57" s="13" t="str">
        <f>equipos!$G18</f>
        <v>Senegal</v>
      </c>
      <c r="L57" s="13">
        <f>'tabla posiciones auxiliar'!N53</f>
        <v>0</v>
      </c>
      <c r="M57" s="13">
        <f>'tabla posiciones auxiliar'!P53</f>
        <v>1</v>
      </c>
      <c r="N57" s="13">
        <f>'tabla posiciones auxiliar'!O53</f>
        <v>2</v>
      </c>
      <c r="O57" s="13">
        <f>'tabla posiciones auxiliar'!Q53</f>
        <v>3</v>
      </c>
      <c r="P57" s="13">
        <f>'tabla posiciones auxiliar'!R53</f>
        <v>5</v>
      </c>
      <c r="Q57" s="13">
        <f>O57-P57</f>
        <v>-2</v>
      </c>
      <c r="R57" s="13">
        <f>L57*3+M57</f>
        <v>1</v>
      </c>
      <c r="S57" s="13">
        <f>IF(SUM(L57:N57)=0,ROW()-55,RANK(R57,$R$56:$R$59))</f>
        <v>3</v>
      </c>
      <c r="T57" s="13">
        <f>SUMPRODUCT(($R$56:$R$59=R57)*(Q57&lt;$Q$56:$Q$59))</f>
        <v>0</v>
      </c>
      <c r="U57" s="13">
        <f>S57+T57</f>
        <v>3</v>
      </c>
      <c r="V57" s="24">
        <f>RANK(U57,$U$56:$U$59,1)+COUNTIF($U$56:U57,U57)-1</f>
        <v>3</v>
      </c>
      <c r="W57" s="14">
        <f>R57*100+(O57-P57)*10+O57-ROW(K57)*0.01</f>
        <v>82.43</v>
      </c>
      <c r="X57" s="12">
        <f>RANK(W57,$W$56:$W$59,0)</f>
        <v>3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x14ac:dyDescent="0.2">
      <c r="A58" s="6">
        <v>3</v>
      </c>
      <c r="B58" s="24" t="str">
        <f>INDEX(K$56:K$60,MATCH($A58,$X$56:$X$60,0))</f>
        <v>Senegal</v>
      </c>
      <c r="C58" s="24">
        <f t="shared" si="15"/>
        <v>0</v>
      </c>
      <c r="D58" s="24">
        <f t="shared" si="15"/>
        <v>1</v>
      </c>
      <c r="E58" s="24">
        <f t="shared" si="15"/>
        <v>2</v>
      </c>
      <c r="F58" s="24">
        <f t="shared" si="15"/>
        <v>3</v>
      </c>
      <c r="G58" s="24">
        <f t="shared" si="15"/>
        <v>5</v>
      </c>
      <c r="H58" s="24">
        <f t="shared" si="15"/>
        <v>-2</v>
      </c>
      <c r="I58" s="24">
        <f t="shared" si="15"/>
        <v>1</v>
      </c>
      <c r="K58" s="13" t="str">
        <f>equipos!$G19</f>
        <v>Colombia</v>
      </c>
      <c r="L58" s="13">
        <f>'tabla posiciones auxiliar'!N54</f>
        <v>2</v>
      </c>
      <c r="M58" s="13">
        <f>'tabla posiciones auxiliar'!P54</f>
        <v>1</v>
      </c>
      <c r="N58" s="13">
        <f>'tabla posiciones auxiliar'!O54</f>
        <v>0</v>
      </c>
      <c r="O58" s="13">
        <f>'tabla posiciones auxiliar'!Q54</f>
        <v>6</v>
      </c>
      <c r="P58" s="13">
        <f>'tabla posiciones auxiliar'!R54</f>
        <v>3</v>
      </c>
      <c r="Q58" s="13">
        <f>O58-P58</f>
        <v>3</v>
      </c>
      <c r="R58" s="13">
        <f>L58*3+M58</f>
        <v>7</v>
      </c>
      <c r="S58" s="13">
        <f>IF(SUM(L58:N58)=0,ROW()-55,RANK(R58,$R$56:$R$59))</f>
        <v>1</v>
      </c>
      <c r="T58" s="13">
        <f>SUMPRODUCT(($R$56:$R$59=R58)*(Q58&lt;$Q$56:$Q$59))</f>
        <v>0</v>
      </c>
      <c r="U58" s="13">
        <f>S58+T58</f>
        <v>1</v>
      </c>
      <c r="V58" s="24">
        <f>RANK(U58,$U$56:$U$59,1)+COUNTIF($U$56:U58,U58)-1</f>
        <v>1</v>
      </c>
      <c r="W58" s="14">
        <f>R58*100+(O58-P58)*10+O58-ROW(K58)*0.01</f>
        <v>735.42</v>
      </c>
      <c r="X58" s="12">
        <f>RANK(W58,$W$56:$W$59,0)</f>
        <v>1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x14ac:dyDescent="0.2">
      <c r="A59" s="6">
        <v>4</v>
      </c>
      <c r="B59" s="24" t="str">
        <f>INDEX(K$56:K$60,MATCH($A59,$X$56:$X$60,0))</f>
        <v>Japón</v>
      </c>
      <c r="C59" s="24">
        <f t="shared" si="15"/>
        <v>0</v>
      </c>
      <c r="D59" s="24">
        <f t="shared" si="15"/>
        <v>1</v>
      </c>
      <c r="E59" s="24">
        <f t="shared" si="15"/>
        <v>2</v>
      </c>
      <c r="F59" s="24">
        <f t="shared" si="15"/>
        <v>2</v>
      </c>
      <c r="G59" s="24">
        <f t="shared" si="15"/>
        <v>5</v>
      </c>
      <c r="H59" s="24">
        <f t="shared" si="15"/>
        <v>-3</v>
      </c>
      <c r="I59" s="24">
        <f t="shared" si="15"/>
        <v>1</v>
      </c>
      <c r="K59" s="13" t="str">
        <f>equipos!$G20</f>
        <v>Japón</v>
      </c>
      <c r="L59" s="13">
        <f>'tabla posiciones auxiliar'!N55</f>
        <v>0</v>
      </c>
      <c r="M59" s="13">
        <f>'tabla posiciones auxiliar'!P55</f>
        <v>1</v>
      </c>
      <c r="N59" s="13">
        <f>'tabla posiciones auxiliar'!O55</f>
        <v>2</v>
      </c>
      <c r="O59" s="13">
        <f>'tabla posiciones auxiliar'!Q55</f>
        <v>2</v>
      </c>
      <c r="P59" s="13">
        <f>'tabla posiciones auxiliar'!R55</f>
        <v>5</v>
      </c>
      <c r="Q59" s="13">
        <f>O59-P59</f>
        <v>-3</v>
      </c>
      <c r="R59" s="13">
        <f>L59*3+M59</f>
        <v>1</v>
      </c>
      <c r="S59" s="13">
        <f>IF(SUM(L59:N59)=0,ROW()-55,RANK(R59,$R$56:$R$59))</f>
        <v>3</v>
      </c>
      <c r="T59" s="13">
        <f>SUMPRODUCT(($R$56:$R$59=R59)*(Q59&lt;$Q$56:$Q$59))</f>
        <v>1</v>
      </c>
      <c r="U59" s="13">
        <f>S59+T59</f>
        <v>4</v>
      </c>
      <c r="V59" s="24">
        <f>RANK(U59,$U$56:$U$59,1)+COUNTIF($U$56:U59,U59)-1</f>
        <v>4</v>
      </c>
      <c r="W59" s="14">
        <f>R59*100+(O59-P59)*10+O59-ROW(K59)*0.01</f>
        <v>71.41</v>
      </c>
      <c r="X59" s="12">
        <f>RANK(W59,$W$56:$W$59,0)</f>
        <v>4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2.75" x14ac:dyDescent="0.2"/>
  <cols>
    <col min="1" max="1" width="17.28515625" customWidth="1"/>
    <col min="3" max="3" width="5.42578125" customWidth="1"/>
    <col min="6" max="6" width="5.140625" customWidth="1"/>
    <col min="9" max="9" width="15.42578125" customWidth="1"/>
    <col min="10" max="10" width="14.140625" customWidth="1"/>
    <col min="11" max="11" width="14.42578125" customWidth="1"/>
    <col min="12" max="12" width="9.85546875" customWidth="1"/>
  </cols>
  <sheetData>
    <row r="2" spans="3:12" x14ac:dyDescent="0.2">
      <c r="C2" s="17" t="s">
        <v>48</v>
      </c>
      <c r="D2" s="17" t="s">
        <v>145</v>
      </c>
      <c r="F2" s="17" t="s">
        <v>49</v>
      </c>
      <c r="G2" s="17" t="s">
        <v>69</v>
      </c>
    </row>
    <row r="3" spans="3:12" x14ac:dyDescent="0.2">
      <c r="C3" s="17" t="s">
        <v>52</v>
      </c>
      <c r="D3" t="s">
        <v>147</v>
      </c>
      <c r="F3" s="17" t="s">
        <v>54</v>
      </c>
      <c r="G3" t="s">
        <v>86</v>
      </c>
    </row>
    <row r="4" spans="3:12" x14ac:dyDescent="0.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 x14ac:dyDescent="0.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 x14ac:dyDescent="0.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 x14ac:dyDescent="0.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 x14ac:dyDescent="0.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 x14ac:dyDescent="0.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 x14ac:dyDescent="0.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 x14ac:dyDescent="0.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 x14ac:dyDescent="0.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 x14ac:dyDescent="0.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 x14ac:dyDescent="0.2">
      <c r="C14" s="17" t="s">
        <v>89</v>
      </c>
      <c r="D14" t="s">
        <v>151</v>
      </c>
      <c r="F14" s="17" t="s">
        <v>90</v>
      </c>
      <c r="G14" t="s">
        <v>160</v>
      </c>
    </row>
    <row r="15" spans="3:12" x14ac:dyDescent="0.2">
      <c r="C15" s="17" t="s">
        <v>91</v>
      </c>
      <c r="D15" t="s">
        <v>152</v>
      </c>
      <c r="F15" s="17" t="s">
        <v>92</v>
      </c>
      <c r="G15" t="s">
        <v>70</v>
      </c>
    </row>
    <row r="16" spans="3:12" x14ac:dyDescent="0.2">
      <c r="C16" s="17"/>
      <c r="F16" s="17"/>
    </row>
    <row r="17" spans="3:7" x14ac:dyDescent="0.2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 x14ac:dyDescent="0.2">
      <c r="C18" s="17" t="s">
        <v>95</v>
      </c>
      <c r="D18" t="s">
        <v>153</v>
      </c>
      <c r="F18" s="17" t="s">
        <v>96</v>
      </c>
      <c r="G18" t="s">
        <v>162</v>
      </c>
    </row>
    <row r="19" spans="3:7" x14ac:dyDescent="0.2">
      <c r="C19" s="17" t="s">
        <v>97</v>
      </c>
      <c r="D19" t="s">
        <v>144</v>
      </c>
      <c r="F19" s="17" t="s">
        <v>98</v>
      </c>
      <c r="G19" t="s">
        <v>111</v>
      </c>
    </row>
    <row r="20" spans="3:7" x14ac:dyDescent="0.2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2.75" x14ac:dyDescent="0.2"/>
  <cols>
    <col min="4" max="4" width="18.7109375" customWidth="1"/>
    <col min="5" max="5" width="3.7109375" customWidth="1"/>
    <col min="6" max="6" width="14.5703125" customWidth="1"/>
    <col min="7" max="7" width="4" customWidth="1"/>
  </cols>
  <sheetData>
    <row r="1" spans="1:18" x14ac:dyDescent="0.2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 x14ac:dyDescent="0.2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 x14ac:dyDescent="0.2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2</v>
      </c>
      <c r="F3" s="20" t="str">
        <f>equipos!$D$3</f>
        <v>Arabia Saudí</v>
      </c>
      <c r="G3" s="20">
        <f>'GRUPO A'!I17</f>
        <v>0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1</v>
      </c>
      <c r="O3">
        <f>B3+B5+I7</f>
        <v>1</v>
      </c>
      <c r="P3">
        <f>M3-(N3+O3)</f>
        <v>1</v>
      </c>
      <c r="Q3">
        <f>E3+E5+G7</f>
        <v>4</v>
      </c>
      <c r="R3">
        <f>G3+G5+E7</f>
        <v>3</v>
      </c>
    </row>
    <row r="4" spans="1:18" x14ac:dyDescent="0.2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0</v>
      </c>
      <c r="F4" s="20" t="str">
        <f>equipos!$D$5</f>
        <v>Uruguay</v>
      </c>
      <c r="G4" s="20">
        <f>'GRUPO A'!I18</f>
        <v>1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3</v>
      </c>
      <c r="P4">
        <f t="shared" ref="P4:P6" si="4">M4-(N4+O4)</f>
        <v>0</v>
      </c>
      <c r="Q4">
        <f>G3+G6+E8</f>
        <v>1</v>
      </c>
      <c r="R4">
        <f>E3+E6+G8</f>
        <v>6</v>
      </c>
    </row>
    <row r="5" spans="1:18" x14ac:dyDescent="0.2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0</v>
      </c>
      <c r="D5" s="20" t="str">
        <f>equipos!$D$2</f>
        <v>Rusia</v>
      </c>
      <c r="E5" s="20">
        <f>'GRUPO A'!G19</f>
        <v>1</v>
      </c>
      <c r="F5" s="20" t="str">
        <f>equipos!$D$4</f>
        <v>Egipto</v>
      </c>
      <c r="G5" s="20">
        <f>'GRUPO A'!I19</f>
        <v>1</v>
      </c>
      <c r="H5" s="20">
        <f t="shared" si="2"/>
        <v>0</v>
      </c>
      <c r="I5" s="20">
        <f t="shared" si="3"/>
        <v>0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1</v>
      </c>
      <c r="O5">
        <f>B4+I5+I8</f>
        <v>1</v>
      </c>
      <c r="P5">
        <f t="shared" si="4"/>
        <v>1</v>
      </c>
      <c r="Q5">
        <f>E4+G5+G8</f>
        <v>3</v>
      </c>
      <c r="R5">
        <f>G4+E5+E8</f>
        <v>3</v>
      </c>
    </row>
    <row r="6" spans="1:18" x14ac:dyDescent="0.2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2</v>
      </c>
      <c r="F6" s="20" t="str">
        <f>equipos!$D$3</f>
        <v>Arabia Saudí</v>
      </c>
      <c r="G6" s="20">
        <f>'GRUPO A'!I20</f>
        <v>0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3</v>
      </c>
      <c r="O6">
        <f>I4+B6+B7</f>
        <v>0</v>
      </c>
      <c r="P6">
        <f t="shared" si="4"/>
        <v>0</v>
      </c>
      <c r="Q6">
        <f>G4+E6+E7</f>
        <v>5</v>
      </c>
      <c r="R6">
        <f>E4+G6+G7</f>
        <v>1</v>
      </c>
    </row>
    <row r="7" spans="1:18" x14ac:dyDescent="0.2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1</v>
      </c>
      <c r="D7" s="20" t="str">
        <f>equipos!$D$5</f>
        <v>Uruguay</v>
      </c>
      <c r="E7" s="20">
        <f>'GRUPO A'!G21</f>
        <v>2</v>
      </c>
      <c r="F7" s="20" t="str">
        <f>equipos!$D$2</f>
        <v>Rusia</v>
      </c>
      <c r="G7" s="20">
        <f>'GRUPO A'!I21</f>
        <v>1</v>
      </c>
      <c r="H7" s="20">
        <f t="shared" si="2"/>
        <v>0</v>
      </c>
      <c r="I7" s="20">
        <f t="shared" si="3"/>
        <v>1</v>
      </c>
      <c r="J7" s="20">
        <f>IF(ISBLANK('GRUPO A'!$G21),0,IF(ISBLANK('GRUPO A'!$I21),0,1))</f>
        <v>1</v>
      </c>
    </row>
    <row r="8" spans="1:18" x14ac:dyDescent="0.2">
      <c r="A8" s="20">
        <f>IF(ISBLANK('GRUPO A'!$G22),0,IF(ISBLANK('GRUPO A'!$I22),0,1))</f>
        <v>1</v>
      </c>
      <c r="B8" s="20">
        <f t="shared" si="0"/>
        <v>1</v>
      </c>
      <c r="C8" s="20">
        <f t="shared" si="1"/>
        <v>0</v>
      </c>
      <c r="D8" s="20" t="str">
        <f>equipos!$D$3</f>
        <v>Arabia Saudí</v>
      </c>
      <c r="E8" s="20">
        <f>'GRUPO A'!G22</f>
        <v>1</v>
      </c>
      <c r="F8" s="20" t="str">
        <f>equipos!$D$4</f>
        <v>Egipto</v>
      </c>
      <c r="G8" s="20">
        <f>'GRUPO A'!I22</f>
        <v>2</v>
      </c>
      <c r="H8" s="20">
        <f t="shared" si="2"/>
        <v>1</v>
      </c>
      <c r="I8" s="20">
        <f t="shared" si="3"/>
        <v>0</v>
      </c>
      <c r="J8" s="20">
        <f>IF(ISBLANK('GRUPO A'!$G22),0,IF(ISBLANK('GRUPO A'!$I22),0,1))</f>
        <v>1</v>
      </c>
    </row>
    <row r="9" spans="1:18" x14ac:dyDescent="0.2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 x14ac:dyDescent="0.2">
      <c r="A10" s="20">
        <f>IF(ISBLANK('GRUPO B'!$G17),0,IF(ISBLANK('GRUPO B'!$I17),0,1))</f>
        <v>1</v>
      </c>
      <c r="B10" s="20">
        <f t="shared" si="0"/>
        <v>1</v>
      </c>
      <c r="C10" s="20">
        <f t="shared" si="1"/>
        <v>0</v>
      </c>
      <c r="D10" s="20" t="str">
        <f>equipos!$D$7</f>
        <v>Portugal</v>
      </c>
      <c r="E10" s="20">
        <f>'GRUPO B'!G17</f>
        <v>1</v>
      </c>
      <c r="F10" s="20" t="str">
        <f>equipos!$D$8</f>
        <v>España</v>
      </c>
      <c r="G10" s="20">
        <f>'GRUPO B'!I17</f>
        <v>2</v>
      </c>
      <c r="H10" s="20">
        <f t="shared" si="2"/>
        <v>1</v>
      </c>
      <c r="I10" s="20">
        <f t="shared" si="3"/>
        <v>0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2</v>
      </c>
      <c r="O10">
        <f>B10+B12+I14</f>
        <v>1</v>
      </c>
      <c r="P10">
        <f>M10-(N10+O10)</f>
        <v>0</v>
      </c>
      <c r="Q10">
        <f>E10+E12+G14</f>
        <v>6</v>
      </c>
      <c r="R10">
        <f>G10+G12+E14</f>
        <v>3</v>
      </c>
    </row>
    <row r="11" spans="1:18" x14ac:dyDescent="0.2">
      <c r="A11" s="20">
        <f>IF(ISBLANK('GRUPO B'!$G18),0,IF(ISBLANK('GRUPO B'!$I18),0,1))</f>
        <v>1</v>
      </c>
      <c r="B11" s="20">
        <f t="shared" si="0"/>
        <v>0</v>
      </c>
      <c r="C11" s="20">
        <f t="shared" si="1"/>
        <v>1</v>
      </c>
      <c r="D11" s="20" t="str">
        <f>equipos!$D$9</f>
        <v>Marruecos</v>
      </c>
      <c r="E11" s="20">
        <f>'GRUPO B'!G18</f>
        <v>2</v>
      </c>
      <c r="F11" s="20" t="str">
        <f>equipos!$D$10</f>
        <v>Irán</v>
      </c>
      <c r="G11" s="20">
        <f>'GRUPO B'!I18</f>
        <v>0</v>
      </c>
      <c r="H11" s="20">
        <f t="shared" si="2"/>
        <v>0</v>
      </c>
      <c r="I11" s="20">
        <f t="shared" si="3"/>
        <v>1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3</v>
      </c>
      <c r="O11">
        <f>I10+I13+B15</f>
        <v>0</v>
      </c>
      <c r="P11">
        <f t="shared" ref="P11:P13" si="5">M11-(N11+O11)</f>
        <v>0</v>
      </c>
      <c r="Q11">
        <f>G10+G13+E15</f>
        <v>9</v>
      </c>
      <c r="R11">
        <f>E10+E13+G15</f>
        <v>1</v>
      </c>
    </row>
    <row r="12" spans="1:18" x14ac:dyDescent="0.2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2</v>
      </c>
      <c r="F12" s="20" t="str">
        <f>equipos!$D$9</f>
        <v>Marruecos</v>
      </c>
      <c r="G12" s="20">
        <f>'GRUPO B'!I19</f>
        <v>1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1</v>
      </c>
      <c r="O12">
        <f>B11+I12+I15</f>
        <v>2</v>
      </c>
      <c r="P12">
        <f t="shared" si="5"/>
        <v>0</v>
      </c>
      <c r="Q12">
        <f>E11+G12+G15</f>
        <v>3</v>
      </c>
      <c r="R12">
        <f>G11+E12+E15</f>
        <v>5</v>
      </c>
    </row>
    <row r="13" spans="1:18" x14ac:dyDescent="0.2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0</v>
      </c>
      <c r="F13" s="20" t="str">
        <f>equipos!$D$8</f>
        <v>España</v>
      </c>
      <c r="G13" s="20">
        <f>'GRUPO B'!I20</f>
        <v>4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0</v>
      </c>
      <c r="O13">
        <f>I11+B13+B14</f>
        <v>3</v>
      </c>
      <c r="P13">
        <f t="shared" si="5"/>
        <v>0</v>
      </c>
      <c r="Q13">
        <f>G11+E13+E14</f>
        <v>0</v>
      </c>
      <c r="R13">
        <f>E11+G13+G14</f>
        <v>9</v>
      </c>
    </row>
    <row r="14" spans="1:18" x14ac:dyDescent="0.2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0</v>
      </c>
      <c r="F14" s="20" t="str">
        <f>equipos!$D$7</f>
        <v>Portugal</v>
      </c>
      <c r="G14" s="20">
        <f>'GRUPO B'!I21</f>
        <v>3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 x14ac:dyDescent="0.2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3</v>
      </c>
      <c r="F15" s="20" t="str">
        <f>equipos!$D$9</f>
        <v>Marruecos</v>
      </c>
      <c r="G15" s="20">
        <f>'GRUPO B'!I22</f>
        <v>0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 x14ac:dyDescent="0.2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 x14ac:dyDescent="0.2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2</v>
      </c>
      <c r="F17" s="20" t="str">
        <f>equipos!$D$13</f>
        <v>Australia</v>
      </c>
      <c r="G17" s="20">
        <f>'GRUPO C'!I17</f>
        <v>0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2</v>
      </c>
      <c r="O17">
        <f>B17+B19+I21</f>
        <v>0</v>
      </c>
      <c r="P17">
        <f>M17-(N17+O17)</f>
        <v>1</v>
      </c>
      <c r="Q17">
        <f>E17+E19+G21</f>
        <v>7</v>
      </c>
      <c r="R17">
        <f>G17+G19+E21</f>
        <v>3</v>
      </c>
    </row>
    <row r="18" spans="1:18" x14ac:dyDescent="0.2">
      <c r="A18" s="20">
        <f>IF(ISBLANK('GRUPO C'!$G18),0,IF(ISBLANK('GRUPO C'!$I18),0,1))</f>
        <v>1</v>
      </c>
      <c r="B18" s="20">
        <f t="shared" si="0"/>
        <v>0</v>
      </c>
      <c r="C18" s="20">
        <f t="shared" si="1"/>
        <v>1</v>
      </c>
      <c r="D18" s="20" t="str">
        <f>equipos!$D$14</f>
        <v>Perú</v>
      </c>
      <c r="E18" s="20">
        <f>'GRUPO C'!G18</f>
        <v>2</v>
      </c>
      <c r="F18" s="20" t="str">
        <f>equipos!$D$15</f>
        <v>Dinamarca</v>
      </c>
      <c r="G18" s="20">
        <f>'GRUPO C'!I18</f>
        <v>1</v>
      </c>
      <c r="H18" s="20">
        <f t="shared" si="2"/>
        <v>0</v>
      </c>
      <c r="I18" s="20">
        <f t="shared" si="3"/>
        <v>1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0</v>
      </c>
      <c r="O18">
        <f>I17+I20+B22</f>
        <v>2</v>
      </c>
      <c r="P18">
        <f t="shared" ref="P18:P20" si="6">M18-(N18+O18)</f>
        <v>1</v>
      </c>
      <c r="Q18">
        <f>G17+G20+E22</f>
        <v>2</v>
      </c>
      <c r="R18">
        <f>E17+E20+G22</f>
        <v>5</v>
      </c>
    </row>
    <row r="19" spans="1:18" x14ac:dyDescent="0.2">
      <c r="A19" s="20">
        <f>IF(ISBLANK('GRUPO C'!$G19),0,IF(ISBLANK('GRUPO C'!$I19),0,1))</f>
        <v>1</v>
      </c>
      <c r="B19" s="20">
        <f t="shared" si="0"/>
        <v>0</v>
      </c>
      <c r="C19" s="20">
        <f t="shared" si="1"/>
        <v>0</v>
      </c>
      <c r="D19" s="20" t="str">
        <f>equipos!$D$12</f>
        <v>Francia</v>
      </c>
      <c r="E19" s="20">
        <f>'GRUPO C'!G19</f>
        <v>2</v>
      </c>
      <c r="F19" s="20" t="str">
        <f>equipos!$D$14</f>
        <v>Perú</v>
      </c>
      <c r="G19" s="20">
        <f>'GRUPO C'!I19</f>
        <v>2</v>
      </c>
      <c r="H19" s="20">
        <f t="shared" si="2"/>
        <v>0</v>
      </c>
      <c r="I19" s="20">
        <f t="shared" si="3"/>
        <v>0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2</v>
      </c>
      <c r="O19">
        <f>B18+I19+I22</f>
        <v>0</v>
      </c>
      <c r="P19">
        <f t="shared" si="6"/>
        <v>1</v>
      </c>
      <c r="Q19">
        <f>E18+G19+G22</f>
        <v>6</v>
      </c>
      <c r="R19">
        <f>G18+E19+E22</f>
        <v>4</v>
      </c>
    </row>
    <row r="20" spans="1:18" x14ac:dyDescent="0.2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0</v>
      </c>
      <c r="D20" s="20" t="str">
        <f>equipos!$D$15</f>
        <v>Dinamarca</v>
      </c>
      <c r="E20" s="20">
        <f>'GRUPO C'!G20</f>
        <v>1</v>
      </c>
      <c r="F20" s="20" t="str">
        <f>equipos!$D$13</f>
        <v>Australia</v>
      </c>
      <c r="G20" s="20">
        <f>'GRUPO C'!I20</f>
        <v>1</v>
      </c>
      <c r="H20" s="20">
        <f t="shared" si="2"/>
        <v>0</v>
      </c>
      <c r="I20" s="20">
        <f t="shared" si="3"/>
        <v>0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0</v>
      </c>
      <c r="O20">
        <f>I18+B20+B21</f>
        <v>2</v>
      </c>
      <c r="P20">
        <f t="shared" si="6"/>
        <v>1</v>
      </c>
      <c r="Q20">
        <f>G18+E20+E21</f>
        <v>3</v>
      </c>
      <c r="R20">
        <f>E18+G20+G21</f>
        <v>6</v>
      </c>
    </row>
    <row r="21" spans="1:18" x14ac:dyDescent="0.2">
      <c r="A21" s="20">
        <f>IF(ISBLANK('GRUPO C'!$G21),0,IF(ISBLANK('GRUPO C'!$I21),0,1))</f>
        <v>1</v>
      </c>
      <c r="B21" s="20">
        <f t="shared" si="0"/>
        <v>1</v>
      </c>
      <c r="C21" s="20">
        <f t="shared" si="1"/>
        <v>0</v>
      </c>
      <c r="D21" s="20" t="str">
        <f>equipos!$D$15</f>
        <v>Dinamarca</v>
      </c>
      <c r="E21" s="20">
        <f>'GRUPO C'!G21</f>
        <v>1</v>
      </c>
      <c r="F21" s="20" t="str">
        <f>equipos!$D$12</f>
        <v>Francia</v>
      </c>
      <c r="G21" s="20">
        <f>'GRUPO C'!I21</f>
        <v>3</v>
      </c>
      <c r="H21" s="20">
        <f t="shared" si="2"/>
        <v>1</v>
      </c>
      <c r="I21" s="20">
        <f t="shared" si="3"/>
        <v>0</v>
      </c>
      <c r="J21" s="20">
        <f>IF(ISBLANK('GRUPO C'!$G21),0,IF(ISBLANK('GRUPO C'!$I21),0,1))</f>
        <v>1</v>
      </c>
    </row>
    <row r="22" spans="1:18" x14ac:dyDescent="0.2">
      <c r="A22" s="20">
        <f>IF(ISBLANK('GRUPO C'!$G22),0,IF(ISBLANK('GRUPO C'!$I22),0,1))</f>
        <v>1</v>
      </c>
      <c r="B22" s="20">
        <f t="shared" si="0"/>
        <v>1</v>
      </c>
      <c r="C22" s="20">
        <f t="shared" si="1"/>
        <v>0</v>
      </c>
      <c r="D22" s="20" t="str">
        <f>equipos!$D$13</f>
        <v>Australia</v>
      </c>
      <c r="E22" s="20">
        <f>'GRUPO C'!G22</f>
        <v>1</v>
      </c>
      <c r="F22" s="20" t="str">
        <f>equipos!$D$14</f>
        <v>Perú</v>
      </c>
      <c r="G22" s="20">
        <f>'GRUPO C'!I22</f>
        <v>2</v>
      </c>
      <c r="H22" s="20">
        <f t="shared" si="2"/>
        <v>1</v>
      </c>
      <c r="I22" s="20">
        <f t="shared" si="3"/>
        <v>0</v>
      </c>
      <c r="J22" s="20">
        <f>IF(ISBLANK('GRUPO C'!$G22),0,IF(ISBLANK('GRUPO C'!$I22),0,1))</f>
        <v>1</v>
      </c>
    </row>
    <row r="23" spans="1:18" x14ac:dyDescent="0.2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 x14ac:dyDescent="0.2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1</v>
      </c>
      <c r="D24" s="20" t="str">
        <f>equipos!$D$17</f>
        <v>Argentina</v>
      </c>
      <c r="E24" s="20">
        <f>'GRUPO D'!G17</f>
        <v>2</v>
      </c>
      <c r="F24" s="20" t="str">
        <f>equipos!$D$18</f>
        <v>Islandia</v>
      </c>
      <c r="G24" s="20">
        <f>'GRUPO D'!I17</f>
        <v>0</v>
      </c>
      <c r="H24" s="20">
        <f t="shared" si="2"/>
        <v>0</v>
      </c>
      <c r="I24" s="20">
        <f t="shared" si="3"/>
        <v>1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1</v>
      </c>
      <c r="O24">
        <f>B24+B26+I28</f>
        <v>0</v>
      </c>
      <c r="P24">
        <f>M24-(N24+O24)</f>
        <v>2</v>
      </c>
      <c r="Q24">
        <f>E24+E26+G28</f>
        <v>4</v>
      </c>
      <c r="R24">
        <f>G24+G26+E28</f>
        <v>2</v>
      </c>
    </row>
    <row r="25" spans="1:18" x14ac:dyDescent="0.2">
      <c r="A25" s="20">
        <f>IF(ISBLANK('GRUPO D'!$G18),0,IF(ISBLANK('GRUPO D'!$I18),0,1))</f>
        <v>1</v>
      </c>
      <c r="B25" s="20">
        <f t="shared" si="0"/>
        <v>0</v>
      </c>
      <c r="C25" s="20">
        <f t="shared" si="1"/>
        <v>0</v>
      </c>
      <c r="D25" s="20" t="str">
        <f>equipos!$D$19</f>
        <v>Croacia</v>
      </c>
      <c r="E25" s="20">
        <f>'GRUPO D'!G18</f>
        <v>1</v>
      </c>
      <c r="F25" s="20" t="str">
        <f>equipos!$D$20</f>
        <v>Nigeria</v>
      </c>
      <c r="G25" s="20">
        <f>'GRUPO D'!I18</f>
        <v>1</v>
      </c>
      <c r="H25" s="20">
        <f t="shared" si="2"/>
        <v>0</v>
      </c>
      <c r="I25" s="20">
        <f t="shared" si="3"/>
        <v>0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0</v>
      </c>
      <c r="O25">
        <f>I24+I27+B29</f>
        <v>2</v>
      </c>
      <c r="P25">
        <f t="shared" ref="P25:P27" si="7">M25-(N25+O25)</f>
        <v>1</v>
      </c>
      <c r="Q25">
        <f>G24+G27+E29</f>
        <v>3</v>
      </c>
      <c r="R25">
        <f>E24+E27+G29</f>
        <v>6</v>
      </c>
    </row>
    <row r="26" spans="1:18" x14ac:dyDescent="0.2">
      <c r="A26" s="20">
        <f>IF(ISBLANK('GRUPO D'!$G19),0,IF(ISBLANK('GRUPO D'!$I19),0,1))</f>
        <v>1</v>
      </c>
      <c r="B26" s="20">
        <f t="shared" si="0"/>
        <v>0</v>
      </c>
      <c r="C26" s="20">
        <f t="shared" si="1"/>
        <v>0</v>
      </c>
      <c r="D26" s="20" t="str">
        <f>equipos!$D$17</f>
        <v>Argentina</v>
      </c>
      <c r="E26" s="20">
        <f>'GRUPO D'!G19</f>
        <v>1</v>
      </c>
      <c r="F26" s="20" t="str">
        <f>equipos!$D$19</f>
        <v>Croacia</v>
      </c>
      <c r="G26" s="20">
        <f>'GRUPO D'!I19</f>
        <v>1</v>
      </c>
      <c r="H26" s="20">
        <f t="shared" si="2"/>
        <v>0</v>
      </c>
      <c r="I26" s="20">
        <f t="shared" si="3"/>
        <v>0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1</v>
      </c>
      <c r="O26">
        <f>B25+I26+I29</f>
        <v>0</v>
      </c>
      <c r="P26">
        <f t="shared" si="7"/>
        <v>2</v>
      </c>
      <c r="Q26">
        <f>E25+G26+G29</f>
        <v>4</v>
      </c>
      <c r="R26">
        <f>G25+E26+E29</f>
        <v>3</v>
      </c>
    </row>
    <row r="27" spans="1:18" x14ac:dyDescent="0.2">
      <c r="A27" s="20">
        <f>IF(ISBLANK('GRUPO D'!$G20),0,IF(ISBLANK('GRUPO D'!$I20),0,1))</f>
        <v>1</v>
      </c>
      <c r="B27" s="20">
        <f t="shared" si="0"/>
        <v>0</v>
      </c>
      <c r="C27" s="20">
        <f t="shared" si="1"/>
        <v>0</v>
      </c>
      <c r="D27" s="20" t="str">
        <f>equipos!$D$20</f>
        <v>Nigeria</v>
      </c>
      <c r="E27" s="20">
        <f>'GRUPO D'!G20</f>
        <v>2</v>
      </c>
      <c r="F27" s="20" t="str">
        <f>equipos!$D$18</f>
        <v>Islandia</v>
      </c>
      <c r="G27" s="20">
        <f>'GRUPO D'!I20</f>
        <v>2</v>
      </c>
      <c r="H27" s="20">
        <f t="shared" si="2"/>
        <v>0</v>
      </c>
      <c r="I27" s="20">
        <f t="shared" si="3"/>
        <v>0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0</v>
      </c>
      <c r="O27">
        <f>I25+B27+B28</f>
        <v>0</v>
      </c>
      <c r="P27">
        <f t="shared" si="7"/>
        <v>3</v>
      </c>
      <c r="Q27">
        <f>G25+E27+E28</f>
        <v>4</v>
      </c>
      <c r="R27">
        <f>E25+G27+G28</f>
        <v>4</v>
      </c>
    </row>
    <row r="28" spans="1:18" x14ac:dyDescent="0.2">
      <c r="A28" s="20">
        <f>IF(ISBLANK('GRUPO D'!$G21),0,IF(ISBLANK('GRUPO D'!$I21),0,1))</f>
        <v>1</v>
      </c>
      <c r="B28" s="20">
        <f t="shared" si="0"/>
        <v>0</v>
      </c>
      <c r="C28" s="20">
        <f t="shared" si="1"/>
        <v>0</v>
      </c>
      <c r="D28" s="20" t="str">
        <f>equipos!$D$20</f>
        <v>Nigeria</v>
      </c>
      <c r="E28" s="20">
        <f>'GRUPO D'!G21</f>
        <v>1</v>
      </c>
      <c r="F28" s="20" t="str">
        <f>equipos!$D$17</f>
        <v>Argentina</v>
      </c>
      <c r="G28" s="20">
        <f>'GRUPO D'!I21</f>
        <v>1</v>
      </c>
      <c r="H28" s="20">
        <f t="shared" si="2"/>
        <v>0</v>
      </c>
      <c r="I28" s="20">
        <f t="shared" si="3"/>
        <v>0</v>
      </c>
      <c r="J28" s="20">
        <f>IF(ISBLANK('GRUPO D'!$G21),0,IF(ISBLANK('GRUPO D'!$I21),0,1))</f>
        <v>1</v>
      </c>
    </row>
    <row r="29" spans="1:18" x14ac:dyDescent="0.2">
      <c r="A29" s="20">
        <f>IF(ISBLANK('GRUPO D'!$G22),0,IF(ISBLANK('GRUPO D'!$I22),0,1))</f>
        <v>1</v>
      </c>
      <c r="B29" s="20">
        <f t="shared" si="0"/>
        <v>1</v>
      </c>
      <c r="C29" s="20">
        <f t="shared" si="1"/>
        <v>0</v>
      </c>
      <c r="D29" s="20" t="str">
        <f>equipos!$D$18</f>
        <v>Islandia</v>
      </c>
      <c r="E29" s="20">
        <f>'GRUPO D'!G22</f>
        <v>1</v>
      </c>
      <c r="F29" s="20" t="str">
        <f>equipos!$D$19</f>
        <v>Croacia</v>
      </c>
      <c r="G29" s="20">
        <f>'GRUPO D'!I22</f>
        <v>2</v>
      </c>
      <c r="H29" s="20">
        <f t="shared" si="2"/>
        <v>1</v>
      </c>
      <c r="I29" s="20">
        <f t="shared" si="3"/>
        <v>0</v>
      </c>
      <c r="J29" s="20">
        <f>IF(ISBLANK('GRUPO D'!$G22),0,IF(ISBLANK('GRUPO D'!$I22),0,1))</f>
        <v>1</v>
      </c>
    </row>
    <row r="30" spans="1:18" x14ac:dyDescent="0.2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 x14ac:dyDescent="0.2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2</v>
      </c>
      <c r="F31" s="20" t="str">
        <f>equipos!$G$3</f>
        <v>Suiza</v>
      </c>
      <c r="G31" s="20">
        <f>'GRUPO E'!I17</f>
        <v>0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8</v>
      </c>
      <c r="R31">
        <f>G31+G33+E35</f>
        <v>0</v>
      </c>
    </row>
    <row r="32" spans="1:18" x14ac:dyDescent="0.2">
      <c r="A32" s="20">
        <f>IF(ISBLANK('GRUPO E'!$G18),0,IF(ISBLANK('GRUPO E'!$I18),0,1))</f>
        <v>1</v>
      </c>
      <c r="B32" s="20">
        <f t="shared" si="0"/>
        <v>0</v>
      </c>
      <c r="C32" s="20">
        <f t="shared" si="1"/>
        <v>1</v>
      </c>
      <c r="D32" s="20" t="str">
        <f>equipos!$G$4</f>
        <v>Costa Rica</v>
      </c>
      <c r="E32" s="20">
        <f>'GRUPO E'!G18</f>
        <v>1</v>
      </c>
      <c r="F32" s="20" t="str">
        <f>equipos!$G$5</f>
        <v>Serbia</v>
      </c>
      <c r="G32" s="20">
        <f>'GRUPO E'!I18</f>
        <v>0</v>
      </c>
      <c r="H32" s="20">
        <f t="shared" si="2"/>
        <v>0</v>
      </c>
      <c r="I32" s="20">
        <f t="shared" si="3"/>
        <v>1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2</v>
      </c>
      <c r="O32">
        <f>I31+I34+B36</f>
        <v>1</v>
      </c>
      <c r="P32">
        <f t="shared" ref="P32:P34" si="8">M32-(N32+O32)</f>
        <v>0</v>
      </c>
      <c r="Q32">
        <f>G31+G34+E36</f>
        <v>3</v>
      </c>
      <c r="R32">
        <f>E31+E34+G36</f>
        <v>3</v>
      </c>
    </row>
    <row r="33" spans="1:18" x14ac:dyDescent="0.2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3</v>
      </c>
      <c r="F33" s="20" t="str">
        <f>equipos!$G$4</f>
        <v>Costa Rica</v>
      </c>
      <c r="G33" s="20">
        <f>'GRUPO E'!I19</f>
        <v>0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1</v>
      </c>
      <c r="O33">
        <f>B32+I33+I36</f>
        <v>2</v>
      </c>
      <c r="P33">
        <f t="shared" si="8"/>
        <v>0</v>
      </c>
      <c r="Q33">
        <f>E32+G33+G36</f>
        <v>1</v>
      </c>
      <c r="R33">
        <f>G32+E33+E36</f>
        <v>4</v>
      </c>
    </row>
    <row r="34" spans="1:18" x14ac:dyDescent="0.2">
      <c r="A34" s="20">
        <f>IF(ISBLANK('GRUPO E'!$G20),0,IF(ISBLANK('GRUPO E'!$I20),0,1))</f>
        <v>1</v>
      </c>
      <c r="B34" s="20">
        <f t="shared" si="0"/>
        <v>1</v>
      </c>
      <c r="C34" s="20">
        <f t="shared" si="1"/>
        <v>0</v>
      </c>
      <c r="D34" s="20" t="str">
        <f>equipos!$G$5</f>
        <v>Serbia</v>
      </c>
      <c r="E34" s="20">
        <f>'GRUPO E'!G20</f>
        <v>1</v>
      </c>
      <c r="F34" s="20" t="str">
        <f>equipos!$G$3</f>
        <v>Suiza</v>
      </c>
      <c r="G34" s="20">
        <f>'GRUPO E'!I20</f>
        <v>2</v>
      </c>
      <c r="H34" s="20">
        <f t="shared" si="2"/>
        <v>1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0</v>
      </c>
      <c r="O34">
        <f>I32+B34+B35</f>
        <v>3</v>
      </c>
      <c r="P34">
        <f t="shared" si="8"/>
        <v>0</v>
      </c>
      <c r="Q34">
        <f>G32+E34+E35</f>
        <v>1</v>
      </c>
      <c r="R34">
        <f>E32+G34+G35</f>
        <v>6</v>
      </c>
    </row>
    <row r="35" spans="1:18" x14ac:dyDescent="0.2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0</v>
      </c>
      <c r="F35" s="20" t="str">
        <f>equipos!$G$2</f>
        <v>Brasil</v>
      </c>
      <c r="G35" s="20">
        <f>'GRUPO E'!I21</f>
        <v>3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 x14ac:dyDescent="0.2">
      <c r="A36" s="20">
        <f>IF(ISBLANK('GRUPO E'!$G22),0,IF(ISBLANK('GRUPO E'!$I22),0,1))</f>
        <v>1</v>
      </c>
      <c r="B36" s="20">
        <f t="shared" si="0"/>
        <v>0</v>
      </c>
      <c r="C36" s="20">
        <f t="shared" si="1"/>
        <v>1</v>
      </c>
      <c r="D36" s="20" t="str">
        <f>equipos!$G$3</f>
        <v>Suiza</v>
      </c>
      <c r="E36" s="20">
        <f>'GRUPO E'!G22</f>
        <v>1</v>
      </c>
      <c r="F36" s="20" t="str">
        <f>equipos!$G$4</f>
        <v>Costa Rica</v>
      </c>
      <c r="G36" s="20">
        <f>'GRUPO E'!I22</f>
        <v>0</v>
      </c>
      <c r="H36" s="20">
        <f t="shared" si="2"/>
        <v>0</v>
      </c>
      <c r="I36" s="20">
        <f t="shared" si="3"/>
        <v>1</v>
      </c>
      <c r="J36" s="20">
        <f>IF(ISBLANK('GRUPO E'!$G22),0,IF(ISBLANK('GRUPO E'!$I22),0,1))</f>
        <v>1</v>
      </c>
    </row>
    <row r="37" spans="1:18" x14ac:dyDescent="0.2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 x14ac:dyDescent="0.2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2</v>
      </c>
      <c r="F38" s="20" t="str">
        <f>equipos!$G$8</f>
        <v>México</v>
      </c>
      <c r="G38" s="20">
        <f>'GRUPO F'!I17</f>
        <v>0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9</v>
      </c>
      <c r="R38">
        <f>G38+G40+E42</f>
        <v>1</v>
      </c>
    </row>
    <row r="39" spans="1:18" x14ac:dyDescent="0.2">
      <c r="A39" s="20">
        <f>IF(ISBLANK('GRUPO F'!$G18),0,IF(ISBLANK('GRUPO F'!$I18),0,1))</f>
        <v>1</v>
      </c>
      <c r="B39" s="20">
        <f t="shared" si="0"/>
        <v>0</v>
      </c>
      <c r="C39" s="20">
        <f t="shared" si="1"/>
        <v>1</v>
      </c>
      <c r="D39" s="20" t="str">
        <f>equipos!$G$9</f>
        <v>Suecia</v>
      </c>
      <c r="E39" s="20">
        <f>'GRUPO F'!G18</f>
        <v>2</v>
      </c>
      <c r="F39" s="20" t="str">
        <f>equipos!$G$10</f>
        <v>Corea</v>
      </c>
      <c r="G39" s="20">
        <f>'GRUPO F'!I18</f>
        <v>0</v>
      </c>
      <c r="H39" s="20">
        <f t="shared" si="2"/>
        <v>0</v>
      </c>
      <c r="I39" s="20">
        <f t="shared" si="3"/>
        <v>1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1</v>
      </c>
      <c r="O39">
        <f>I38+I41+B43</f>
        <v>1</v>
      </c>
      <c r="P39">
        <f t="shared" ref="P39:P41" si="9">M39-(N39+O39)</f>
        <v>1</v>
      </c>
      <c r="Q39">
        <f>G38+G41+E43</f>
        <v>2</v>
      </c>
      <c r="R39">
        <f>E38+E41+G43</f>
        <v>3</v>
      </c>
    </row>
    <row r="40" spans="1:18" x14ac:dyDescent="0.2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3</v>
      </c>
      <c r="F40" s="20" t="str">
        <f>equipos!$G$9</f>
        <v>Suecia</v>
      </c>
      <c r="G40" s="20">
        <f>'GRUPO F'!I19</f>
        <v>1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1</v>
      </c>
      <c r="O40">
        <f>B39+I40+I43</f>
        <v>1</v>
      </c>
      <c r="P40">
        <f t="shared" si="9"/>
        <v>1</v>
      </c>
      <c r="Q40">
        <f>E39+G40+G43</f>
        <v>4</v>
      </c>
      <c r="R40">
        <f>G39+E40+E43</f>
        <v>4</v>
      </c>
    </row>
    <row r="41" spans="1:18" x14ac:dyDescent="0.2">
      <c r="A41" s="20">
        <f>IF(ISBLANK('GRUPO F'!$G20),0,IF(ISBLANK('GRUPO F'!$I20),0,1))</f>
        <v>1</v>
      </c>
      <c r="B41" s="20">
        <f t="shared" si="0"/>
        <v>1</v>
      </c>
      <c r="C41" s="20">
        <f t="shared" si="1"/>
        <v>0</v>
      </c>
      <c r="D41" s="20" t="str">
        <f>equipos!$G$10</f>
        <v>Corea</v>
      </c>
      <c r="E41" s="20">
        <f>'GRUPO F'!G20</f>
        <v>0</v>
      </c>
      <c r="F41" s="20" t="str">
        <f>equipos!$G$8</f>
        <v>México</v>
      </c>
      <c r="G41" s="20">
        <f>'GRUPO F'!I20</f>
        <v>1</v>
      </c>
      <c r="H41" s="20">
        <f t="shared" si="2"/>
        <v>1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0</v>
      </c>
      <c r="O41">
        <f>I39+B41+B42</f>
        <v>3</v>
      </c>
      <c r="P41">
        <f t="shared" si="9"/>
        <v>0</v>
      </c>
      <c r="Q41">
        <f>G39+E41+E42</f>
        <v>0</v>
      </c>
      <c r="R41">
        <f>E39+G41+G42</f>
        <v>7</v>
      </c>
    </row>
    <row r="42" spans="1:18" x14ac:dyDescent="0.2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0</v>
      </c>
      <c r="F42" s="20" t="str">
        <f>equipos!$G$7</f>
        <v>Alemania</v>
      </c>
      <c r="G42" s="20">
        <f>'GRUPO F'!I21</f>
        <v>4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 x14ac:dyDescent="0.2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0</v>
      </c>
      <c r="D43" s="20" t="str">
        <f>equipos!$G$8</f>
        <v>México</v>
      </c>
      <c r="E43" s="20">
        <f>'GRUPO F'!G22</f>
        <v>1</v>
      </c>
      <c r="F43" s="20" t="str">
        <f>equipos!$G$9</f>
        <v>Suecia</v>
      </c>
      <c r="G43" s="20">
        <f>'GRUPO F'!I22</f>
        <v>1</v>
      </c>
      <c r="H43" s="20">
        <f t="shared" si="2"/>
        <v>0</v>
      </c>
      <c r="I43" s="20">
        <f t="shared" si="3"/>
        <v>0</v>
      </c>
      <c r="J43" s="20">
        <f>IF(ISBLANK('GRUPO F'!$G22),0,IF(ISBLANK('GRUPO F'!$I22),0,1))</f>
        <v>1</v>
      </c>
    </row>
    <row r="44" spans="1:18" x14ac:dyDescent="0.2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 x14ac:dyDescent="0.2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3</v>
      </c>
      <c r="F45" s="20" t="str">
        <f>equipos!$G$13</f>
        <v>Panamá</v>
      </c>
      <c r="G45" s="20">
        <f>'GRUPO G'!I17</f>
        <v>0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3</v>
      </c>
      <c r="O45">
        <f>B45+B47+I49</f>
        <v>0</v>
      </c>
      <c r="P45">
        <f>M45-(N45+O45)</f>
        <v>0</v>
      </c>
      <c r="Q45">
        <f>E45+E47+G49</f>
        <v>9</v>
      </c>
      <c r="R45">
        <f>G45+G47+E49</f>
        <v>2</v>
      </c>
    </row>
    <row r="46" spans="1:18" x14ac:dyDescent="0.2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0</v>
      </c>
      <c r="F46" s="20" t="str">
        <f>equipos!$G$15</f>
        <v>Inglaterra</v>
      </c>
      <c r="G46" s="20">
        <f>'GRUPO G'!I18</f>
        <v>3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0</v>
      </c>
      <c r="O46">
        <f>I45+I48+B50</f>
        <v>3</v>
      </c>
      <c r="P46">
        <f t="shared" ref="P46:P48" si="10">M46-(N46+O46)</f>
        <v>0</v>
      </c>
      <c r="Q46">
        <f>G45+G48+E50</f>
        <v>0</v>
      </c>
      <c r="R46">
        <f>E45+E48+G50</f>
        <v>7</v>
      </c>
    </row>
    <row r="47" spans="1:18" x14ac:dyDescent="0.2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4</v>
      </c>
      <c r="F47" s="20" t="str">
        <f>equipos!$G$14</f>
        <v>Túnez</v>
      </c>
      <c r="G47" s="20">
        <f>'GRUPO G'!I19</f>
        <v>1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1</v>
      </c>
      <c r="O47">
        <f>B46+I47+I50</f>
        <v>2</v>
      </c>
      <c r="P47">
        <f t="shared" si="10"/>
        <v>0</v>
      </c>
      <c r="Q47">
        <f>E46+G47+G50</f>
        <v>2</v>
      </c>
      <c r="R47">
        <f>G46+E47+E50</f>
        <v>7</v>
      </c>
    </row>
    <row r="48" spans="1:18" x14ac:dyDescent="0.2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3</v>
      </c>
      <c r="F48" s="20" t="str">
        <f>equipos!$G$13</f>
        <v>Panamá</v>
      </c>
      <c r="G48" s="20">
        <f>'GRUPO G'!I20</f>
        <v>0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2</v>
      </c>
      <c r="O48">
        <f>I46+B48+B49</f>
        <v>1</v>
      </c>
      <c r="P48">
        <f t="shared" si="10"/>
        <v>0</v>
      </c>
      <c r="Q48">
        <f>G46+E48+E49</f>
        <v>7</v>
      </c>
      <c r="R48">
        <f>E46+G48+G49</f>
        <v>2</v>
      </c>
    </row>
    <row r="49" spans="1:18" x14ac:dyDescent="0.2">
      <c r="A49" s="20">
        <f>IF(ISBLANK('GRUPO G'!$G21),0,IF(ISBLANK('GRUPO G'!$I21),0,1))</f>
        <v>1</v>
      </c>
      <c r="B49" s="20">
        <f t="shared" si="0"/>
        <v>1</v>
      </c>
      <c r="C49" s="20">
        <f t="shared" si="1"/>
        <v>0</v>
      </c>
      <c r="D49" s="20" t="str">
        <f>equipos!$G$15</f>
        <v>Inglaterra</v>
      </c>
      <c r="E49" s="20">
        <f>'GRUPO G'!G21</f>
        <v>1</v>
      </c>
      <c r="F49" s="20" t="str">
        <f>equipos!$G$12</f>
        <v>Bélgica</v>
      </c>
      <c r="G49" s="20">
        <f>'GRUPO G'!I21</f>
        <v>2</v>
      </c>
      <c r="H49" s="20">
        <f t="shared" si="2"/>
        <v>1</v>
      </c>
      <c r="I49" s="20">
        <f t="shared" si="3"/>
        <v>0</v>
      </c>
      <c r="J49" s="20">
        <f>IF(ISBLANK('GRUPO G'!$G21),0,IF(ISBLANK('GRUPO G'!$I21),0,1))</f>
        <v>1</v>
      </c>
    </row>
    <row r="50" spans="1:18" x14ac:dyDescent="0.2">
      <c r="A50" s="20">
        <f>IF(ISBLANK('GRUPO G'!$G22),0,IF(ISBLANK('GRUPO G'!$I22),0,1))</f>
        <v>1</v>
      </c>
      <c r="B50" s="20">
        <f t="shared" si="0"/>
        <v>1</v>
      </c>
      <c r="C50" s="20">
        <f t="shared" si="1"/>
        <v>0</v>
      </c>
      <c r="D50" s="20" t="str">
        <f>equipos!$G$13</f>
        <v>Panamá</v>
      </c>
      <c r="E50" s="20">
        <f>'GRUPO G'!G22</f>
        <v>0</v>
      </c>
      <c r="F50" s="20" t="str">
        <f>equipos!$G$14</f>
        <v>Túnez</v>
      </c>
      <c r="G50" s="20">
        <f>'GRUPO G'!I22</f>
        <v>1</v>
      </c>
      <c r="H50" s="20">
        <f t="shared" si="2"/>
        <v>1</v>
      </c>
      <c r="I50" s="20">
        <f t="shared" si="3"/>
        <v>0</v>
      </c>
      <c r="J50" s="20">
        <f>IF(ISBLANK('GRUPO G'!$G22),0,IF(ISBLANK('GRUPO G'!$I22),0,1))</f>
        <v>1</v>
      </c>
    </row>
    <row r="51" spans="1:18" x14ac:dyDescent="0.2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 x14ac:dyDescent="0.2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1</v>
      </c>
      <c r="D52" s="20" t="str">
        <f>equipos!$G$17</f>
        <v>Polonia</v>
      </c>
      <c r="E52" s="20">
        <f>'GRUPO H'!G17</f>
        <v>2</v>
      </c>
      <c r="F52" s="20" t="str">
        <f>equipos!$G$18</f>
        <v>Senegal</v>
      </c>
      <c r="G52" s="20">
        <f>'GRUPO H'!I17</f>
        <v>1</v>
      </c>
      <c r="H52" s="20">
        <f t="shared" si="2"/>
        <v>0</v>
      </c>
      <c r="I52" s="20">
        <f t="shared" si="3"/>
        <v>1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2</v>
      </c>
      <c r="O52">
        <f>B52+B54+I56</f>
        <v>0</v>
      </c>
      <c r="P52">
        <f>M52-(N52+O52)</f>
        <v>1</v>
      </c>
      <c r="Q52">
        <f>E52+E54+G56</f>
        <v>6</v>
      </c>
      <c r="R52">
        <f>G52+G54+E56</f>
        <v>4</v>
      </c>
    </row>
    <row r="53" spans="1:18" x14ac:dyDescent="0.2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1</v>
      </c>
      <c r="D53" s="20" t="str">
        <f>equipos!$G$19</f>
        <v>Colombia</v>
      </c>
      <c r="E53" s="20">
        <f>'GRUPO H'!G18</f>
        <v>2</v>
      </c>
      <c r="F53" s="20" t="str">
        <f>equipos!$G$20</f>
        <v>Japón</v>
      </c>
      <c r="G53" s="20">
        <f>'GRUPO H'!I18</f>
        <v>0</v>
      </c>
      <c r="H53" s="20">
        <f t="shared" si="2"/>
        <v>0</v>
      </c>
      <c r="I53" s="20">
        <f t="shared" si="3"/>
        <v>1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0</v>
      </c>
      <c r="O53">
        <f>I52+I55+B57</f>
        <v>2</v>
      </c>
      <c r="P53">
        <f t="shared" ref="P53:P55" si="11">M53-(N53+O53)</f>
        <v>1</v>
      </c>
      <c r="Q53">
        <f>G52+G55+E57</f>
        <v>3</v>
      </c>
      <c r="R53">
        <f>E52+E55+G57</f>
        <v>5</v>
      </c>
    </row>
    <row r="54" spans="1:18" x14ac:dyDescent="0.2">
      <c r="A54" s="20">
        <f>IF(ISBLANK('GRUPO H'!$G19),0,IF(ISBLANK('GRUPO H'!$I19),0,1))</f>
        <v>1</v>
      </c>
      <c r="B54" s="20">
        <f t="shared" si="0"/>
        <v>0</v>
      </c>
      <c r="C54" s="20">
        <f t="shared" si="1"/>
        <v>0</v>
      </c>
      <c r="D54" s="20" t="str">
        <f>equipos!$G$17</f>
        <v>Polonia</v>
      </c>
      <c r="E54" s="20">
        <f>'GRUPO H'!G19</f>
        <v>2</v>
      </c>
      <c r="F54" s="20" t="str">
        <f>equipos!$G$19</f>
        <v>Colombia</v>
      </c>
      <c r="G54" s="20">
        <f>'GRUPO H'!I19</f>
        <v>2</v>
      </c>
      <c r="H54" s="20">
        <f t="shared" si="2"/>
        <v>0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2</v>
      </c>
      <c r="O54">
        <f>B53+I54+I57</f>
        <v>0</v>
      </c>
      <c r="P54">
        <f t="shared" si="11"/>
        <v>1</v>
      </c>
      <c r="Q54">
        <f>E53+G54+G57</f>
        <v>6</v>
      </c>
      <c r="R54">
        <f>G53+E54+E57</f>
        <v>3</v>
      </c>
    </row>
    <row r="55" spans="1:18" x14ac:dyDescent="0.2">
      <c r="A55" s="20">
        <f>IF(ISBLANK('GRUPO H'!$G20),0,IF(ISBLANK('GRUPO H'!$I20),0,1))</f>
        <v>1</v>
      </c>
      <c r="B55" s="20">
        <f t="shared" si="0"/>
        <v>0</v>
      </c>
      <c r="C55" s="20">
        <f t="shared" si="1"/>
        <v>0</v>
      </c>
      <c r="D55" s="20" t="str">
        <f>equipos!$G$20</f>
        <v>Japón</v>
      </c>
      <c r="E55" s="20">
        <f>'GRUPO H'!G20</f>
        <v>1</v>
      </c>
      <c r="F55" s="20" t="str">
        <f>equipos!$G$18</f>
        <v>Senegal</v>
      </c>
      <c r="G55" s="20">
        <f>'GRUPO H'!I20</f>
        <v>1</v>
      </c>
      <c r="H55" s="20">
        <f t="shared" si="2"/>
        <v>0</v>
      </c>
      <c r="I55" s="20">
        <f t="shared" si="3"/>
        <v>0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0</v>
      </c>
      <c r="O55">
        <f>I53+B55+B56</f>
        <v>2</v>
      </c>
      <c r="P55">
        <f t="shared" si="11"/>
        <v>1</v>
      </c>
      <c r="Q55">
        <f>G53+E55+E56</f>
        <v>2</v>
      </c>
      <c r="R55">
        <f>E53+G55+G56</f>
        <v>5</v>
      </c>
    </row>
    <row r="56" spans="1:18" x14ac:dyDescent="0.2">
      <c r="A56" s="20">
        <f>IF(ISBLANK('GRUPO H'!$G21),0,IF(ISBLANK('GRUPO H'!$I21),0,1))</f>
        <v>1</v>
      </c>
      <c r="B56" s="20">
        <f t="shared" si="0"/>
        <v>1</v>
      </c>
      <c r="C56" s="20">
        <f t="shared" si="1"/>
        <v>0</v>
      </c>
      <c r="D56" s="20" t="str">
        <f>equipos!$G$20</f>
        <v>Japón</v>
      </c>
      <c r="E56" s="20">
        <f>'GRUPO H'!G21</f>
        <v>1</v>
      </c>
      <c r="F56" s="20" t="str">
        <f>equipos!$G$17</f>
        <v>Polonia</v>
      </c>
      <c r="G56" s="20">
        <f>'GRUPO H'!I21</f>
        <v>2</v>
      </c>
      <c r="H56" s="20">
        <f t="shared" si="2"/>
        <v>1</v>
      </c>
      <c r="I56" s="20">
        <f t="shared" si="3"/>
        <v>0</v>
      </c>
      <c r="J56" s="20">
        <f>IF(ISBLANK('GRUPO H'!$G21),0,IF(ISBLANK('GRUPO H'!$I21),0,1))</f>
        <v>1</v>
      </c>
    </row>
    <row r="57" spans="1:18" x14ac:dyDescent="0.2">
      <c r="A57" s="20">
        <f>IF(ISBLANK('GRUPO H'!$G22),0,IF(ISBLANK('GRUPO H'!$I22),0,1))</f>
        <v>1</v>
      </c>
      <c r="B57" s="20">
        <f t="shared" si="0"/>
        <v>1</v>
      </c>
      <c r="C57" s="20">
        <f t="shared" si="1"/>
        <v>0</v>
      </c>
      <c r="D57" s="20" t="str">
        <f>equipos!$G$18</f>
        <v>Senegal</v>
      </c>
      <c r="E57" s="20">
        <f>'GRUPO H'!G22</f>
        <v>1</v>
      </c>
      <c r="F57" s="20" t="str">
        <f>equipos!$G$19</f>
        <v>Colombia</v>
      </c>
      <c r="G57" s="20">
        <f>'GRUPO H'!I22</f>
        <v>2</v>
      </c>
      <c r="H57" s="20">
        <f t="shared" si="2"/>
        <v>1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zoomScale="80" zoomScaleNormal="80" workbookViewId="0">
      <pane ySplit="2" topLeftCell="A3" activePane="bottomLeft" state="frozenSplit"/>
      <selection activeCell="H4" sqref="H4:I51"/>
      <selection pane="bottomLeft" activeCell="R53" sqref="R53"/>
    </sheetView>
  </sheetViews>
  <sheetFormatPr baseColWidth="10" defaultRowHeight="12.75" x14ac:dyDescent="0.2"/>
  <cols>
    <col min="1" max="1" width="1.42578125" style="27" customWidth="1"/>
    <col min="2" max="2" width="25.7109375" style="27" customWidth="1"/>
    <col min="3" max="3" width="3.28515625" style="27" customWidth="1"/>
    <col min="4" max="4" width="3.42578125" style="27" customWidth="1"/>
    <col min="5" max="5" width="25.7109375" style="27" customWidth="1"/>
    <col min="6" max="6" width="3.7109375" style="27" customWidth="1"/>
    <col min="7" max="7" width="3.42578125" style="27" customWidth="1"/>
    <col min="8" max="8" width="25.7109375" style="27" customWidth="1"/>
    <col min="9" max="9" width="3.42578125" style="27" customWidth="1"/>
    <col min="10" max="10" width="3.5703125" style="27" customWidth="1"/>
    <col min="11" max="11" width="25.7109375" style="27" customWidth="1"/>
    <col min="12" max="12" width="3.7109375" style="27" customWidth="1"/>
    <col min="13" max="13" width="3.5703125" style="27" customWidth="1"/>
    <col min="14" max="14" width="28.7109375" style="27" customWidth="1"/>
    <col min="15" max="16384" width="11.42578125" style="27"/>
  </cols>
  <sheetData>
    <row r="2" spans="2:14" ht="20.25" x14ac:dyDescent="0.35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5" thickBot="1" x14ac:dyDescent="0.25">
      <c r="C3" s="27" t="s">
        <v>21</v>
      </c>
      <c r="D3" s="27" t="s">
        <v>22</v>
      </c>
    </row>
    <row r="4" spans="2:14" x14ac:dyDescent="0.2">
      <c r="B4" s="77" t="str">
        <f>'GRUPO A'!K23</f>
        <v>Uruguay</v>
      </c>
      <c r="C4" s="78">
        <v>1</v>
      </c>
      <c r="D4" s="79"/>
    </row>
    <row r="5" spans="2:14" x14ac:dyDescent="0.2">
      <c r="B5" s="80"/>
      <c r="C5" s="81"/>
      <c r="D5" s="81"/>
      <c r="E5" s="82"/>
      <c r="F5" s="81"/>
    </row>
    <row r="6" spans="2:14" x14ac:dyDescent="0.2">
      <c r="B6" s="83">
        <v>43281</v>
      </c>
      <c r="C6" s="81"/>
      <c r="D6" s="81"/>
      <c r="E6" s="77" t="str">
        <f>IF(C4="","",IF(C4&gt;C8,B4,IF(C4&lt;C8,B8,IF(D4&gt;D8,B4,IF(D4&lt;D8,B8,"")))))</f>
        <v>Uruguay</v>
      </c>
      <c r="F6" s="78">
        <v>0</v>
      </c>
      <c r="G6" s="79"/>
    </row>
    <row r="7" spans="2:14" x14ac:dyDescent="0.2">
      <c r="B7" s="84">
        <v>0.58333333333333337</v>
      </c>
      <c r="C7" s="83"/>
      <c r="D7" s="85"/>
      <c r="E7" s="82"/>
      <c r="F7" s="81"/>
      <c r="H7" s="82"/>
    </row>
    <row r="8" spans="2:14" x14ac:dyDescent="0.2">
      <c r="B8" s="77" t="str">
        <f>'GRUPO B'!K24</f>
        <v>Portugal</v>
      </c>
      <c r="C8" s="78">
        <v>0</v>
      </c>
      <c r="D8" s="86"/>
      <c r="E8" s="80"/>
      <c r="F8" s="80"/>
      <c r="H8" s="82"/>
    </row>
    <row r="9" spans="2:14" x14ac:dyDescent="0.2">
      <c r="E9" s="83">
        <v>43287</v>
      </c>
      <c r="F9" s="87"/>
      <c r="H9" s="77" t="str">
        <f>IF(F6="","",IF(F6&gt;F12,E6,IF(F6&lt;F12,E12,IF(G6&gt;G12,E6,IF(G6&lt;G12,E12,"")))))</f>
        <v>Francia</v>
      </c>
      <c r="I9" s="78">
        <v>1</v>
      </c>
      <c r="J9" s="79"/>
    </row>
    <row r="10" spans="2:14" x14ac:dyDescent="0.2">
      <c r="B10" s="77" t="str">
        <f>'GRUPO C'!K23</f>
        <v>Francia</v>
      </c>
      <c r="C10" s="78">
        <v>2</v>
      </c>
      <c r="D10" s="79"/>
      <c r="E10" s="84">
        <v>0.41666666666666669</v>
      </c>
      <c r="F10" s="84"/>
      <c r="H10" s="82"/>
      <c r="K10" s="82"/>
    </row>
    <row r="11" spans="2:14" x14ac:dyDescent="0.2">
      <c r="B11" s="80"/>
      <c r="C11" s="81"/>
      <c r="D11" s="81"/>
      <c r="E11" s="82"/>
      <c r="F11" s="81"/>
      <c r="H11" s="82"/>
      <c r="K11" s="82"/>
    </row>
    <row r="12" spans="2:14" x14ac:dyDescent="0.2">
      <c r="B12" s="83">
        <v>43281</v>
      </c>
      <c r="C12" s="81"/>
      <c r="D12" s="81"/>
      <c r="E12" s="77" t="str">
        <f>IF(C10="","",IF(C10&gt;C14,B10,IF(C10&lt;C14,B14,IF(D10&gt;D14,B10,IF(D10&lt;D14,B14,"")))))</f>
        <v>Francia</v>
      </c>
      <c r="F12" s="78">
        <v>1</v>
      </c>
      <c r="G12" s="86"/>
      <c r="K12" s="82"/>
    </row>
    <row r="13" spans="2:14" x14ac:dyDescent="0.2">
      <c r="B13" s="84">
        <v>0.41666666666666669</v>
      </c>
      <c r="D13" s="85"/>
      <c r="E13" s="82"/>
      <c r="F13" s="81"/>
      <c r="K13" s="82"/>
    </row>
    <row r="14" spans="2:14" x14ac:dyDescent="0.2">
      <c r="B14" s="77" t="str">
        <f>'GRUPO D'!K24</f>
        <v>Croacia</v>
      </c>
      <c r="C14" s="78">
        <v>1</v>
      </c>
      <c r="D14" s="86"/>
      <c r="H14" s="80"/>
      <c r="K14" s="82"/>
    </row>
    <row r="15" spans="2:14" x14ac:dyDescent="0.2">
      <c r="H15" s="83">
        <v>43291</v>
      </c>
      <c r="K15" s="77" t="str">
        <f>IF(I9="","",IF(I9&gt;I21,H9,IF(I9&lt;I21,H21,IF(J9&gt;J21,H9,IF(J9&lt;J21,H21,"")))))</f>
        <v>Brasil</v>
      </c>
      <c r="L15" s="78">
        <v>2</v>
      </c>
      <c r="M15" s="79"/>
    </row>
    <row r="16" spans="2:14" x14ac:dyDescent="0.2">
      <c r="B16" s="77" t="str">
        <f>'GRUPO E'!K23</f>
        <v>Brasil</v>
      </c>
      <c r="C16" s="78">
        <v>3</v>
      </c>
      <c r="D16" s="79"/>
      <c r="H16" s="84">
        <v>0.58333333333333337</v>
      </c>
      <c r="K16" s="82"/>
      <c r="N16" s="82"/>
    </row>
    <row r="17" spans="2:14" x14ac:dyDescent="0.2">
      <c r="B17" s="80"/>
      <c r="C17" s="81"/>
      <c r="D17" s="81"/>
      <c r="E17" s="82"/>
      <c r="F17" s="81"/>
      <c r="K17" s="82"/>
      <c r="N17" s="82"/>
    </row>
    <row r="18" spans="2:14" x14ac:dyDescent="0.2">
      <c r="B18" s="83">
        <v>43283</v>
      </c>
      <c r="C18" s="81"/>
      <c r="D18" s="81"/>
      <c r="E18" s="77" t="str">
        <f>IF(C16="","",IF(C16&gt;C20,B16,IF(C16&lt;C20,B20,IF(D16&gt;D20,B16,IF(D16&lt;D20,B20,"")))))</f>
        <v>Brasil</v>
      </c>
      <c r="F18" s="78">
        <v>2</v>
      </c>
      <c r="G18" s="79"/>
      <c r="K18" s="82"/>
      <c r="N18" s="82"/>
    </row>
    <row r="19" spans="2:14" x14ac:dyDescent="0.2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 x14ac:dyDescent="0.2">
      <c r="B20" s="77" t="str">
        <f>'GRUPO F'!K24</f>
        <v>Suecia</v>
      </c>
      <c r="C20" s="78">
        <v>1</v>
      </c>
      <c r="D20" s="86"/>
      <c r="E20" s="80"/>
      <c r="F20" s="80"/>
      <c r="H20" s="82"/>
      <c r="K20" s="82"/>
      <c r="N20" s="82"/>
    </row>
    <row r="21" spans="2:14" x14ac:dyDescent="0.2">
      <c r="E21" s="83">
        <v>43287</v>
      </c>
      <c r="F21" s="87"/>
      <c r="H21" s="77" t="str">
        <f>IF(F18="","",IF(F18&gt;F24,E18,IF(F18&lt;F24,E24,IF(G18&gt;G24,E18,IF(G18&lt;G24,E24,"")))))</f>
        <v>Brasil</v>
      </c>
      <c r="I21" s="78">
        <v>2</v>
      </c>
      <c r="J21" s="86"/>
      <c r="N21" s="82"/>
    </row>
    <row r="22" spans="2:14" x14ac:dyDescent="0.2">
      <c r="B22" s="77" t="str">
        <f>'GRUPO G'!K23</f>
        <v>Bélgica</v>
      </c>
      <c r="C22" s="78">
        <v>2</v>
      </c>
      <c r="D22" s="79"/>
      <c r="E22" s="84">
        <v>0.58333333333333337</v>
      </c>
      <c r="F22" s="84"/>
      <c r="H22" s="82"/>
      <c r="N22" s="82"/>
    </row>
    <row r="23" spans="2:14" x14ac:dyDescent="0.2">
      <c r="B23" s="80"/>
      <c r="C23" s="81"/>
      <c r="D23" s="81"/>
      <c r="E23" s="82"/>
      <c r="F23" s="81"/>
      <c r="H23" s="82"/>
      <c r="N23" s="82"/>
    </row>
    <row r="24" spans="2:14" x14ac:dyDescent="0.2">
      <c r="B24" s="83">
        <v>43283</v>
      </c>
      <c r="C24" s="81"/>
      <c r="D24" s="81"/>
      <c r="E24" s="77" t="str">
        <f>IF(C22="","",IF(C22&gt;C26,B22,IF(C22&lt;C26,B26,IF(D22&gt;D26,B22,IF(D22&lt;D26,B26,"")))))</f>
        <v>Bélgica</v>
      </c>
      <c r="F24" s="78">
        <v>1</v>
      </c>
      <c r="G24" s="86"/>
      <c r="N24" s="82"/>
    </row>
    <row r="25" spans="2:14" x14ac:dyDescent="0.2">
      <c r="B25" s="84">
        <v>0.58333333333333337</v>
      </c>
      <c r="D25" s="85"/>
      <c r="E25" s="82"/>
      <c r="F25" s="81"/>
      <c r="N25" s="82"/>
    </row>
    <row r="26" spans="2:14" ht="13.5" thickBot="1" x14ac:dyDescent="0.25">
      <c r="B26" s="77" t="str">
        <f>'GRUPO H'!$K$24</f>
        <v>Polonia</v>
      </c>
      <c r="C26" s="78">
        <v>1</v>
      </c>
      <c r="D26" s="86"/>
      <c r="K26" s="80"/>
      <c r="N26" s="82"/>
    </row>
    <row r="27" spans="2:14" ht="21" thickBot="1" x14ac:dyDescent="0.4">
      <c r="K27" s="83">
        <v>43296</v>
      </c>
      <c r="N27" s="89" t="str">
        <f>IF(L15="","Campeón del Mundo",IF(L15&gt;L39,K15,IF(L15&lt;L39,K39,IF(M15&gt;M39,K15,IF(M15&lt;M39,K39,"Campeón del Mundo")))))</f>
        <v>Brasil</v>
      </c>
    </row>
    <row r="28" spans="2:14" ht="13.5" thickBot="1" x14ac:dyDescent="0.25">
      <c r="B28" s="77" t="str">
        <f>'GRUPO B'!K23</f>
        <v>España</v>
      </c>
      <c r="C28" s="78">
        <v>2</v>
      </c>
      <c r="D28" s="79"/>
      <c r="K28" s="84">
        <v>0.45833333333333331</v>
      </c>
      <c r="N28" s="82"/>
    </row>
    <row r="29" spans="2:14" x14ac:dyDescent="0.2">
      <c r="B29" s="80"/>
      <c r="C29" s="81"/>
      <c r="D29" s="81"/>
      <c r="E29" s="82"/>
      <c r="F29" s="81"/>
      <c r="N29" s="82"/>
    </row>
    <row r="30" spans="2:14" x14ac:dyDescent="0.2">
      <c r="B30" s="83">
        <v>43282</v>
      </c>
      <c r="C30" s="81"/>
      <c r="D30" s="81"/>
      <c r="E30" s="77" t="str">
        <f>IF(C28="","",IF(C28&gt;C32,B28,IF(C28&lt;C32,B32,IF(D28&gt;D32,B28,IF(D28&lt;D32,B32,"")))))</f>
        <v>España</v>
      </c>
      <c r="F30" s="78">
        <v>3</v>
      </c>
      <c r="G30" s="79"/>
      <c r="N30" s="82"/>
    </row>
    <row r="31" spans="2:14" x14ac:dyDescent="0.2">
      <c r="B31" s="84">
        <v>0.41666666666666669</v>
      </c>
      <c r="C31" s="83"/>
      <c r="D31" s="85"/>
      <c r="E31" s="82"/>
      <c r="F31" s="81"/>
      <c r="H31" s="82"/>
      <c r="N31" s="82"/>
    </row>
    <row r="32" spans="2:14" x14ac:dyDescent="0.2">
      <c r="B32" s="77" t="str">
        <f>'GRUPO A'!K24</f>
        <v>Rusia</v>
      </c>
      <c r="C32" s="78">
        <v>0</v>
      </c>
      <c r="D32" s="86"/>
      <c r="E32" s="80"/>
      <c r="F32" s="80"/>
      <c r="H32" s="82"/>
      <c r="N32" s="82"/>
    </row>
    <row r="33" spans="2:14" x14ac:dyDescent="0.2">
      <c r="E33" s="83">
        <v>43288</v>
      </c>
      <c r="F33" s="87"/>
      <c r="H33" s="77" t="str">
        <f>IF(F30="","",IF(F30&gt;F36,E30,IF(F30&lt;F36,E36,IF(G30&gt;G36,E30,IF(G30&lt;G36,E36,"")))))</f>
        <v>España</v>
      </c>
      <c r="I33" s="78">
        <v>1</v>
      </c>
      <c r="J33" s="79">
        <v>3</v>
      </c>
      <c r="N33" s="82"/>
    </row>
    <row r="34" spans="2:14" x14ac:dyDescent="0.2">
      <c r="B34" s="77" t="str">
        <f>'GRUPO D'!K23</f>
        <v>Argentina</v>
      </c>
      <c r="C34" s="78">
        <v>1</v>
      </c>
      <c r="D34" s="79">
        <v>5</v>
      </c>
      <c r="E34" s="84">
        <v>0.41666666666666669</v>
      </c>
      <c r="F34" s="84"/>
      <c r="H34" s="82"/>
      <c r="K34" s="82"/>
      <c r="N34" s="82"/>
    </row>
    <row r="35" spans="2:14" x14ac:dyDescent="0.2">
      <c r="B35" s="80"/>
      <c r="C35" s="81"/>
      <c r="D35" s="81"/>
      <c r="E35" s="82"/>
      <c r="F35" s="81"/>
      <c r="H35" s="82"/>
      <c r="K35" s="82"/>
      <c r="N35" s="82"/>
    </row>
    <row r="36" spans="2:14" x14ac:dyDescent="0.2">
      <c r="B36" s="83">
        <v>43282</v>
      </c>
      <c r="C36" s="81"/>
      <c r="D36" s="81"/>
      <c r="E36" s="77" t="str">
        <f>IF(C34="","",IF(C34&gt;C38,B34,IF(C34&lt;C38,B38,IF(D34&gt;D38,B34,IF(D34&lt;D38,B38,"")))))</f>
        <v>Argentina</v>
      </c>
      <c r="F36" s="78">
        <v>1</v>
      </c>
      <c r="G36" s="86"/>
      <c r="K36" s="82"/>
      <c r="N36" s="82"/>
    </row>
    <row r="37" spans="2:14" x14ac:dyDescent="0.2">
      <c r="B37" s="84">
        <v>0.58333333333333337</v>
      </c>
      <c r="D37" s="85"/>
      <c r="E37" s="82"/>
      <c r="F37" s="81"/>
      <c r="K37" s="82"/>
      <c r="N37" s="82"/>
    </row>
    <row r="38" spans="2:14" x14ac:dyDescent="0.2">
      <c r="B38" s="77" t="str">
        <f>'GRUPO C'!K24</f>
        <v>Perú</v>
      </c>
      <c r="C38" s="78">
        <v>1</v>
      </c>
      <c r="D38" s="86">
        <v>4</v>
      </c>
      <c r="H38" s="80"/>
      <c r="K38" s="82"/>
      <c r="N38" s="82"/>
    </row>
    <row r="39" spans="2:14" x14ac:dyDescent="0.2">
      <c r="H39" s="83">
        <v>43292</v>
      </c>
      <c r="K39" s="77" t="str">
        <f>IF(I33="","",IF(I33&gt;I45,H33,IF(I33&lt;I45,H45,IF(J33&gt;J45,H33,IF(J33&lt;J45,H45,"")))))</f>
        <v>Alemania</v>
      </c>
      <c r="L39" s="78">
        <v>1</v>
      </c>
      <c r="M39" s="86"/>
    </row>
    <row r="40" spans="2:14" x14ac:dyDescent="0.2">
      <c r="B40" s="77" t="str">
        <f>'GRUPO F'!K23</f>
        <v>Alemania</v>
      </c>
      <c r="C40" s="78">
        <v>2</v>
      </c>
      <c r="D40" s="79"/>
      <c r="H40" s="84">
        <v>0.58333333333333337</v>
      </c>
      <c r="K40" s="82"/>
    </row>
    <row r="41" spans="2:14" x14ac:dyDescent="0.2">
      <c r="B41" s="80"/>
      <c r="C41" s="81"/>
      <c r="D41" s="81"/>
      <c r="E41" s="82"/>
      <c r="F41" s="81"/>
      <c r="K41" s="82"/>
    </row>
    <row r="42" spans="2:14" x14ac:dyDescent="0.2">
      <c r="B42" s="83">
        <v>43284</v>
      </c>
      <c r="C42" s="81"/>
      <c r="D42" s="81"/>
      <c r="E42" s="77" t="str">
        <f>IF(C40="","",IF(C40&gt;C44,B40,IF(C40&lt;C44,B44,IF(D40&gt;D44,B40,B44))))</f>
        <v>Alemania</v>
      </c>
      <c r="F42" s="78">
        <v>2</v>
      </c>
      <c r="G42" s="79"/>
      <c r="K42" s="82"/>
    </row>
    <row r="43" spans="2:14" x14ac:dyDescent="0.2">
      <c r="B43" s="84">
        <v>0.41666666666666669</v>
      </c>
      <c r="C43" s="83"/>
      <c r="D43" s="85"/>
      <c r="E43" s="82"/>
      <c r="F43" s="81"/>
      <c r="H43" s="82"/>
      <c r="K43" s="82"/>
    </row>
    <row r="44" spans="2:14" x14ac:dyDescent="0.2">
      <c r="B44" s="77" t="str">
        <f>'GRUPO E'!K24</f>
        <v>Suiza</v>
      </c>
      <c r="C44" s="78">
        <v>0</v>
      </c>
      <c r="D44" s="86"/>
      <c r="E44" s="80"/>
      <c r="F44" s="80"/>
      <c r="H44" s="82"/>
      <c r="K44" s="82"/>
    </row>
    <row r="45" spans="2:14" x14ac:dyDescent="0.2">
      <c r="E45" s="83">
        <v>43288</v>
      </c>
      <c r="F45" s="87"/>
      <c r="H45" s="77" t="str">
        <f>IF(F42="","",IF(F42&gt;F48,E42,IF(F42&lt;F48,E48,IF(G42&gt;G48,E42,IF(G42&lt;G48,E48,"")))))</f>
        <v>Alemania</v>
      </c>
      <c r="I45" s="78">
        <v>1</v>
      </c>
      <c r="J45" s="86">
        <v>4</v>
      </c>
    </row>
    <row r="46" spans="2:14" x14ac:dyDescent="0.2">
      <c r="B46" s="77" t="str">
        <f>'GRUPO H'!K23</f>
        <v>Colombia</v>
      </c>
      <c r="C46" s="78">
        <v>1</v>
      </c>
      <c r="D46" s="79"/>
      <c r="E46" s="84">
        <v>0.58333333333333337</v>
      </c>
      <c r="F46" s="84"/>
      <c r="H46" s="82"/>
    </row>
    <row r="47" spans="2:14" x14ac:dyDescent="0.2">
      <c r="B47" s="80"/>
      <c r="C47" s="81"/>
      <c r="D47" s="81"/>
      <c r="E47" s="82"/>
      <c r="F47" s="81"/>
      <c r="H47" s="82"/>
    </row>
    <row r="48" spans="2:14" ht="16.5" customHeight="1" x14ac:dyDescent="0.25">
      <c r="B48" s="83">
        <v>43284</v>
      </c>
      <c r="C48" s="81"/>
      <c r="D48" s="81"/>
      <c r="E48" s="77" t="str">
        <f>IF(C46="","",IF(C46&gt;C50,B46,IF(C46&lt;C50,B50,IF(D46&gt;D50,B46,B50))))</f>
        <v>Inglaterra</v>
      </c>
      <c r="F48" s="78">
        <v>1</v>
      </c>
      <c r="G48" s="86"/>
      <c r="K48" s="168" t="s">
        <v>23</v>
      </c>
      <c r="L48" s="168"/>
      <c r="M48" s="168"/>
      <c r="N48" s="168"/>
    </row>
    <row r="49" spans="2:14" x14ac:dyDescent="0.2">
      <c r="B49" s="84">
        <v>0.58333333333333337</v>
      </c>
      <c r="D49" s="85"/>
      <c r="E49" s="82"/>
      <c r="F49" s="81"/>
    </row>
    <row r="50" spans="2:14" x14ac:dyDescent="0.2">
      <c r="B50" s="77" t="str">
        <f>'GRUPO G'!K24</f>
        <v>Inglaterra</v>
      </c>
      <c r="C50" s="78">
        <v>2</v>
      </c>
      <c r="D50" s="86"/>
      <c r="K50" s="77" t="str">
        <f>IF(I9="","",IF(I9&lt;I21,H9,IF(I9&gt;I21,H21,IF(J9&lt;J21,H9,H21))))</f>
        <v>Francia</v>
      </c>
      <c r="L50" s="78">
        <v>2</v>
      </c>
      <c r="M50" s="79"/>
    </row>
    <row r="51" spans="2:14" x14ac:dyDescent="0.2">
      <c r="N51" s="82"/>
    </row>
    <row r="52" spans="2:14" x14ac:dyDescent="0.2">
      <c r="K52" s="80"/>
      <c r="N52" s="82"/>
    </row>
    <row r="53" spans="2:14" ht="23.25" x14ac:dyDescent="0.35">
      <c r="K53" s="83">
        <v>43295</v>
      </c>
      <c r="N53" s="88" t="str">
        <f>IF(L50="","",IF(L50&gt;L56,K50,IF(L50&lt;L56,K56,IF(M50&gt;M56,K50,IF(M50&lt;M56,K56,"")))))</f>
        <v>Francia</v>
      </c>
    </row>
    <row r="54" spans="2:14" x14ac:dyDescent="0.2">
      <c r="K54" s="84">
        <v>0.41666666666666669</v>
      </c>
      <c r="N54" s="82"/>
    </row>
    <row r="55" spans="2:14" x14ac:dyDescent="0.2">
      <c r="N55" s="82"/>
    </row>
    <row r="56" spans="2:14" x14ac:dyDescent="0.2">
      <c r="K56" s="77" t="str">
        <f>IF(I33="","",IF(I33&lt;I45,H33,IF(I33&gt;I45,H45,IF(J33&lt;J45,H33,H45))))</f>
        <v>España</v>
      </c>
      <c r="L56" s="78">
        <v>1</v>
      </c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="110" zoomScaleNormal="110" workbookViewId="0">
      <pane xSplit="20" ySplit="25" topLeftCell="U43" activePane="bottomRight" state="frozenSplit"/>
      <selection activeCell="H37" sqref="H37"/>
      <selection pane="topRight" activeCell="H37" sqref="H37"/>
      <selection pane="bottomLeft" activeCell="H37" sqref="H37"/>
      <selection pane="bottomRight" activeCell="L7" sqref="L7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85546875" style="94" customWidth="1"/>
    <col min="4" max="4" width="11.140625" style="94" customWidth="1"/>
    <col min="5" max="5" width="15.28515625" style="94" customWidth="1"/>
    <col min="6" max="6" width="10.42578125" style="94" customWidth="1"/>
    <col min="7" max="7" width="3.7109375" style="94" customWidth="1"/>
    <col min="8" max="8" width="10.85546875" style="94" customWidth="1"/>
    <col min="9" max="9" width="3.7109375" style="94" customWidth="1"/>
    <col min="10" max="10" width="2.140625" style="94" customWidth="1"/>
    <col min="11" max="11" width="13.42578125" style="94" customWidth="1"/>
    <col min="12" max="19" width="5.7109375" style="94" customWidth="1"/>
    <col min="20" max="20" width="1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43262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43262.471987384262</v>
      </c>
      <c r="H4" s="102"/>
    </row>
    <row r="12" spans="2:19" ht="12.75" customHeight="1" x14ac:dyDescent="0.55000000000000004">
      <c r="B12" s="155" t="s">
        <v>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5" thickTop="1" x14ac:dyDescent="0.2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2</v>
      </c>
      <c r="H17" s="109" t="str">
        <f>equipos!$D$3</f>
        <v>Arabia Saudí</v>
      </c>
      <c r="I17" s="110">
        <v>0</v>
      </c>
      <c r="K17" s="111" t="str">
        <f>'Primera Ronda'!K4</f>
        <v>Uruguay</v>
      </c>
      <c r="L17" s="28">
        <f>'Primera Ronda'!L4</f>
        <v>3</v>
      </c>
      <c r="M17" s="29">
        <f>'Primera Ronda'!M4</f>
        <v>0</v>
      </c>
      <c r="N17" s="29">
        <f>'Primera Ronda'!N4</f>
        <v>0</v>
      </c>
      <c r="O17" s="29">
        <f>'Primera Ronda'!O4</f>
        <v>5</v>
      </c>
      <c r="P17" s="29">
        <f>'Primera Ronda'!P4</f>
        <v>1</v>
      </c>
      <c r="Q17" s="29">
        <f>'Primera Ronda'!Q4</f>
        <v>4</v>
      </c>
      <c r="R17" s="29">
        <f>'Primera Ronda'!R4</f>
        <v>9</v>
      </c>
      <c r="S17" s="30">
        <f>SUM(L17:N17)</f>
        <v>3</v>
      </c>
    </row>
    <row r="18" spans="2:19" ht="13.5" thickBot="1" x14ac:dyDescent="0.25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0</v>
      </c>
      <c r="H18" s="115" t="str">
        <f>equipos!$D$5</f>
        <v>Uruguay</v>
      </c>
      <c r="I18" s="116">
        <v>1</v>
      </c>
      <c r="K18" s="117" t="str">
        <f>'Primera Ronda'!K5</f>
        <v>Rusia</v>
      </c>
      <c r="L18" s="31">
        <f>'Primera Ronda'!L5</f>
        <v>1</v>
      </c>
      <c r="M18" s="32">
        <f>'Primera Ronda'!M5</f>
        <v>1</v>
      </c>
      <c r="N18" s="32">
        <f>'Primera Ronda'!N5</f>
        <v>1</v>
      </c>
      <c r="O18" s="32">
        <f>'Primera Ronda'!O5</f>
        <v>4</v>
      </c>
      <c r="P18" s="32">
        <f>'Primera Ronda'!P5</f>
        <v>3</v>
      </c>
      <c r="Q18" s="32">
        <f>'Primera Ronda'!Q5</f>
        <v>1</v>
      </c>
      <c r="R18" s="32">
        <f>'Primera Ronda'!R5</f>
        <v>4</v>
      </c>
      <c r="S18" s="33">
        <f>SUM(L18:N18)</f>
        <v>3</v>
      </c>
    </row>
    <row r="19" spans="2:19" ht="13.5" thickTop="1" x14ac:dyDescent="0.2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1</v>
      </c>
      <c r="H19" s="109" t="str">
        <f>equipos!$D$4</f>
        <v>Egipto</v>
      </c>
      <c r="I19" s="116">
        <v>1</v>
      </c>
      <c r="K19" s="117" t="str">
        <f>'Primera Ronda'!K6</f>
        <v>Egipto</v>
      </c>
      <c r="L19" s="31">
        <f>'Primera Ronda'!L6</f>
        <v>1</v>
      </c>
      <c r="M19" s="32">
        <f>'Primera Ronda'!M6</f>
        <v>1</v>
      </c>
      <c r="N19" s="32">
        <f>'Primera Ronda'!N6</f>
        <v>1</v>
      </c>
      <c r="O19" s="32">
        <f>'Primera Ronda'!O6</f>
        <v>3</v>
      </c>
      <c r="P19" s="32">
        <f>'Primera Ronda'!P6</f>
        <v>3</v>
      </c>
      <c r="Q19" s="32">
        <f>'Primera Ronda'!Q6</f>
        <v>0</v>
      </c>
      <c r="R19" s="32">
        <f>'Primera Ronda'!R6</f>
        <v>4</v>
      </c>
      <c r="S19" s="33">
        <f>SUM(L19:N19)</f>
        <v>3</v>
      </c>
    </row>
    <row r="20" spans="2:19" ht="13.5" thickBot="1" x14ac:dyDescent="0.25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2</v>
      </c>
      <c r="H20" s="115" t="str">
        <f>equipos!$D$3</f>
        <v>Arabia Saudí</v>
      </c>
      <c r="I20" s="116">
        <v>0</v>
      </c>
      <c r="K20" s="125" t="str">
        <f>'Primera Ronda'!K7</f>
        <v>Arabia Saudí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1</v>
      </c>
      <c r="P20" s="35">
        <f>'Primera Ronda'!P7</f>
        <v>6</v>
      </c>
      <c r="Q20" s="35">
        <f>'Primera Ronda'!Q7</f>
        <v>-5</v>
      </c>
      <c r="R20" s="35">
        <f>'Primera Ronda'!R7</f>
        <v>0</v>
      </c>
      <c r="S20" s="36">
        <f>SUM(L20:N20)</f>
        <v>3</v>
      </c>
    </row>
    <row r="21" spans="2:19" ht="14.25" thickTop="1" thickBot="1" x14ac:dyDescent="0.25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2</v>
      </c>
      <c r="H21" s="109" t="str">
        <f>equipos!$D$2</f>
        <v>Rusia</v>
      </c>
      <c r="I21" s="116">
        <v>1</v>
      </c>
    </row>
    <row r="22" spans="2:19" ht="14.25" thickTop="1" thickBot="1" x14ac:dyDescent="0.25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1</v>
      </c>
      <c r="H22" s="115" t="str">
        <f>equipos!$D$4</f>
        <v>Egipto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0.47152777777777777</v>
      </c>
    </row>
    <row r="23" spans="2:19" ht="13.5" thickTop="1" x14ac:dyDescent="0.2">
      <c r="K23" s="153" t="str">
        <f>IF(S17=3,K17,"1A")</f>
        <v>Uruguay</v>
      </c>
      <c r="L23" s="153"/>
      <c r="M23" s="153"/>
      <c r="N23" s="153"/>
      <c r="P23" s="138">
        <f ca="1">HOUR(B4)</f>
        <v>11</v>
      </c>
    </row>
    <row r="24" spans="2:19" ht="12.75" customHeight="1" thickBot="1" x14ac:dyDescent="0.25">
      <c r="K24" s="154" t="str">
        <f>IF(S18=3,K18,"2A")</f>
        <v>Rusia</v>
      </c>
      <c r="L24" s="154"/>
      <c r="M24" s="154"/>
      <c r="N24" s="154"/>
      <c r="P24" s="138">
        <f ca="1">MINUTE(B4)</f>
        <v>19</v>
      </c>
    </row>
    <row r="25" spans="2:19" ht="24.95" customHeight="1" x14ac:dyDescent="0.2"/>
    <row r="27" spans="2:19" ht="12.75" customHeight="1" x14ac:dyDescent="0.2"/>
    <row r="29" spans="2:19" x14ac:dyDescent="0.2">
      <c r="J29" s="106"/>
      <c r="K29" s="106"/>
      <c r="L29" s="106"/>
    </row>
    <row r="30" spans="2:19" x14ac:dyDescent="0.2">
      <c r="J30" s="106"/>
      <c r="K30" s="106"/>
      <c r="L30" s="106"/>
    </row>
    <row r="31" spans="2:19" x14ac:dyDescent="0.2">
      <c r="J31" s="106"/>
      <c r="K31" s="106"/>
      <c r="L31" s="106"/>
    </row>
    <row r="32" spans="2:19" x14ac:dyDescent="0.2">
      <c r="J32" s="106"/>
      <c r="K32" s="106"/>
      <c r="L32" s="106"/>
    </row>
    <row r="33" spans="10:12" x14ac:dyDescent="0.2">
      <c r="J33" s="106"/>
      <c r="K33" s="106"/>
      <c r="L33" s="106"/>
    </row>
    <row r="34" spans="10:12" x14ac:dyDescent="0.2">
      <c r="J34" s="106"/>
      <c r="K34" s="106"/>
      <c r="L34" s="106"/>
    </row>
    <row r="35" spans="10:12" x14ac:dyDescent="0.2">
      <c r="J35" s="106"/>
      <c r="K35" s="106"/>
      <c r="L35" s="106"/>
    </row>
    <row r="36" spans="10:12" x14ac:dyDescent="0.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="110" zoomScaleNormal="110" workbookViewId="0">
      <pane xSplit="20" ySplit="25" topLeftCell="U62" activePane="bottomRight" state="frozenSplit"/>
      <selection activeCell="H37" sqref="H37"/>
      <selection pane="topRight" activeCell="H37" sqref="H37"/>
      <selection pane="bottomLeft" activeCell="H37" sqref="H37"/>
      <selection pane="bottomRight" activeCell="J14" sqref="J14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7.28515625" style="94" customWidth="1"/>
    <col min="4" max="4" width="14" style="94" customWidth="1"/>
    <col min="5" max="5" width="15.85546875" style="94" customWidth="1"/>
    <col min="6" max="6" width="10.42578125" style="94" customWidth="1"/>
    <col min="7" max="7" width="3.7109375" style="94" customWidth="1"/>
    <col min="8" max="8" width="10.28515625" style="94" customWidth="1"/>
    <col min="9" max="9" width="3.7109375" style="94" customWidth="1"/>
    <col min="10" max="10" width="2.42578125" style="94" customWidth="1"/>
    <col min="11" max="11" width="14.7109375" style="94" customWidth="1"/>
    <col min="12" max="19" width="5.28515625" style="94" customWidth="1"/>
    <col min="20" max="20" width="30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43262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43262.471987384262</v>
      </c>
    </row>
    <row r="12" spans="2:19" ht="12.75" customHeight="1" x14ac:dyDescent="0.55000000000000004">
      <c r="B12" s="155" t="s">
        <v>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5" thickTop="1" x14ac:dyDescent="0.2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1</v>
      </c>
      <c r="H17" s="109" t="str">
        <f>equipos!$D$8</f>
        <v>España</v>
      </c>
      <c r="I17" s="110">
        <v>2</v>
      </c>
      <c r="K17" s="111" t="str">
        <f>'Primera Ronda'!K11</f>
        <v>España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9</v>
      </c>
      <c r="P17" s="29">
        <f>'Primera Ronda'!P11</f>
        <v>1</v>
      </c>
      <c r="Q17" s="29">
        <f>'Primera Ronda'!Q11</f>
        <v>8</v>
      </c>
      <c r="R17" s="29">
        <f>'Primera Ronda'!R11</f>
        <v>9</v>
      </c>
      <c r="S17" s="30">
        <f>'Primera Ronda'!S11</f>
        <v>3</v>
      </c>
    </row>
    <row r="18" spans="2:19" ht="13.5" thickBot="1" x14ac:dyDescent="0.25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2</v>
      </c>
      <c r="H18" s="115" t="str">
        <f>equipos!$D$10</f>
        <v>Irán</v>
      </c>
      <c r="I18" s="116">
        <v>0</v>
      </c>
      <c r="K18" s="117" t="str">
        <f>'Primera Ronda'!K12</f>
        <v>Portugal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6</v>
      </c>
      <c r="P18" s="32">
        <f>'Primera Ronda'!P12</f>
        <v>3</v>
      </c>
      <c r="Q18" s="32">
        <f>'Primera Ronda'!Q12</f>
        <v>3</v>
      </c>
      <c r="R18" s="32">
        <f>'Primera Ronda'!R12</f>
        <v>6</v>
      </c>
      <c r="S18" s="33">
        <f>'Primera Ronda'!S12</f>
        <v>3</v>
      </c>
    </row>
    <row r="19" spans="2:19" ht="13.5" thickTop="1" x14ac:dyDescent="0.2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2</v>
      </c>
      <c r="H19" s="109" t="str">
        <f>equipos!$D$9</f>
        <v>Marruecos</v>
      </c>
      <c r="I19" s="116">
        <v>1</v>
      </c>
      <c r="K19" s="117" t="str">
        <f>'Primera Ronda'!K13</f>
        <v>Marruecos</v>
      </c>
      <c r="L19" s="31">
        <f>'Primera Ronda'!L13</f>
        <v>1</v>
      </c>
      <c r="M19" s="32">
        <f>'Primera Ronda'!M13</f>
        <v>0</v>
      </c>
      <c r="N19" s="32">
        <f>'Primera Ronda'!N13</f>
        <v>2</v>
      </c>
      <c r="O19" s="32">
        <f>'Primera Ronda'!O13</f>
        <v>3</v>
      </c>
      <c r="P19" s="32">
        <f>'Primera Ronda'!P13</f>
        <v>5</v>
      </c>
      <c r="Q19" s="32">
        <f>'Primera Ronda'!Q13</f>
        <v>-2</v>
      </c>
      <c r="R19" s="32">
        <f>'Primera Ronda'!R13</f>
        <v>3</v>
      </c>
      <c r="S19" s="33">
        <f>'Primera Ronda'!S13</f>
        <v>3</v>
      </c>
    </row>
    <row r="20" spans="2:19" ht="13.5" thickBot="1" x14ac:dyDescent="0.25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0</v>
      </c>
      <c r="H20" s="115" t="str">
        <f>equipos!$D$8</f>
        <v>España</v>
      </c>
      <c r="I20" s="116">
        <v>4</v>
      </c>
      <c r="K20" s="125" t="str">
        <f>'Primera Ronda'!K14</f>
        <v>Irán</v>
      </c>
      <c r="L20" s="34">
        <f>'Primera Ronda'!L14</f>
        <v>0</v>
      </c>
      <c r="M20" s="35">
        <f>'Primera Ronda'!M14</f>
        <v>0</v>
      </c>
      <c r="N20" s="35">
        <f>'Primera Ronda'!N14</f>
        <v>3</v>
      </c>
      <c r="O20" s="35">
        <f>'Primera Ronda'!O14</f>
        <v>0</v>
      </c>
      <c r="P20" s="35">
        <f>'Primera Ronda'!P14</f>
        <v>9</v>
      </c>
      <c r="Q20" s="35">
        <f>'Primera Ronda'!Q14</f>
        <v>-9</v>
      </c>
      <c r="R20" s="35">
        <f>'Primera Ronda'!R14</f>
        <v>0</v>
      </c>
      <c r="S20" s="36">
        <f>'Primera Ronda'!S14</f>
        <v>3</v>
      </c>
    </row>
    <row r="21" spans="2:19" ht="14.25" thickTop="1" thickBot="1" x14ac:dyDescent="0.25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0</v>
      </c>
      <c r="H21" s="109" t="str">
        <f>equipos!$D$7</f>
        <v>Portugal</v>
      </c>
      <c r="I21" s="116">
        <v>3</v>
      </c>
    </row>
    <row r="22" spans="2:19" ht="14.25" thickTop="1" thickBot="1" x14ac:dyDescent="0.25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3</v>
      </c>
      <c r="H22" s="115" t="str">
        <f>equipos!$D$9</f>
        <v>Marruecos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0.47152777777777777</v>
      </c>
    </row>
    <row r="23" spans="2:19" ht="13.5" thickTop="1" x14ac:dyDescent="0.2">
      <c r="K23" s="153" t="str">
        <f>IF(S17=3,K17,"1B")</f>
        <v>España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IF(S18=3,K18,"2B")</f>
        <v>Portugal</v>
      </c>
      <c r="L24" s="154"/>
      <c r="M24" s="154"/>
      <c r="N24" s="154"/>
      <c r="P24" s="138">
        <f ca="1">MINUTE(B4)</f>
        <v>19</v>
      </c>
    </row>
    <row r="25" spans="2:19" ht="24.95" customHeight="1" x14ac:dyDescent="0.2"/>
    <row r="26" spans="2:19" ht="12.75" customHeight="1" x14ac:dyDescent="0.2"/>
    <row r="27" spans="2:19" ht="12.7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zoomScale="110" zoomScaleNormal="110" workbookViewId="0">
      <pane xSplit="20" ySplit="25" topLeftCell="U59" activePane="bottomRight" state="frozenSplit"/>
      <selection activeCell="H37" sqref="H37"/>
      <selection pane="topRight" activeCell="H37" sqref="H37"/>
      <selection pane="bottomLeft" activeCell="H37" sqref="H37"/>
      <selection pane="bottomRight" activeCell="H14" sqref="H14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6.85546875" style="94" customWidth="1"/>
    <col min="4" max="4" width="14.28515625" style="94" customWidth="1"/>
    <col min="5" max="5" width="15.28515625" style="94" customWidth="1"/>
    <col min="6" max="6" width="14" style="94" customWidth="1"/>
    <col min="7" max="7" width="3.7109375" style="94" customWidth="1"/>
    <col min="8" max="8" width="14" style="94" customWidth="1"/>
    <col min="9" max="9" width="3.7109375" style="94" customWidth="1"/>
    <col min="10" max="10" width="2.42578125" style="94" customWidth="1"/>
    <col min="11" max="11" width="13.7109375" style="94" customWidth="1"/>
    <col min="12" max="19" width="4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43262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43262.471987384262</v>
      </c>
    </row>
    <row r="12" spans="2:19" ht="12.75" customHeight="1" x14ac:dyDescent="0.55000000000000004">
      <c r="B12" s="155" t="s">
        <v>16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5" thickTop="1" x14ac:dyDescent="0.2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2</v>
      </c>
      <c r="H17" s="109" t="str">
        <f>equipos!$D$13</f>
        <v>Australia</v>
      </c>
      <c r="I17" s="110">
        <v>0</v>
      </c>
      <c r="K17" s="111" t="str">
        <f>'Primera Ronda'!K18</f>
        <v>Francia</v>
      </c>
      <c r="L17" s="28">
        <f>'Primera Ronda'!L18</f>
        <v>2</v>
      </c>
      <c r="M17" s="29">
        <f>'Primera Ronda'!M18</f>
        <v>1</v>
      </c>
      <c r="N17" s="29">
        <f>'Primera Ronda'!N18</f>
        <v>0</v>
      </c>
      <c r="O17" s="29">
        <f>'Primera Ronda'!O18</f>
        <v>7</v>
      </c>
      <c r="P17" s="29">
        <f>'Primera Ronda'!P18</f>
        <v>3</v>
      </c>
      <c r="Q17" s="29">
        <f>'Primera Ronda'!Q18</f>
        <v>4</v>
      </c>
      <c r="R17" s="29">
        <f>'Primera Ronda'!R18</f>
        <v>7</v>
      </c>
      <c r="S17" s="30">
        <f>'Primera Ronda'!S18</f>
        <v>3</v>
      </c>
    </row>
    <row r="18" spans="2:19" ht="13.5" thickBot="1" x14ac:dyDescent="0.25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2</v>
      </c>
      <c r="H18" s="115" t="str">
        <f>equipos!$D$15</f>
        <v>Dinamarca</v>
      </c>
      <c r="I18" s="116">
        <v>1</v>
      </c>
      <c r="K18" s="117" t="str">
        <f>'Primera Ronda'!K19</f>
        <v>Perú</v>
      </c>
      <c r="L18" s="31">
        <f>'Primera Ronda'!L19</f>
        <v>2</v>
      </c>
      <c r="M18" s="32">
        <f>'Primera Ronda'!M19</f>
        <v>1</v>
      </c>
      <c r="N18" s="32">
        <f>'Primera Ronda'!N19</f>
        <v>0</v>
      </c>
      <c r="O18" s="32">
        <f>'Primera Ronda'!O19</f>
        <v>6</v>
      </c>
      <c r="P18" s="32">
        <f>'Primera Ronda'!P19</f>
        <v>4</v>
      </c>
      <c r="Q18" s="32">
        <f>'Primera Ronda'!Q19</f>
        <v>2</v>
      </c>
      <c r="R18" s="32">
        <f>'Primera Ronda'!R19</f>
        <v>7</v>
      </c>
      <c r="S18" s="33">
        <f>'Primera Ronda'!S19</f>
        <v>3</v>
      </c>
    </row>
    <row r="19" spans="2:19" ht="13.5" thickTop="1" x14ac:dyDescent="0.2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2</v>
      </c>
      <c r="H19" s="109" t="str">
        <f>equipos!$D$14</f>
        <v>Perú</v>
      </c>
      <c r="I19" s="116">
        <v>2</v>
      </c>
      <c r="K19" s="117" t="str">
        <f>'Primera Ronda'!K20</f>
        <v>Dinamarca</v>
      </c>
      <c r="L19" s="31">
        <f>'Primera Ronda'!L20</f>
        <v>0</v>
      </c>
      <c r="M19" s="32">
        <f>'Primera Ronda'!M20</f>
        <v>1</v>
      </c>
      <c r="N19" s="32">
        <f>'Primera Ronda'!N20</f>
        <v>2</v>
      </c>
      <c r="O19" s="32">
        <f>'Primera Ronda'!O20</f>
        <v>3</v>
      </c>
      <c r="P19" s="32">
        <f>'Primera Ronda'!P20</f>
        <v>6</v>
      </c>
      <c r="Q19" s="32">
        <f>'Primera Ronda'!Q20</f>
        <v>-3</v>
      </c>
      <c r="R19" s="32">
        <f>'Primera Ronda'!R20</f>
        <v>1</v>
      </c>
      <c r="S19" s="33">
        <f>'Primera Ronda'!S20</f>
        <v>3</v>
      </c>
    </row>
    <row r="20" spans="2:19" ht="13.5" thickBot="1" x14ac:dyDescent="0.25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1</v>
      </c>
      <c r="H20" s="115" t="str">
        <f>equipos!$D$13</f>
        <v>Australia</v>
      </c>
      <c r="I20" s="116">
        <v>1</v>
      </c>
      <c r="K20" s="125" t="str">
        <f>'Primera Ronda'!K21</f>
        <v>Australia</v>
      </c>
      <c r="L20" s="34">
        <f>'Primera Ronda'!L21</f>
        <v>0</v>
      </c>
      <c r="M20" s="35">
        <f>'Primera Ronda'!M21</f>
        <v>1</v>
      </c>
      <c r="N20" s="35">
        <f>'Primera Ronda'!N21</f>
        <v>2</v>
      </c>
      <c r="O20" s="35">
        <f>'Primera Ronda'!O21</f>
        <v>2</v>
      </c>
      <c r="P20" s="35">
        <f>'Primera Ronda'!P21</f>
        <v>5</v>
      </c>
      <c r="Q20" s="35">
        <f>'Primera Ronda'!Q21</f>
        <v>-3</v>
      </c>
      <c r="R20" s="35">
        <f>'Primera Ronda'!R21</f>
        <v>1</v>
      </c>
      <c r="S20" s="36">
        <f>'Primera Ronda'!S21</f>
        <v>3</v>
      </c>
    </row>
    <row r="21" spans="2:19" ht="14.25" thickTop="1" thickBot="1" x14ac:dyDescent="0.25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1</v>
      </c>
      <c r="H21" s="109" t="str">
        <f>equipos!$D$12</f>
        <v>Francia</v>
      </c>
      <c r="I21" s="116">
        <v>3</v>
      </c>
    </row>
    <row r="22" spans="2:19" ht="14.25" thickTop="1" thickBot="1" x14ac:dyDescent="0.25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1</v>
      </c>
      <c r="H22" s="115" t="str">
        <f>equipos!$D$14</f>
        <v>Perú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0.47152777777777777</v>
      </c>
    </row>
    <row r="23" spans="2:19" ht="13.5" thickTop="1" x14ac:dyDescent="0.2">
      <c r="K23" s="153" t="str">
        <f>IF(S17=3,K17,"1C")</f>
        <v>Francia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IF(S18=3,K18,"2C")</f>
        <v>Perú</v>
      </c>
      <c r="L24" s="154"/>
      <c r="M24" s="154"/>
      <c r="N24" s="154"/>
      <c r="P24" s="138">
        <f ca="1">MINUTE(B4)</f>
        <v>19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="110" zoomScaleNormal="110" workbookViewId="0">
      <pane xSplit="20" ySplit="25" topLeftCell="U50" activePane="bottomRight" state="frozenSplit"/>
      <selection activeCell="H37" sqref="H37"/>
      <selection pane="topRight" activeCell="H37" sqref="H37"/>
      <selection pane="bottomLeft" activeCell="H37" sqref="H37"/>
      <selection pane="bottomRight" activeCell="K11" sqref="K11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7109375" style="94" bestFit="1" customWidth="1"/>
    <col min="4" max="4" width="13.140625" style="94" bestFit="1" customWidth="1"/>
    <col min="5" max="5" width="16.42578125" style="94" customWidth="1"/>
    <col min="6" max="6" width="11.5703125" style="94" customWidth="1"/>
    <col min="7" max="7" width="3.7109375" style="94" customWidth="1"/>
    <col min="8" max="8" width="11.28515625" style="94" customWidth="1"/>
    <col min="9" max="9" width="3.7109375" style="94" customWidth="1"/>
    <col min="10" max="10" width="2.5703125" style="94" customWidth="1"/>
    <col min="11" max="11" width="13.1406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43262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43262.471987384262</v>
      </c>
    </row>
    <row r="12" spans="2:19" ht="12.75" customHeight="1" x14ac:dyDescent="0.55000000000000004">
      <c r="B12" s="155" t="s">
        <v>11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5" thickTop="1" x14ac:dyDescent="0.2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2</v>
      </c>
      <c r="H17" s="109" t="str">
        <f>equipos!$D$18</f>
        <v>Islandia</v>
      </c>
      <c r="I17" s="110">
        <v>0</v>
      </c>
      <c r="K17" s="111" t="str">
        <f>'Primera Ronda'!K25</f>
        <v>Argentina</v>
      </c>
      <c r="L17" s="28">
        <f>'Primera Ronda'!L25</f>
        <v>1</v>
      </c>
      <c r="M17" s="29">
        <f>'Primera Ronda'!M25</f>
        <v>2</v>
      </c>
      <c r="N17" s="29">
        <f>'Primera Ronda'!N25</f>
        <v>0</v>
      </c>
      <c r="O17" s="29">
        <f>'Primera Ronda'!O25</f>
        <v>4</v>
      </c>
      <c r="P17" s="29">
        <f>'Primera Ronda'!P25</f>
        <v>2</v>
      </c>
      <c r="Q17" s="29">
        <f>'Primera Ronda'!Q25</f>
        <v>2</v>
      </c>
      <c r="R17" s="29">
        <f>'Primera Ronda'!R25</f>
        <v>5</v>
      </c>
      <c r="S17" s="30">
        <f>'Primera Ronda'!S25</f>
        <v>3</v>
      </c>
    </row>
    <row r="18" spans="2:19" ht="13.5" thickBot="1" x14ac:dyDescent="0.25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1</v>
      </c>
      <c r="H18" s="115" t="str">
        <f>equipos!$D$20</f>
        <v>Nigeria</v>
      </c>
      <c r="I18" s="116">
        <v>1</v>
      </c>
      <c r="K18" s="117" t="str">
        <f>'Primera Ronda'!K26</f>
        <v>Croacia</v>
      </c>
      <c r="L18" s="31">
        <f>'Primera Ronda'!L26</f>
        <v>1</v>
      </c>
      <c r="M18" s="32">
        <f>'Primera Ronda'!M26</f>
        <v>2</v>
      </c>
      <c r="N18" s="32">
        <f>'Primera Ronda'!N26</f>
        <v>0</v>
      </c>
      <c r="O18" s="32">
        <f>'Primera Ronda'!O26</f>
        <v>4</v>
      </c>
      <c r="P18" s="32">
        <f>'Primera Ronda'!P26</f>
        <v>3</v>
      </c>
      <c r="Q18" s="32">
        <f>'Primera Ronda'!Q26</f>
        <v>1</v>
      </c>
      <c r="R18" s="32">
        <f>'Primera Ronda'!R26</f>
        <v>5</v>
      </c>
      <c r="S18" s="33">
        <f>'Primera Ronda'!S26</f>
        <v>3</v>
      </c>
    </row>
    <row r="19" spans="2:19" ht="13.5" thickTop="1" x14ac:dyDescent="0.2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1</v>
      </c>
      <c r="H19" s="109" t="str">
        <f>equipos!$D$19</f>
        <v>Croacia</v>
      </c>
      <c r="I19" s="116">
        <v>1</v>
      </c>
      <c r="K19" s="117" t="str">
        <f>'Primera Ronda'!K27</f>
        <v>Nigeria</v>
      </c>
      <c r="L19" s="31">
        <f>'Primera Ronda'!L27</f>
        <v>0</v>
      </c>
      <c r="M19" s="32">
        <f>'Primera Ronda'!M27</f>
        <v>3</v>
      </c>
      <c r="N19" s="32">
        <f>'Primera Ronda'!N27</f>
        <v>0</v>
      </c>
      <c r="O19" s="32">
        <f>'Primera Ronda'!O27</f>
        <v>4</v>
      </c>
      <c r="P19" s="32">
        <f>'Primera Ronda'!P27</f>
        <v>4</v>
      </c>
      <c r="Q19" s="32">
        <f>'Primera Ronda'!Q27</f>
        <v>0</v>
      </c>
      <c r="R19" s="32">
        <f>'Primera Ronda'!R27</f>
        <v>3</v>
      </c>
      <c r="S19" s="33">
        <f>'Primera Ronda'!S27</f>
        <v>3</v>
      </c>
    </row>
    <row r="20" spans="2:19" ht="13.5" thickBot="1" x14ac:dyDescent="0.25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2</v>
      </c>
      <c r="H20" s="115" t="str">
        <f>equipos!$D$18</f>
        <v>Islandia</v>
      </c>
      <c r="I20" s="116">
        <v>2</v>
      </c>
      <c r="K20" s="125" t="str">
        <f>'Primera Ronda'!K28</f>
        <v>Islandia</v>
      </c>
      <c r="L20" s="34">
        <f>'Primera Ronda'!L28</f>
        <v>0</v>
      </c>
      <c r="M20" s="35">
        <f>'Primera Ronda'!M28</f>
        <v>1</v>
      </c>
      <c r="N20" s="35">
        <f>'Primera Ronda'!N28</f>
        <v>2</v>
      </c>
      <c r="O20" s="35">
        <f>'Primera Ronda'!O28</f>
        <v>3</v>
      </c>
      <c r="P20" s="35">
        <f>'Primera Ronda'!P28</f>
        <v>6</v>
      </c>
      <c r="Q20" s="35">
        <f>'Primera Ronda'!Q28</f>
        <v>-3</v>
      </c>
      <c r="R20" s="35">
        <f>'Primera Ronda'!R28</f>
        <v>1</v>
      </c>
      <c r="S20" s="36">
        <f>'Primera Ronda'!S28</f>
        <v>3</v>
      </c>
    </row>
    <row r="21" spans="2:19" ht="14.25" thickTop="1" thickBot="1" x14ac:dyDescent="0.25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1</v>
      </c>
      <c r="H21" s="109" t="str">
        <f>equipos!$D$17</f>
        <v>Argentina</v>
      </c>
      <c r="I21" s="116">
        <v>1</v>
      </c>
    </row>
    <row r="22" spans="2:19" ht="14.25" thickTop="1" thickBot="1" x14ac:dyDescent="0.25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1</v>
      </c>
      <c r="H22" s="115" t="str">
        <f>equipos!$D$19</f>
        <v>Croacia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0.47152777777777777</v>
      </c>
    </row>
    <row r="23" spans="2:19" ht="13.5" thickTop="1" x14ac:dyDescent="0.2">
      <c r="K23" s="153" t="str">
        <f>IF(S17=3,K17,"1D")</f>
        <v>Argentina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IF(S18=3,K18,"2D")</f>
        <v>Croacia</v>
      </c>
      <c r="L24" s="154"/>
      <c r="M24" s="154"/>
      <c r="N24" s="154"/>
      <c r="P24" s="138">
        <f ca="1">MINUTE(B4)</f>
        <v>19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="110" zoomScaleNormal="110" workbookViewId="0">
      <pane xSplit="20" ySplit="26" topLeftCell="U39" activePane="bottomRight" state="frozenSplit"/>
      <selection activeCell="H37" sqref="H37"/>
      <selection pane="topRight" activeCell="H37" sqref="H37"/>
      <selection pane="bottomLeft" activeCell="H37" sqref="H37"/>
      <selection pane="bottomRight" activeCell="H12" sqref="H12"/>
    </sheetView>
  </sheetViews>
  <sheetFormatPr baseColWidth="10" defaultRowHeight="12.75" x14ac:dyDescent="0.2"/>
  <cols>
    <col min="1" max="1" width="1.7109375" style="94" customWidth="1"/>
    <col min="2" max="2" width="12.140625" style="94" bestFit="1" customWidth="1"/>
    <col min="3" max="3" width="7" style="94" customWidth="1"/>
    <col min="4" max="4" width="14.85546875" style="94" customWidth="1"/>
    <col min="5" max="5" width="17" style="94" customWidth="1"/>
    <col min="6" max="6" width="10.140625" style="94" customWidth="1"/>
    <col min="7" max="7" width="3.7109375" style="94" customWidth="1"/>
    <col min="8" max="8" width="10.7109375" style="94" customWidth="1"/>
    <col min="9" max="9" width="3.7109375" style="94" customWidth="1"/>
    <col min="10" max="10" width="2.28515625" style="94" customWidth="1"/>
    <col min="11" max="11" width="12.57031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43262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43262.471987384262</v>
      </c>
    </row>
    <row r="12" spans="2:19" ht="12.75" customHeight="1" x14ac:dyDescent="0.55000000000000004">
      <c r="B12" s="155" t="s">
        <v>12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5" thickTop="1" x14ac:dyDescent="0.2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2</v>
      </c>
      <c r="H17" s="109" t="str">
        <f>equipos!$G$3</f>
        <v>Suiza</v>
      </c>
      <c r="I17" s="110">
        <v>0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8</v>
      </c>
      <c r="P17" s="29">
        <f>'Primera Ronda'!P32</f>
        <v>0</v>
      </c>
      <c r="Q17" s="29">
        <f>'Primera Ronda'!Q32</f>
        <v>8</v>
      </c>
      <c r="R17" s="29">
        <f>'Primera Ronda'!R32</f>
        <v>9</v>
      </c>
      <c r="S17" s="30">
        <f>'Primera Ronda'!S32</f>
        <v>3</v>
      </c>
    </row>
    <row r="18" spans="2:19" ht="13.5" thickBot="1" x14ac:dyDescent="0.25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1</v>
      </c>
      <c r="H18" s="115" t="str">
        <f>equipos!$G$5</f>
        <v>Serbia</v>
      </c>
      <c r="I18" s="116">
        <v>0</v>
      </c>
      <c r="K18" s="117" t="str">
        <f>'Primera Ronda'!K33</f>
        <v>Suiza</v>
      </c>
      <c r="L18" s="31">
        <f>'Primera Ronda'!L33</f>
        <v>2</v>
      </c>
      <c r="M18" s="32">
        <f>'Primera Ronda'!M33</f>
        <v>0</v>
      </c>
      <c r="N18" s="32">
        <f>'Primera Ronda'!N33</f>
        <v>1</v>
      </c>
      <c r="O18" s="32">
        <f>'Primera Ronda'!O33</f>
        <v>3</v>
      </c>
      <c r="P18" s="32">
        <f>'Primera Ronda'!P33</f>
        <v>3</v>
      </c>
      <c r="Q18" s="32">
        <f>'Primera Ronda'!Q33</f>
        <v>0</v>
      </c>
      <c r="R18" s="32">
        <f>'Primera Ronda'!R33</f>
        <v>6</v>
      </c>
      <c r="S18" s="33">
        <f>'Primera Ronda'!S33</f>
        <v>3</v>
      </c>
    </row>
    <row r="19" spans="2:19" ht="13.5" thickTop="1" x14ac:dyDescent="0.2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3</v>
      </c>
      <c r="H19" s="109" t="str">
        <f>equipos!$G$4</f>
        <v>Costa Rica</v>
      </c>
      <c r="I19" s="116">
        <v>0</v>
      </c>
      <c r="K19" s="117" t="str">
        <f>'Primera Ronda'!K34</f>
        <v>Costa Rica</v>
      </c>
      <c r="L19" s="31">
        <f>'Primera Ronda'!L34</f>
        <v>1</v>
      </c>
      <c r="M19" s="32">
        <f>'Primera Ronda'!M34</f>
        <v>0</v>
      </c>
      <c r="N19" s="32">
        <f>'Primera Ronda'!N34</f>
        <v>2</v>
      </c>
      <c r="O19" s="32">
        <f>'Primera Ronda'!O34</f>
        <v>1</v>
      </c>
      <c r="P19" s="32">
        <f>'Primera Ronda'!P34</f>
        <v>4</v>
      </c>
      <c r="Q19" s="32">
        <f>'Primera Ronda'!Q34</f>
        <v>-3</v>
      </c>
      <c r="R19" s="32">
        <f>'Primera Ronda'!R34</f>
        <v>3</v>
      </c>
      <c r="S19" s="33">
        <f>'Primera Ronda'!S34</f>
        <v>3</v>
      </c>
    </row>
    <row r="20" spans="2:19" ht="13.5" thickBot="1" x14ac:dyDescent="0.25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1</v>
      </c>
      <c r="H20" s="115" t="str">
        <f>equipos!$G$3</f>
        <v>Suiza</v>
      </c>
      <c r="I20" s="116">
        <v>2</v>
      </c>
      <c r="K20" s="125" t="str">
        <f>'Primera Ronda'!K35</f>
        <v>Serbia</v>
      </c>
      <c r="L20" s="34">
        <f>'Primera Ronda'!L35</f>
        <v>0</v>
      </c>
      <c r="M20" s="35">
        <f>'Primera Ronda'!M35</f>
        <v>0</v>
      </c>
      <c r="N20" s="35">
        <f>'Primera Ronda'!N35</f>
        <v>3</v>
      </c>
      <c r="O20" s="35">
        <f>'Primera Ronda'!O35</f>
        <v>1</v>
      </c>
      <c r="P20" s="35">
        <f>'Primera Ronda'!P35</f>
        <v>6</v>
      </c>
      <c r="Q20" s="35">
        <f>'Primera Ronda'!Q35</f>
        <v>-5</v>
      </c>
      <c r="R20" s="35">
        <f>'Primera Ronda'!R35</f>
        <v>0</v>
      </c>
      <c r="S20" s="36">
        <f>'Primera Ronda'!S35</f>
        <v>3</v>
      </c>
    </row>
    <row r="21" spans="2:19" ht="14.25" thickTop="1" thickBot="1" x14ac:dyDescent="0.25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0</v>
      </c>
      <c r="H21" s="109" t="str">
        <f>equipos!$G$2</f>
        <v>Brasil</v>
      </c>
      <c r="I21" s="116">
        <v>3</v>
      </c>
    </row>
    <row r="22" spans="2:19" ht="14.25" thickTop="1" thickBot="1" x14ac:dyDescent="0.25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1</v>
      </c>
      <c r="H22" s="115" t="str">
        <f>equipos!$G$4</f>
        <v>Costa Rica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0.47152777777777777</v>
      </c>
    </row>
    <row r="23" spans="2:19" ht="13.5" thickTop="1" x14ac:dyDescent="0.2">
      <c r="K23" s="153" t="str">
        <f>IF(S17=3,K17,"1E")</f>
        <v>Brasil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IF(S18=3,K18,"2E")</f>
        <v>Suiza</v>
      </c>
      <c r="L24" s="154"/>
      <c r="M24" s="154"/>
      <c r="N24" s="154"/>
      <c r="P24" s="138">
        <f ca="1">MINUTE(B4)</f>
        <v>19</v>
      </c>
    </row>
    <row r="29" spans="2:19" ht="35.1" customHeight="1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="110" zoomScaleNormal="110" workbookViewId="0">
      <pane xSplit="20" ySplit="25" topLeftCell="U32" activePane="bottomRight" state="frozenSplit"/>
      <selection activeCell="H37" sqref="H37"/>
      <selection pane="topRight" activeCell="H37" sqref="H37"/>
      <selection pane="bottomLeft" activeCell="H37" sqref="H37"/>
      <selection pane="bottomRight" activeCell="K6" sqref="K6"/>
    </sheetView>
  </sheetViews>
  <sheetFormatPr baseColWidth="10" defaultRowHeight="12.75" x14ac:dyDescent="0.2"/>
  <cols>
    <col min="1" max="1" width="1.7109375" style="94" customWidth="1"/>
    <col min="2" max="2" width="7.28515625" style="94" customWidth="1"/>
    <col min="3" max="3" width="5.7109375" style="94" bestFit="1" customWidth="1"/>
    <col min="4" max="4" width="13.140625" style="94" bestFit="1" customWidth="1"/>
    <col min="5" max="5" width="14.140625" style="94" bestFit="1" customWidth="1"/>
    <col min="6" max="6" width="17.42578125" style="94" bestFit="1" customWidth="1"/>
    <col min="7" max="7" width="3.7109375" style="94" customWidth="1"/>
    <col min="8" max="8" width="17.42578125" style="94" customWidth="1"/>
    <col min="9" max="9" width="3.7109375" style="94" customWidth="1"/>
    <col min="10" max="10" width="1.5703125" style="94" customWidth="1"/>
    <col min="11" max="11" width="17.42578125" style="94" bestFit="1" customWidth="1"/>
    <col min="12" max="19" width="4.4257812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43262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43262.471987384262</v>
      </c>
      <c r="C4" s="157"/>
    </row>
    <row r="12" spans="2:19" ht="12.75" customHeight="1" x14ac:dyDescent="0.55000000000000004">
      <c r="B12" s="155" t="s">
        <v>13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5" thickTop="1" x14ac:dyDescent="0.2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2</v>
      </c>
      <c r="H17" s="109" t="str">
        <f>equipos!$G$8</f>
        <v>México</v>
      </c>
      <c r="I17" s="110">
        <v>0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9</v>
      </c>
      <c r="P17" s="29">
        <f>'Primera Ronda'!P39</f>
        <v>1</v>
      </c>
      <c r="Q17" s="29">
        <f>'Primera Ronda'!Q39</f>
        <v>8</v>
      </c>
      <c r="R17" s="29">
        <f>'Primera Ronda'!R39</f>
        <v>9</v>
      </c>
      <c r="S17" s="30">
        <f>'Primera Ronda'!S39</f>
        <v>3</v>
      </c>
    </row>
    <row r="18" spans="2:19" ht="13.5" thickBot="1" x14ac:dyDescent="0.25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2</v>
      </c>
      <c r="H18" s="115" t="str">
        <f>equipos!$G$10</f>
        <v>Corea</v>
      </c>
      <c r="I18" s="116">
        <v>0</v>
      </c>
      <c r="K18" s="117" t="str">
        <f>'Primera Ronda'!K40</f>
        <v>Suecia</v>
      </c>
      <c r="L18" s="31">
        <f>'Primera Ronda'!L40</f>
        <v>1</v>
      </c>
      <c r="M18" s="32">
        <f>'Primera Ronda'!M40</f>
        <v>1</v>
      </c>
      <c r="N18" s="32">
        <f>'Primera Ronda'!N40</f>
        <v>1</v>
      </c>
      <c r="O18" s="32">
        <f>'Primera Ronda'!O40</f>
        <v>4</v>
      </c>
      <c r="P18" s="32">
        <f>'Primera Ronda'!P40</f>
        <v>4</v>
      </c>
      <c r="Q18" s="32">
        <f>'Primera Ronda'!Q40</f>
        <v>0</v>
      </c>
      <c r="R18" s="32">
        <f>'Primera Ronda'!R40</f>
        <v>4</v>
      </c>
      <c r="S18" s="33">
        <f>'Primera Ronda'!S40</f>
        <v>3</v>
      </c>
    </row>
    <row r="19" spans="2:19" ht="13.5" thickTop="1" x14ac:dyDescent="0.2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3</v>
      </c>
      <c r="H19" s="109" t="str">
        <f>equipos!$G$9</f>
        <v>Suecia</v>
      </c>
      <c r="I19" s="116">
        <v>1</v>
      </c>
      <c r="K19" s="117" t="str">
        <f>'Primera Ronda'!K41</f>
        <v>México</v>
      </c>
      <c r="L19" s="31">
        <f>'Primera Ronda'!L41</f>
        <v>1</v>
      </c>
      <c r="M19" s="32">
        <f>'Primera Ronda'!M41</f>
        <v>1</v>
      </c>
      <c r="N19" s="32">
        <f>'Primera Ronda'!N41</f>
        <v>1</v>
      </c>
      <c r="O19" s="32">
        <f>'Primera Ronda'!O41</f>
        <v>2</v>
      </c>
      <c r="P19" s="32">
        <f>'Primera Ronda'!P41</f>
        <v>3</v>
      </c>
      <c r="Q19" s="32">
        <f>'Primera Ronda'!Q41</f>
        <v>-1</v>
      </c>
      <c r="R19" s="32">
        <f>'Primera Ronda'!R41</f>
        <v>4</v>
      </c>
      <c r="S19" s="33">
        <f>'Primera Ronda'!S41</f>
        <v>3</v>
      </c>
    </row>
    <row r="20" spans="2:19" ht="13.5" thickBot="1" x14ac:dyDescent="0.25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0</v>
      </c>
      <c r="H20" s="115" t="str">
        <f>equipos!$G$8</f>
        <v>México</v>
      </c>
      <c r="I20" s="116">
        <v>1</v>
      </c>
      <c r="K20" s="125" t="str">
        <f>'Primera Ronda'!K42</f>
        <v>Corea</v>
      </c>
      <c r="L20" s="34">
        <f>'Primera Ronda'!L42</f>
        <v>0</v>
      </c>
      <c r="M20" s="35">
        <f>'Primera Ronda'!M42</f>
        <v>0</v>
      </c>
      <c r="N20" s="35">
        <f>'Primera Ronda'!N42</f>
        <v>3</v>
      </c>
      <c r="O20" s="35">
        <f>'Primera Ronda'!O42</f>
        <v>0</v>
      </c>
      <c r="P20" s="35">
        <f>'Primera Ronda'!P42</f>
        <v>7</v>
      </c>
      <c r="Q20" s="35">
        <f>'Primera Ronda'!Q42</f>
        <v>-7</v>
      </c>
      <c r="R20" s="35">
        <f>'Primera Ronda'!R42</f>
        <v>0</v>
      </c>
      <c r="S20" s="36">
        <f>'Primera Ronda'!S42</f>
        <v>3</v>
      </c>
    </row>
    <row r="21" spans="2:19" ht="14.25" thickTop="1" thickBot="1" x14ac:dyDescent="0.25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0</v>
      </c>
      <c r="H21" s="109" t="str">
        <f>equipos!$G$7</f>
        <v>Alemania</v>
      </c>
      <c r="I21" s="116">
        <v>4</v>
      </c>
    </row>
    <row r="22" spans="2:19" ht="14.25" thickTop="1" thickBot="1" x14ac:dyDescent="0.25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1</v>
      </c>
      <c r="H22" s="115" t="str">
        <f>equipos!$G$9</f>
        <v>Suecia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0.47152777777777777</v>
      </c>
    </row>
    <row r="23" spans="2:19" ht="13.5" thickTop="1" x14ac:dyDescent="0.2">
      <c r="K23" s="153" t="str">
        <f>IF(S17=3,K17,"1F")</f>
        <v>Alemania</v>
      </c>
      <c r="L23" s="153"/>
      <c r="M23" s="153"/>
      <c r="N23" s="153"/>
      <c r="P23" s="138">
        <f ca="1">HOUR(B4)</f>
        <v>11</v>
      </c>
    </row>
    <row r="24" spans="2:19" ht="13.5" thickBot="1" x14ac:dyDescent="0.25">
      <c r="K24" s="154" t="str">
        <f>IF(S18=3,K18,"2F")</f>
        <v>Suecia</v>
      </c>
      <c r="L24" s="154"/>
      <c r="M24" s="154"/>
      <c r="N24" s="154"/>
      <c r="P24" s="138">
        <f ca="1">MINUTE(B4)</f>
        <v>19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="110" zoomScaleNormal="110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I14" sqref="I14"/>
    </sheetView>
  </sheetViews>
  <sheetFormatPr baseColWidth="10" defaultRowHeight="12.75" x14ac:dyDescent="0.2"/>
  <cols>
    <col min="1" max="1" width="1.7109375" style="94" customWidth="1"/>
    <col min="2" max="2" width="9" style="94" customWidth="1"/>
    <col min="3" max="3" width="8" style="94" customWidth="1"/>
    <col min="4" max="4" width="11.140625" style="94" customWidth="1"/>
    <col min="5" max="5" width="15.5703125" style="94" customWidth="1"/>
    <col min="6" max="6" width="11.7109375" style="94" customWidth="1"/>
    <col min="7" max="7" width="3.7109375" style="94" customWidth="1"/>
    <col min="8" max="8" width="12" style="94" customWidth="1"/>
    <col min="9" max="9" width="3.7109375" style="94" customWidth="1"/>
    <col min="10" max="10" width="2" style="94" customWidth="1"/>
    <col min="11" max="11" width="14.7109375" style="94" customWidth="1"/>
    <col min="12" max="19" width="5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43262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43262.471987384262</v>
      </c>
      <c r="C4" s="157"/>
    </row>
    <row r="12" spans="2:19" ht="12.75" customHeight="1" x14ac:dyDescent="0.55000000000000004">
      <c r="B12" s="155" t="s">
        <v>14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5" thickTop="1" x14ac:dyDescent="0.2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3</v>
      </c>
      <c r="H17" s="109" t="str">
        <f>equipos!$G$13</f>
        <v>Panamá</v>
      </c>
      <c r="I17" s="110">
        <v>0</v>
      </c>
      <c r="K17" s="111" t="str">
        <f>'Primera Ronda'!K46</f>
        <v>Bélgica</v>
      </c>
      <c r="L17" s="28">
        <f>'Primera Ronda'!L46</f>
        <v>3</v>
      </c>
      <c r="M17" s="29">
        <f>'Primera Ronda'!M46</f>
        <v>0</v>
      </c>
      <c r="N17" s="29">
        <f>'Primera Ronda'!N46</f>
        <v>0</v>
      </c>
      <c r="O17" s="29">
        <f>'Primera Ronda'!O46</f>
        <v>9</v>
      </c>
      <c r="P17" s="29">
        <f>'Primera Ronda'!P46</f>
        <v>2</v>
      </c>
      <c r="Q17" s="29">
        <f>'Primera Ronda'!Q46</f>
        <v>7</v>
      </c>
      <c r="R17" s="29">
        <f>'Primera Ronda'!R46</f>
        <v>9</v>
      </c>
      <c r="S17" s="30">
        <f>'Primera Ronda'!S46</f>
        <v>3</v>
      </c>
    </row>
    <row r="18" spans="2:19" ht="13.5" thickBot="1" x14ac:dyDescent="0.25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0</v>
      </c>
      <c r="H18" s="115" t="str">
        <f>equipos!$G$15</f>
        <v>Inglaterra</v>
      </c>
      <c r="I18" s="116">
        <v>3</v>
      </c>
      <c r="K18" s="117" t="str">
        <f>'Primera Ronda'!K47</f>
        <v>Inglaterra</v>
      </c>
      <c r="L18" s="31">
        <f>'Primera Ronda'!L47</f>
        <v>2</v>
      </c>
      <c r="M18" s="32">
        <f>'Primera Ronda'!M47</f>
        <v>0</v>
      </c>
      <c r="N18" s="32">
        <f>'Primera Ronda'!N47</f>
        <v>1</v>
      </c>
      <c r="O18" s="32">
        <f>'Primera Ronda'!O47</f>
        <v>7</v>
      </c>
      <c r="P18" s="32">
        <f>'Primera Ronda'!P47</f>
        <v>2</v>
      </c>
      <c r="Q18" s="32">
        <f>'Primera Ronda'!Q47</f>
        <v>5</v>
      </c>
      <c r="R18" s="32">
        <f>'Primera Ronda'!R47</f>
        <v>6</v>
      </c>
      <c r="S18" s="33">
        <f>'Primera Ronda'!S47</f>
        <v>3</v>
      </c>
    </row>
    <row r="19" spans="2:19" ht="13.5" thickTop="1" x14ac:dyDescent="0.2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4</v>
      </c>
      <c r="H19" s="109" t="str">
        <f>equipos!$G$14</f>
        <v>Túnez</v>
      </c>
      <c r="I19" s="116">
        <v>1</v>
      </c>
      <c r="K19" s="117" t="str">
        <f>'Primera Ronda'!K48</f>
        <v>Túnez</v>
      </c>
      <c r="L19" s="31">
        <f>'Primera Ronda'!L48</f>
        <v>1</v>
      </c>
      <c r="M19" s="32">
        <f>'Primera Ronda'!M48</f>
        <v>0</v>
      </c>
      <c r="N19" s="32">
        <f>'Primera Ronda'!N48</f>
        <v>2</v>
      </c>
      <c r="O19" s="32">
        <f>'Primera Ronda'!O48</f>
        <v>2</v>
      </c>
      <c r="P19" s="32">
        <f>'Primera Ronda'!P48</f>
        <v>7</v>
      </c>
      <c r="Q19" s="32">
        <f>'Primera Ronda'!Q48</f>
        <v>-5</v>
      </c>
      <c r="R19" s="32">
        <f>'Primera Ronda'!R48</f>
        <v>3</v>
      </c>
      <c r="S19" s="33">
        <f>'Primera Ronda'!S48</f>
        <v>3</v>
      </c>
    </row>
    <row r="20" spans="2:19" ht="13.5" thickBot="1" x14ac:dyDescent="0.25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3</v>
      </c>
      <c r="H20" s="115" t="str">
        <f>equipos!$G$13</f>
        <v>Panamá</v>
      </c>
      <c r="I20" s="116">
        <v>0</v>
      </c>
      <c r="K20" s="125" t="str">
        <f>'Primera Ronda'!K49</f>
        <v>Panamá</v>
      </c>
      <c r="L20" s="34">
        <f>'Primera Ronda'!L49</f>
        <v>0</v>
      </c>
      <c r="M20" s="35">
        <f>'Primera Ronda'!M49</f>
        <v>0</v>
      </c>
      <c r="N20" s="35">
        <f>'Primera Ronda'!N49</f>
        <v>3</v>
      </c>
      <c r="O20" s="35">
        <f>'Primera Ronda'!O49</f>
        <v>0</v>
      </c>
      <c r="P20" s="35">
        <f>'Primera Ronda'!P49</f>
        <v>7</v>
      </c>
      <c r="Q20" s="35">
        <f>'Primera Ronda'!Q49</f>
        <v>-7</v>
      </c>
      <c r="R20" s="35">
        <f>'Primera Ronda'!R49</f>
        <v>0</v>
      </c>
      <c r="S20" s="36">
        <f>'Primera Ronda'!S49</f>
        <v>3</v>
      </c>
    </row>
    <row r="21" spans="2:19" ht="14.25" thickTop="1" thickBot="1" x14ac:dyDescent="0.25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1</v>
      </c>
      <c r="H21" s="109" t="str">
        <f>equipos!$G$12</f>
        <v>Bélgica</v>
      </c>
      <c r="I21" s="116">
        <v>2</v>
      </c>
    </row>
    <row r="22" spans="2:19" ht="14.25" thickTop="1" thickBot="1" x14ac:dyDescent="0.25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0</v>
      </c>
      <c r="H22" s="115" t="str">
        <f>equipos!$G$14</f>
        <v>Túnez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0.47152777777777777</v>
      </c>
    </row>
    <row r="23" spans="2:19" ht="13.5" thickTop="1" x14ac:dyDescent="0.2">
      <c r="K23" s="159" t="str">
        <f>IF(S17=3,K17,"1G")</f>
        <v>Bélgica</v>
      </c>
      <c r="L23" s="159"/>
      <c r="M23" s="159"/>
      <c r="N23" s="159"/>
      <c r="P23" s="138">
        <f ca="1">HOUR(B4)</f>
        <v>11</v>
      </c>
    </row>
    <row r="24" spans="2:19" ht="13.5" thickBot="1" x14ac:dyDescent="0.25">
      <c r="K24" s="158" t="str">
        <f>IF(S18=3,K18,"2G")</f>
        <v>Inglaterra</v>
      </c>
      <c r="L24" s="158"/>
      <c r="M24" s="158"/>
      <c r="N24" s="158"/>
      <c r="P24" s="138">
        <f ca="1">MINUTE(B4)</f>
        <v>19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tabSelected="1" zoomScale="110" zoomScaleNormal="110" workbookViewId="0">
      <pane xSplit="20" ySplit="25" topLeftCell="U68" activePane="bottomRight" state="frozenSplit"/>
      <selection activeCell="H37" sqref="H37"/>
      <selection pane="topRight" activeCell="H37" sqref="H37"/>
      <selection pane="bottomLeft" activeCell="H37" sqref="H37"/>
      <selection pane="bottomRight" activeCell="K11" sqref="K11"/>
    </sheetView>
  </sheetViews>
  <sheetFormatPr baseColWidth="10" defaultRowHeight="12.75" x14ac:dyDescent="0.2"/>
  <cols>
    <col min="1" max="1" width="1.7109375" style="94" customWidth="1"/>
    <col min="2" max="2" width="8.5703125" style="94" customWidth="1"/>
    <col min="3" max="3" width="7.85546875" style="94" customWidth="1"/>
    <col min="4" max="4" width="14.28515625" style="94" customWidth="1"/>
    <col min="5" max="5" width="15.28515625" style="94" customWidth="1"/>
    <col min="6" max="6" width="13" style="94" customWidth="1"/>
    <col min="7" max="7" width="3.7109375" style="94" customWidth="1"/>
    <col min="8" max="8" width="12.28515625" style="94" bestFit="1" customWidth="1"/>
    <col min="9" max="9" width="3.7109375" style="94" customWidth="1"/>
    <col min="10" max="10" width="1.5703125" style="94" customWidth="1"/>
    <col min="11" max="11" width="14.710937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43262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43262.471987384262</v>
      </c>
      <c r="C4" s="157"/>
    </row>
    <row r="12" spans="2:19" ht="12.75" customHeight="1" x14ac:dyDescent="0.55000000000000004">
      <c r="B12" s="155" t="s">
        <v>15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5" thickTop="1" x14ac:dyDescent="0.2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2</v>
      </c>
      <c r="H17" s="109" t="str">
        <f>equipos!$G$18</f>
        <v>Senegal</v>
      </c>
      <c r="I17" s="110">
        <v>1</v>
      </c>
      <c r="K17" s="111" t="str">
        <f>'Primera Ronda'!K53</f>
        <v>Colombia</v>
      </c>
      <c r="L17" s="28">
        <f>'Primera Ronda'!L53</f>
        <v>2</v>
      </c>
      <c r="M17" s="29">
        <f>'Primera Ronda'!M53</f>
        <v>1</v>
      </c>
      <c r="N17" s="29">
        <f>'Primera Ronda'!N53</f>
        <v>0</v>
      </c>
      <c r="O17" s="29">
        <f>'Primera Ronda'!O53</f>
        <v>6</v>
      </c>
      <c r="P17" s="29">
        <f>'Primera Ronda'!P53</f>
        <v>3</v>
      </c>
      <c r="Q17" s="29">
        <f>'Primera Ronda'!Q53</f>
        <v>3</v>
      </c>
      <c r="R17" s="29">
        <f>'Primera Ronda'!R53</f>
        <v>7</v>
      </c>
      <c r="S17" s="30">
        <f>'Primera Ronda'!S53</f>
        <v>3</v>
      </c>
    </row>
    <row r="18" spans="2:19" ht="13.5" thickBot="1" x14ac:dyDescent="0.25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2</v>
      </c>
      <c r="H18" s="115" t="str">
        <f>equipos!$G$20</f>
        <v>Japón</v>
      </c>
      <c r="I18" s="116">
        <v>0</v>
      </c>
      <c r="K18" s="117" t="str">
        <f>'Primera Ronda'!K54</f>
        <v>Polonia</v>
      </c>
      <c r="L18" s="31">
        <f>'Primera Ronda'!L54</f>
        <v>2</v>
      </c>
      <c r="M18" s="32">
        <f>'Primera Ronda'!M54</f>
        <v>1</v>
      </c>
      <c r="N18" s="32">
        <f>'Primera Ronda'!N54</f>
        <v>0</v>
      </c>
      <c r="O18" s="32">
        <f>'Primera Ronda'!O54</f>
        <v>6</v>
      </c>
      <c r="P18" s="32">
        <f>'Primera Ronda'!P54</f>
        <v>4</v>
      </c>
      <c r="Q18" s="32">
        <f>'Primera Ronda'!Q54</f>
        <v>2</v>
      </c>
      <c r="R18" s="32">
        <f>'Primera Ronda'!R54</f>
        <v>7</v>
      </c>
      <c r="S18" s="33">
        <f>'Primera Ronda'!S54</f>
        <v>3</v>
      </c>
    </row>
    <row r="19" spans="2:19" ht="13.5" thickTop="1" x14ac:dyDescent="0.2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2</v>
      </c>
      <c r="H19" s="109" t="str">
        <f>equipos!$G$19</f>
        <v>Colombia</v>
      </c>
      <c r="I19" s="116">
        <v>2</v>
      </c>
      <c r="K19" s="117" t="str">
        <f>'Primera Ronda'!K55</f>
        <v>Senegal</v>
      </c>
      <c r="L19" s="31">
        <f>'Primera Ronda'!L55</f>
        <v>0</v>
      </c>
      <c r="M19" s="32">
        <f>'Primera Ronda'!M55</f>
        <v>1</v>
      </c>
      <c r="N19" s="32">
        <f>'Primera Ronda'!N55</f>
        <v>2</v>
      </c>
      <c r="O19" s="32">
        <f>'Primera Ronda'!O55</f>
        <v>3</v>
      </c>
      <c r="P19" s="32">
        <f>'Primera Ronda'!P55</f>
        <v>5</v>
      </c>
      <c r="Q19" s="32">
        <f>'Primera Ronda'!Q55</f>
        <v>-2</v>
      </c>
      <c r="R19" s="32">
        <f>'Primera Ronda'!R55</f>
        <v>1</v>
      </c>
      <c r="S19" s="33">
        <f>'Primera Ronda'!S55</f>
        <v>3</v>
      </c>
    </row>
    <row r="20" spans="2:19" ht="13.5" thickBot="1" x14ac:dyDescent="0.25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1</v>
      </c>
      <c r="H20" s="115" t="str">
        <f>equipos!$G$18</f>
        <v>Senegal</v>
      </c>
      <c r="I20" s="116">
        <v>1</v>
      </c>
      <c r="K20" s="125" t="str">
        <f>'Primera Ronda'!K56</f>
        <v>Japón</v>
      </c>
      <c r="L20" s="34">
        <f>'Primera Ronda'!L56</f>
        <v>0</v>
      </c>
      <c r="M20" s="35">
        <f>'Primera Ronda'!M56</f>
        <v>1</v>
      </c>
      <c r="N20" s="35">
        <f>'Primera Ronda'!N56</f>
        <v>2</v>
      </c>
      <c r="O20" s="35">
        <f>'Primera Ronda'!O56</f>
        <v>2</v>
      </c>
      <c r="P20" s="35">
        <f>'Primera Ronda'!P56</f>
        <v>5</v>
      </c>
      <c r="Q20" s="35">
        <f>'Primera Ronda'!Q56</f>
        <v>-3</v>
      </c>
      <c r="R20" s="35">
        <f>'Primera Ronda'!R56</f>
        <v>1</v>
      </c>
      <c r="S20" s="36">
        <f>'Primera Ronda'!S56</f>
        <v>3</v>
      </c>
    </row>
    <row r="21" spans="2:19" ht="14.25" thickTop="1" thickBot="1" x14ac:dyDescent="0.25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1</v>
      </c>
      <c r="H21" s="109" t="str">
        <f>equipos!$G$17</f>
        <v>Polonia</v>
      </c>
      <c r="I21" s="116">
        <v>2</v>
      </c>
    </row>
    <row r="22" spans="2:19" ht="14.25" thickTop="1" thickBot="1" x14ac:dyDescent="0.25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1</v>
      </c>
      <c r="H22" s="115" t="str">
        <f>equipos!$G$19</f>
        <v>Colombia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0.47152777777777777</v>
      </c>
    </row>
    <row r="23" spans="2:19" ht="13.5" thickTop="1" x14ac:dyDescent="0.2">
      <c r="K23" s="159" t="str">
        <f>IF(S17=3,K17,"1H")</f>
        <v>Colombia</v>
      </c>
      <c r="L23" s="159"/>
      <c r="M23" s="159"/>
      <c r="N23" s="159"/>
      <c r="P23" s="138">
        <f ca="1">HOUR(B4)</f>
        <v>11</v>
      </c>
    </row>
    <row r="24" spans="2:19" ht="13.5" thickBot="1" x14ac:dyDescent="0.25">
      <c r="K24" s="158" t="str">
        <f>IF(S18=3,K18,"2H")</f>
        <v>Polonia</v>
      </c>
      <c r="L24" s="158"/>
      <c r="M24" s="158"/>
      <c r="N24" s="158"/>
      <c r="P24" s="138">
        <f ca="1">MINUTE(B4)</f>
        <v>19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llucero</cp:lastModifiedBy>
  <cp:lastPrinted>2018-06-01T22:15:48Z</cp:lastPrinted>
  <dcterms:created xsi:type="dcterms:W3CDTF">2010-06-17T02:38:21Z</dcterms:created>
  <dcterms:modified xsi:type="dcterms:W3CDTF">2018-06-11T15:22:40Z</dcterms:modified>
</cp:coreProperties>
</file>