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2\"/>
    </mc:Choice>
  </mc:AlternateContent>
  <xr:revisionPtr revIDLastSave="0" documentId="13_ncr:1_{3148B678-5EAD-478C-99F3-F6FF3861FF7F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4" l="1"/>
  <c r="F15" i="16"/>
  <c r="G15" i="16"/>
  <c r="H15" i="16"/>
  <c r="E14" i="16"/>
  <c r="E15" i="16"/>
  <c r="E13" i="16"/>
  <c r="D12" i="16"/>
  <c r="G9" i="16"/>
  <c r="F9" i="16"/>
  <c r="E27" i="16"/>
  <c r="E28" i="16"/>
  <c r="E26" i="16"/>
  <c r="X2" i="16"/>
  <c r="N25" i="16"/>
  <c r="N26" i="16"/>
  <c r="N27" i="16"/>
  <c r="N24" i="16"/>
  <c r="M23" i="16"/>
  <c r="N19" i="16"/>
  <c r="N20" i="16"/>
  <c r="N21" i="16"/>
  <c r="N1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Q23" i="16"/>
  <c r="P23" i="16"/>
  <c r="O23" i="16"/>
  <c r="M17" i="16"/>
  <c r="N14" i="16"/>
  <c r="N15" i="16"/>
  <c r="N13" i="16"/>
  <c r="Q21" i="16"/>
  <c r="P21" i="16"/>
  <c r="O21" i="16"/>
  <c r="Q20" i="16"/>
  <c r="P20" i="16"/>
  <c r="O20" i="16"/>
  <c r="Q19" i="16"/>
  <c r="P19" i="16"/>
  <c r="O19" i="16"/>
  <c r="Q18" i="16"/>
  <c r="P18" i="16"/>
  <c r="O18" i="16"/>
  <c r="Q17" i="16"/>
  <c r="P17" i="16"/>
  <c r="O17" i="16"/>
  <c r="M12" i="16"/>
  <c r="O13" i="16"/>
  <c r="O12" i="16"/>
  <c r="Q15" i="16"/>
  <c r="P15" i="16"/>
  <c r="O15" i="16"/>
  <c r="Q14" i="16"/>
  <c r="P14" i="16"/>
  <c r="O14" i="16"/>
  <c r="Q13" i="16"/>
  <c r="P13" i="16"/>
  <c r="Q12" i="16"/>
  <c r="P12" i="16"/>
  <c r="M21" i="16" l="1"/>
  <c r="M14" i="16"/>
  <c r="M18" i="16"/>
  <c r="M13" i="16"/>
  <c r="M19" i="16"/>
  <c r="M15" i="16"/>
  <c r="M25" i="16"/>
  <c r="M24" i="16"/>
  <c r="M27" i="16"/>
  <c r="M26" i="16"/>
  <c r="M20" i="16"/>
  <c r="N10" i="16" l="1"/>
  <c r="N9" i="16"/>
  <c r="M8" i="16"/>
  <c r="Q10" i="16"/>
  <c r="P10" i="16"/>
  <c r="O10" i="16"/>
  <c r="Q9" i="16"/>
  <c r="P9" i="16"/>
  <c r="O9" i="16"/>
  <c r="Q8" i="16"/>
  <c r="P8" i="16"/>
  <c r="O8" i="16"/>
  <c r="N4" i="16"/>
  <c r="N5" i="16"/>
  <c r="N6" i="16"/>
  <c r="N3" i="16"/>
  <c r="M2" i="16"/>
  <c r="O4" i="16"/>
  <c r="P4" i="16"/>
  <c r="Q4" i="16"/>
  <c r="O5" i="16"/>
  <c r="P5" i="16"/>
  <c r="Q5" i="16"/>
  <c r="O6" i="16"/>
  <c r="P6" i="16"/>
  <c r="Q6" i="16"/>
  <c r="P3" i="16"/>
  <c r="Q3" i="16"/>
  <c r="O2" i="16"/>
  <c r="P2" i="16"/>
  <c r="Q2" i="16"/>
  <c r="O3" i="16"/>
  <c r="H28" i="16"/>
  <c r="G28" i="16"/>
  <c r="F28" i="16"/>
  <c r="H27" i="16"/>
  <c r="G27" i="16"/>
  <c r="F27" i="16"/>
  <c r="H26" i="16"/>
  <c r="G26" i="16"/>
  <c r="F26" i="16"/>
  <c r="H25" i="16"/>
  <c r="G25" i="16"/>
  <c r="F25" i="16"/>
  <c r="D25" i="16"/>
  <c r="F23" i="16"/>
  <c r="G23" i="16"/>
  <c r="H23" i="16"/>
  <c r="F17" i="16"/>
  <c r="G17" i="16"/>
  <c r="H17" i="16"/>
  <c r="F18" i="16"/>
  <c r="G18" i="16"/>
  <c r="H18" i="16"/>
  <c r="F19" i="16"/>
  <c r="G19" i="16"/>
  <c r="H19" i="16"/>
  <c r="F20" i="16"/>
  <c r="G20" i="16"/>
  <c r="H20" i="16"/>
  <c r="F21" i="16"/>
  <c r="G21" i="16"/>
  <c r="H21" i="16"/>
  <c r="G12" i="16"/>
  <c r="H12" i="16"/>
  <c r="F13" i="16"/>
  <c r="G13" i="16"/>
  <c r="H13" i="16"/>
  <c r="F14" i="16"/>
  <c r="G14" i="16"/>
  <c r="H14" i="16"/>
  <c r="G8" i="16"/>
  <c r="H8" i="16"/>
  <c r="H9" i="16"/>
  <c r="F10" i="16"/>
  <c r="G10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D15" i="16" l="1"/>
  <c r="D9" i="16"/>
  <c r="M6" i="16"/>
  <c r="M4" i="16"/>
  <c r="M5" i="16"/>
  <c r="M10" i="16"/>
  <c r="D13" i="16"/>
  <c r="D27" i="16"/>
  <c r="D14" i="16"/>
  <c r="M9" i="16"/>
  <c r="D3" i="16"/>
  <c r="D6" i="16"/>
  <c r="D19" i="16"/>
  <c r="D26" i="16"/>
  <c r="D4" i="16"/>
  <c r="D28" i="16"/>
  <c r="D10" i="16"/>
  <c r="D5" i="16"/>
  <c r="D18" i="16"/>
  <c r="D21" i="16"/>
  <c r="D20" i="16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F6" i="7" s="1"/>
  <c r="N8" i="9"/>
  <c r="F7" i="7" s="1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E19" i="16"/>
  <c r="E20" i="16"/>
  <c r="E21" i="16"/>
  <c r="E18" i="16"/>
  <c r="E10" i="16"/>
  <c r="E9" i="16"/>
  <c r="E4" i="16"/>
  <c r="E5" i="16"/>
  <c r="E6" i="16"/>
  <c r="E3" i="16"/>
  <c r="D23" i="16"/>
  <c r="D17" i="16"/>
  <c r="D8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<sst xmlns="http://schemas.openxmlformats.org/spreadsheetml/2006/main" count="99" uniqueCount="62">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</sst>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913CA75-995E-D058-3C57-1781956E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031ACDD-2138-89F1-B59D-01BFD4250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BEC69D4-C826-81DB-0B4F-D91981CDD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79705C-97BA-8A5B-40F4-144D1022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0682D-2521-E877-9FD8-2539DB0E6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4FF1594-48D0-A61D-0190-24782D63A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C51B51A-4D82-93A4-6DC2-BAAFAF82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2'!N3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F8" sqref="F8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6">
        <v>20.37537956237793</v>
      </c>
      <c r="C2" s="57">
        <v>0.61256545782089233</v>
      </c>
      <c r="D2" s="2">
        <v>18.0471305847168</v>
      </c>
      <c r="E2" s="2">
        <v>0.53571426868438721</v>
      </c>
    </row>
    <row r="3" spans="1:5" x14ac:dyDescent="0.35">
      <c r="A3" s="2">
        <v>2</v>
      </c>
      <c r="B3" s="2">
        <v>16.570234298706051</v>
      </c>
      <c r="C3" s="2">
        <v>0.66472756862640381</v>
      </c>
      <c r="D3" s="56">
        <v>35.456077575683587</v>
      </c>
      <c r="E3" s="57">
        <v>0.31677019596099848</v>
      </c>
    </row>
    <row r="4" spans="1:5" x14ac:dyDescent="0.35">
      <c r="A4" s="2">
        <v>3</v>
      </c>
      <c r="B4" s="2">
        <v>15.466219902038571</v>
      </c>
      <c r="C4" s="2">
        <v>0.68857860565185547</v>
      </c>
      <c r="D4" s="2">
        <v>20.021514892578121</v>
      </c>
      <c r="E4" s="2">
        <v>0.55434781312942505</v>
      </c>
    </row>
    <row r="5" spans="1:5" x14ac:dyDescent="0.35">
      <c r="A5" s="2">
        <v>4</v>
      </c>
      <c r="B5" s="2">
        <v>17.807968139648441</v>
      </c>
      <c r="C5" s="2">
        <v>0.69866198301315308</v>
      </c>
      <c r="D5" s="2">
        <v>21.310638427734379</v>
      </c>
      <c r="E5" s="2">
        <v>0.5248447060585022</v>
      </c>
    </row>
    <row r="6" spans="1:5" x14ac:dyDescent="0.35">
      <c r="A6" s="2">
        <v>5</v>
      </c>
      <c r="B6" s="2">
        <v>15.970150947570801</v>
      </c>
      <c r="C6" s="2">
        <v>0.71184796094894409</v>
      </c>
      <c r="D6" s="2">
        <v>19.250314712524411</v>
      </c>
      <c r="E6" s="2">
        <v>0.6428571343421936</v>
      </c>
    </row>
    <row r="7" spans="1:5" x14ac:dyDescent="0.35">
      <c r="A7" s="2">
        <v>6</v>
      </c>
      <c r="B7" s="2">
        <v>15.71273899078369</v>
      </c>
      <c r="C7" s="2">
        <v>0.71708357334136963</v>
      </c>
      <c r="D7" s="2">
        <v>24.452213287353519</v>
      </c>
      <c r="E7" s="2">
        <v>0.52639752626419067</v>
      </c>
    </row>
    <row r="8" spans="1:5" x14ac:dyDescent="0.35">
      <c r="A8" s="2">
        <v>7</v>
      </c>
      <c r="B8" s="2">
        <v>16.60848426818848</v>
      </c>
      <c r="C8" s="2">
        <v>0.71766531467437744</v>
      </c>
      <c r="D8" s="57">
        <v>17.031047821044918</v>
      </c>
      <c r="E8" s="56">
        <v>0.70496892929077148</v>
      </c>
    </row>
    <row r="9" spans="1:5" x14ac:dyDescent="0.35">
      <c r="A9" s="2">
        <v>8</v>
      </c>
      <c r="B9" s="57">
        <v>14.15531063079834</v>
      </c>
      <c r="C9" s="2">
        <v>0.73550516366958618</v>
      </c>
      <c r="D9" s="2">
        <v>31.36338043212891</v>
      </c>
      <c r="E9" s="2">
        <v>0.52950310707092285</v>
      </c>
    </row>
    <row r="10" spans="1:5" x14ac:dyDescent="0.35">
      <c r="A10" s="2">
        <v>9</v>
      </c>
      <c r="B10" s="2">
        <v>14.568900108337401</v>
      </c>
      <c r="C10" s="2">
        <v>0.73899555206298828</v>
      </c>
      <c r="D10" s="2">
        <v>19.074712753295898</v>
      </c>
      <c r="E10" s="2">
        <v>0.65683227777481079</v>
      </c>
    </row>
    <row r="11" spans="1:5" x14ac:dyDescent="0.35">
      <c r="A11" s="2">
        <v>10</v>
      </c>
      <c r="B11" s="2">
        <v>14.232810020446779</v>
      </c>
      <c r="C11" s="56">
        <v>0.74539458751678467</v>
      </c>
      <c r="D11" s="2">
        <v>22.86215972900391</v>
      </c>
      <c r="E11" s="2">
        <v>0.61956518888473511</v>
      </c>
    </row>
    <row r="12" spans="1:5" x14ac:dyDescent="0.35">
      <c r="A12" s="3" t="s">
        <v>21</v>
      </c>
      <c r="B12" s="49">
        <v>26.145114898681602</v>
      </c>
      <c r="C12" s="49"/>
      <c r="D12" s="49"/>
      <c r="E12" s="49"/>
    </row>
    <row r="13" spans="1:5" x14ac:dyDescent="0.35">
      <c r="A13" s="3" t="s">
        <v>22</v>
      </c>
      <c r="B13" s="49">
        <v>0.63157892227172796</v>
      </c>
      <c r="C13" s="49"/>
      <c r="D13" s="49"/>
      <c r="E13" s="49"/>
    </row>
    <row r="14" spans="1:5" x14ac:dyDescent="0.35">
      <c r="A14" s="4" t="s">
        <v>8</v>
      </c>
      <c r="B14" s="5">
        <f>MIN(B2:B11)</f>
        <v>14.15531063079834</v>
      </c>
      <c r="C14" s="5">
        <f>MIN(C2:C11)</f>
        <v>0.61256545782089233</v>
      </c>
      <c r="D14" s="5">
        <f>MIN(D2:D11)</f>
        <v>17.031047821044918</v>
      </c>
      <c r="E14" s="5">
        <f>MIN(E2:E11)</f>
        <v>0.31677019596099848</v>
      </c>
    </row>
    <row r="15" spans="1:5" x14ac:dyDescent="0.35">
      <c r="A15" s="4" t="s">
        <v>9</v>
      </c>
      <c r="B15" s="6">
        <f>MAX(B2:B11)</f>
        <v>20.37537956237793</v>
      </c>
      <c r="C15" s="6">
        <f>MAX(C2:C11)</f>
        <v>0.74539458751678467</v>
      </c>
      <c r="D15" s="6">
        <f>MAX(D2:D11)</f>
        <v>35.456077575683587</v>
      </c>
      <c r="E15" s="6">
        <f>MAX(E2:E11)</f>
        <v>0.70496892929077148</v>
      </c>
    </row>
    <row r="16" spans="1:5" x14ac:dyDescent="0.35">
      <c r="A16" s="4" t="s">
        <v>8</v>
      </c>
      <c r="B16">
        <f>INDEX($A$2:$A$11,MATCH(B14,B2:B11,0))</f>
        <v>8</v>
      </c>
      <c r="C16">
        <f>INDEX($A$2:$A$11,MATCH(C14,C2:C11,0))</f>
        <v>1</v>
      </c>
      <c r="D16">
        <f>INDEX($A$2:$A$11,MATCH(D14,D2:D11,0))</f>
        <v>7</v>
      </c>
      <c r="E16">
        <f>INDEX($A$2:$A$11,MATCH(E14,E2:E11,0))</f>
        <v>2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2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activeCell="O7" sqref="O7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0" t="s">
        <v>43</v>
      </c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6" x14ac:dyDescent="0.35">
      <c r="B2"/>
      <c r="C2" s="45">
        <v>0</v>
      </c>
      <c r="D2" s="45">
        <v>1</v>
      </c>
      <c r="E2" s="45">
        <v>2</v>
      </c>
      <c r="F2" s="45">
        <v>3</v>
      </c>
      <c r="G2" s="45">
        <v>4</v>
      </c>
      <c r="H2" s="45">
        <v>5</v>
      </c>
      <c r="I2" s="45">
        <v>6</v>
      </c>
      <c r="J2" s="45">
        <v>7</v>
      </c>
      <c r="K2" s="45">
        <v>8</v>
      </c>
      <c r="L2" s="45">
        <v>9</v>
      </c>
      <c r="M2" s="45">
        <v>10</v>
      </c>
    </row>
    <row r="3" spans="1:16" ht="20" customHeight="1" x14ac:dyDescent="0.35">
      <c r="A3" s="51" t="str">
        <f>"Verdadeiro"</f>
        <v>Verdadeiro</v>
      </c>
      <c r="B3" s="1">
        <v>0</v>
      </c>
      <c r="C3" s="46">
        <v>4</v>
      </c>
      <c r="D3" s="2">
        <v>2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5</v>
      </c>
      <c r="K3" s="2">
        <v>0</v>
      </c>
      <c r="L3" s="2">
        <v>0</v>
      </c>
      <c r="M3" s="2">
        <v>1</v>
      </c>
      <c r="N3">
        <f>SUM(C3:M3)</f>
        <v>13</v>
      </c>
      <c r="P3" s="48">
        <v>13</v>
      </c>
    </row>
    <row r="4" spans="1:16" ht="20" customHeight="1" x14ac:dyDescent="0.35">
      <c r="A4" s="51"/>
      <c r="B4" s="1">
        <v>1</v>
      </c>
      <c r="C4" s="2">
        <v>0</v>
      </c>
      <c r="D4" s="46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3</v>
      </c>
      <c r="N4">
        <f t="shared" ref="N4:N13" si="0">SUM(C4:M4)</f>
        <v>5</v>
      </c>
      <c r="P4" s="48">
        <v>5</v>
      </c>
    </row>
    <row r="5" spans="1:16" ht="20" customHeight="1" x14ac:dyDescent="0.35">
      <c r="A5" s="51"/>
      <c r="B5" s="1">
        <v>2</v>
      </c>
      <c r="C5" s="2">
        <v>0</v>
      </c>
      <c r="D5" s="2">
        <v>0</v>
      </c>
      <c r="E5" s="46">
        <v>1</v>
      </c>
      <c r="F5" s="2">
        <v>0</v>
      </c>
      <c r="G5" s="2">
        <v>2</v>
      </c>
      <c r="H5" s="2">
        <v>1</v>
      </c>
      <c r="I5" s="2">
        <v>0</v>
      </c>
      <c r="J5" s="2">
        <v>4</v>
      </c>
      <c r="K5" s="2">
        <v>0</v>
      </c>
      <c r="L5" s="2">
        <v>0</v>
      </c>
      <c r="M5" s="2">
        <v>0</v>
      </c>
      <c r="N5">
        <f t="shared" si="0"/>
        <v>8</v>
      </c>
      <c r="P5" s="48">
        <v>8</v>
      </c>
    </row>
    <row r="6" spans="1:16" ht="20" customHeight="1" x14ac:dyDescent="0.35">
      <c r="A6" s="51"/>
      <c r="B6" s="1">
        <v>3</v>
      </c>
      <c r="C6" s="2">
        <v>1</v>
      </c>
      <c r="D6" s="2">
        <v>1</v>
      </c>
      <c r="E6" s="2">
        <v>0</v>
      </c>
      <c r="F6" s="46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>
        <f t="shared" si="0"/>
        <v>5</v>
      </c>
      <c r="P6" s="48">
        <v>5</v>
      </c>
    </row>
    <row r="7" spans="1:16" ht="20" customHeight="1" x14ac:dyDescent="0.35">
      <c r="A7" s="51"/>
      <c r="B7" s="1">
        <v>4</v>
      </c>
      <c r="C7" s="2">
        <v>0</v>
      </c>
      <c r="D7" s="2">
        <v>0</v>
      </c>
      <c r="E7" s="2">
        <v>0</v>
      </c>
      <c r="F7" s="2">
        <v>0</v>
      </c>
      <c r="G7" s="46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  <c r="P7" s="48">
        <v>8</v>
      </c>
    </row>
    <row r="8" spans="1:16" ht="20" customHeight="1" x14ac:dyDescent="0.35">
      <c r="A8" s="51"/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6">
        <v>2</v>
      </c>
      <c r="I8" s="2">
        <v>1</v>
      </c>
      <c r="J8" s="2">
        <v>5</v>
      </c>
      <c r="K8" s="2">
        <v>0</v>
      </c>
      <c r="L8" s="2">
        <v>0</v>
      </c>
      <c r="M8" s="2">
        <v>3</v>
      </c>
      <c r="N8">
        <f t="shared" si="0"/>
        <v>11</v>
      </c>
      <c r="P8" s="48">
        <v>11</v>
      </c>
    </row>
    <row r="9" spans="1:16" ht="20" customHeight="1" x14ac:dyDescent="0.35">
      <c r="A9" s="51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46">
        <v>25</v>
      </c>
      <c r="J9" s="2">
        <v>56</v>
      </c>
      <c r="K9" s="2">
        <v>19</v>
      </c>
      <c r="L9" s="2">
        <v>0</v>
      </c>
      <c r="M9" s="2">
        <v>5</v>
      </c>
      <c r="N9">
        <f t="shared" si="0"/>
        <v>108</v>
      </c>
      <c r="P9" s="48">
        <v>108</v>
      </c>
    </row>
    <row r="10" spans="1:16" ht="20" customHeight="1" x14ac:dyDescent="0.35">
      <c r="A10" s="51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46">
        <v>14</v>
      </c>
      <c r="K10" s="2">
        <v>0</v>
      </c>
      <c r="L10" s="2">
        <v>0</v>
      </c>
      <c r="M10" s="2">
        <v>5</v>
      </c>
      <c r="N10">
        <f t="shared" si="0"/>
        <v>20</v>
      </c>
      <c r="P10" s="48">
        <v>20</v>
      </c>
    </row>
    <row r="11" spans="1:16" ht="20" customHeight="1" x14ac:dyDescent="0.35">
      <c r="A11" s="51"/>
      <c r="B11" s="1">
        <v>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10</v>
      </c>
      <c r="K11" s="46">
        <v>12</v>
      </c>
      <c r="L11" s="2">
        <v>0</v>
      </c>
      <c r="M11" s="2">
        <v>10</v>
      </c>
      <c r="N11">
        <f t="shared" si="0"/>
        <v>33</v>
      </c>
      <c r="P11" s="48">
        <v>33</v>
      </c>
    </row>
    <row r="12" spans="1:16" ht="20" customHeight="1" x14ac:dyDescent="0.35">
      <c r="A12" s="51"/>
      <c r="B12" s="1">
        <v>9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7</v>
      </c>
      <c r="K12" s="2">
        <v>2</v>
      </c>
      <c r="L12" s="46">
        <v>0</v>
      </c>
      <c r="M12" s="2">
        <v>27</v>
      </c>
      <c r="N12">
        <f t="shared" si="0"/>
        <v>37</v>
      </c>
      <c r="P12" s="48">
        <v>37</v>
      </c>
    </row>
    <row r="13" spans="1:16" ht="20" customHeight="1" x14ac:dyDescent="0.35">
      <c r="A13" s="51"/>
      <c r="B13" s="1">
        <v>10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49</v>
      </c>
      <c r="K13" s="2">
        <v>5</v>
      </c>
      <c r="L13" s="2">
        <v>0</v>
      </c>
      <c r="M13" s="46">
        <v>340</v>
      </c>
      <c r="N13">
        <f t="shared" si="0"/>
        <v>398</v>
      </c>
      <c r="P13" s="48">
        <v>398</v>
      </c>
    </row>
    <row r="14" spans="1:16" x14ac:dyDescent="0.35">
      <c r="C14">
        <f>SUM(C3:C13)</f>
        <v>10</v>
      </c>
      <c r="D14">
        <f t="shared" ref="D14:M14" si="1">SUM(D3:D13)</f>
        <v>4</v>
      </c>
      <c r="E14">
        <f t="shared" si="1"/>
        <v>1</v>
      </c>
      <c r="F14">
        <f t="shared" si="1"/>
        <v>1</v>
      </c>
      <c r="G14">
        <f t="shared" si="1"/>
        <v>11</v>
      </c>
      <c r="H14">
        <f t="shared" si="1"/>
        <v>6</v>
      </c>
      <c r="I14">
        <f t="shared" si="1"/>
        <v>28</v>
      </c>
      <c r="J14">
        <f t="shared" si="1"/>
        <v>152</v>
      </c>
      <c r="K14">
        <f t="shared" si="1"/>
        <v>38</v>
      </c>
      <c r="L14">
        <f t="shared" si="1"/>
        <v>0</v>
      </c>
      <c r="M14">
        <f t="shared" si="1"/>
        <v>395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28"/>
  <sheetViews>
    <sheetView topLeftCell="N1" workbookViewId="0">
      <pane ySplit="1" topLeftCell="A2" activePane="bottomLeft" state="frozen"/>
      <selection pane="bottomLeft" activeCell="M23" sqref="M23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5" t="s">
        <v>27</v>
      </c>
      <c r="Y1" s="55"/>
      <c r="Z1" s="55"/>
      <c r="AA1" s="55"/>
    </row>
    <row r="2" spans="1:27" ht="20" customHeight="1" x14ac:dyDescent="0.35">
      <c r="A2" s="51" t="s">
        <v>30</v>
      </c>
      <c r="B2" s="22">
        <v>4</v>
      </c>
      <c r="C2" s="22">
        <v>0</v>
      </c>
      <c r="D2" s="23">
        <f>B2/SUM(B2:B6)</f>
        <v>0.30769230769230771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2" t="s">
        <v>57</v>
      </c>
      <c r="K2" s="22">
        <v>25</v>
      </c>
      <c r="L2" s="22">
        <v>6</v>
      </c>
      <c r="M2" s="41">
        <f>K2/SUM(K2:K6)</f>
        <v>0.23148148148148148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B2+B8+B12+B17+B23+K2+K8+K12+K17+K23</f>
        <v>406</v>
      </c>
      <c r="Y2" s="21" t="s">
        <v>28</v>
      </c>
      <c r="Z2" s="47">
        <v>646</v>
      </c>
      <c r="AA2" s="28">
        <f>X2/Z2</f>
        <v>0.62848297213622295</v>
      </c>
    </row>
    <row r="3" spans="1:27" ht="20" customHeight="1" x14ac:dyDescent="0.35">
      <c r="A3" s="51"/>
      <c r="B3" s="18">
        <v>2</v>
      </c>
      <c r="C3" s="18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19" t="str">
        <f>ROUND(B3/SUM($B$2:$B$6)*100,0) &amp;"%"</f>
        <v>15%</v>
      </c>
      <c r="F3" s="26">
        <f t="shared" ref="F3:F6" si="3">VLOOKUP(C3,$S$1:$V$12,2,FALSE)</f>
        <v>0</v>
      </c>
      <c r="G3" s="26" t="str">
        <f t="shared" ref="G3:G6" si="4">VLOOKUP(C3,$S$1:$V$12,3,FALSE)</f>
        <v>Antes de 1983</v>
      </c>
      <c r="H3" s="26" t="str">
        <f t="shared" ref="H3:H6" si="5">VLOOKUP(C3,$S$1:$V$12,4,FALSE)</f>
        <v>Aço</v>
      </c>
      <c r="J3" s="53"/>
      <c r="K3" s="18">
        <v>3</v>
      </c>
      <c r="L3" s="18">
        <v>5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(Estrutura, Material)</v>
      </c>
      <c r="N3" s="19" t="str">
        <f>ROUND(K3/SUM($K$2:$K$6)*100,1) &amp;"%"</f>
        <v>2,8%</v>
      </c>
      <c r="O3" s="26" t="str">
        <f t="shared" si="0"/>
        <v>Pórtico</v>
      </c>
      <c r="P3" s="26" t="str">
        <f t="shared" si="1"/>
        <v>Antes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12</v>
      </c>
      <c r="Y3" s="21" t="s">
        <v>42</v>
      </c>
      <c r="Z3" s="42">
        <f>X3/$X$10</f>
        <v>0.36363636363636365</v>
      </c>
    </row>
    <row r="4" spans="1:27" ht="20" customHeight="1" x14ac:dyDescent="0.35">
      <c r="A4" s="51"/>
      <c r="B4" s="18">
        <v>1</v>
      </c>
      <c r="C4" s="18">
        <v>4</v>
      </c>
      <c r="D4" s="21" t="str">
        <f t="shared" ref="D4:D6" si="6">COUNTIF(F4,$F$2)+COUNTIF(G4,$G$2)+COUNTIF(H4,$H$2)&amp;" ("&amp; IF(F4=$F$2,"Estrutura, ","") &amp; IF(G4=$G$2,"Ano, ","") &amp;IF(H4=$H$2,"Material","") &amp; IF(OR(F4=$F$2,G4=$G$2,H4=$H$2),"","Nenhuma") &amp;")"</f>
        <v>0 (Nenhuma)</v>
      </c>
      <c r="E4" s="19" t="str">
        <f t="shared" ref="E4:E6" si="7">ROUND(B4/SUM($B$2:$B$6)*100,0) &amp;"%"</f>
        <v>8%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3"/>
      <c r="K4" s="18">
        <v>56</v>
      </c>
      <c r="L4" s="18">
        <v>7</v>
      </c>
      <c r="M4" s="21" t="str">
        <f t="shared" ref="M4:M6" si="8">COUNTIF(O4,$O$2)+COUNTIF(P4,$P$2)+COUNTIF(Q4,$Q$2)&amp;" ("&amp; IF(O4=$O$2,"Estrutura, ","") &amp; IF(P4=$P$2,"Ano, ","") &amp;IF(Q4=$Q$2,"Material","") &amp; IF(OR(O4=$O$2,P4=$P$2,Q4=$Q$2),"","Nenhuma") &amp;")"</f>
        <v>1 (Material)</v>
      </c>
      <c r="N4" s="19" t="str">
        <f>ROUND(K4/SUM($K$2:$K$6)*100,1) &amp;"%"</f>
        <v>51,9%</v>
      </c>
      <c r="O4" s="26" t="str">
        <f t="shared" ref="O4:O6" si="9">VLOOKUP(L4,$S$1:$V$12,2,FALSE)</f>
        <v>Tabuleiro simples/apoiado</v>
      </c>
      <c r="P4" s="26" t="str">
        <f t="shared" ref="P4:P6" si="10">VLOOKUP(L4,$S$1:$V$12,3,FALSE)</f>
        <v>Antes de 1983</v>
      </c>
      <c r="Q4" s="26" t="str">
        <f t="shared" ref="Q4:Q6" si="11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>COUNTIF($D:$D,Y4)+COUNTIF($M:$M,Y4)</f>
        <v>0</v>
      </c>
      <c r="Y4" s="21" t="s">
        <v>50</v>
      </c>
      <c r="Z4" s="42">
        <f t="shared" ref="Z4:Z9" si="12">X4/$X$10</f>
        <v>0</v>
      </c>
    </row>
    <row r="5" spans="1:27" ht="20" customHeight="1" x14ac:dyDescent="0.35">
      <c r="A5" s="51"/>
      <c r="B5" s="18">
        <v>5</v>
      </c>
      <c r="C5" s="18">
        <v>7</v>
      </c>
      <c r="D5" s="21" t="str">
        <f t="shared" si="6"/>
        <v>0 (Nenhuma)</v>
      </c>
      <c r="E5" s="19" t="str">
        <f t="shared" si="7"/>
        <v>38%</v>
      </c>
      <c r="F5" s="26" t="str">
        <f t="shared" si="3"/>
        <v>Tabuleiro simples/apoiado</v>
      </c>
      <c r="G5" s="26" t="str">
        <f t="shared" si="4"/>
        <v>Antes de 1983</v>
      </c>
      <c r="H5" s="26" t="str">
        <f t="shared" si="5"/>
        <v>Betão Armado</v>
      </c>
      <c r="J5" s="53"/>
      <c r="K5" s="18">
        <v>19</v>
      </c>
      <c r="L5" s="18">
        <v>8</v>
      </c>
      <c r="M5" s="21" t="str">
        <f t="shared" si="8"/>
        <v>2 (Ano, Material)</v>
      </c>
      <c r="N5" s="19" t="str">
        <f>ROUND(K5/SUM($K$2:$K$6)*100,1) &amp;"%"</f>
        <v>17,6%</v>
      </c>
      <c r="O5" s="26" t="str">
        <f t="shared" si="9"/>
        <v>Tabuleiro simples/apoiado</v>
      </c>
      <c r="P5" s="26" t="str">
        <f t="shared" si="10"/>
        <v>Depois de 1983</v>
      </c>
      <c r="Q5" s="26" t="str">
        <f t="shared" si="11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>COUNTIF($D:$D,Y5)+COUNTIF($M:$M,Y5)</f>
        <v>3</v>
      </c>
      <c r="Y5" s="21" t="s">
        <v>39</v>
      </c>
      <c r="Z5" s="42">
        <f t="shared" si="12"/>
        <v>9.0909090909090912E-2</v>
      </c>
    </row>
    <row r="6" spans="1:27" ht="20" customHeight="1" x14ac:dyDescent="0.35">
      <c r="A6" s="51"/>
      <c r="B6" s="18">
        <v>1</v>
      </c>
      <c r="C6" s="18">
        <v>10</v>
      </c>
      <c r="D6" s="21" t="str">
        <f t="shared" si="6"/>
        <v>0 (Nenhuma)</v>
      </c>
      <c r="E6" s="19" t="str">
        <f t="shared" si="7"/>
        <v>8%</v>
      </c>
      <c r="F6" s="26" t="str">
        <f t="shared" si="3"/>
        <v>Vãos Multiplos</v>
      </c>
      <c r="G6" s="26" t="str">
        <f t="shared" si="4"/>
        <v>Depois de 1983</v>
      </c>
      <c r="H6" s="26" t="str">
        <f t="shared" si="5"/>
        <v>Betão Armado</v>
      </c>
      <c r="J6" s="54"/>
      <c r="K6" s="18">
        <v>5</v>
      </c>
      <c r="L6" s="18">
        <v>10</v>
      </c>
      <c r="M6" s="21" t="str">
        <f t="shared" si="8"/>
        <v>2 (Ano, Material)</v>
      </c>
      <c r="N6" s="19" t="str">
        <f>ROUND(K6/SUM($K$2:$K$6)*100,1) &amp;"%"</f>
        <v>4,6%</v>
      </c>
      <c r="O6" s="26" t="str">
        <f t="shared" si="9"/>
        <v>Vãos Multiplos</v>
      </c>
      <c r="P6" s="26" t="str">
        <f t="shared" si="10"/>
        <v>Depois de 1983</v>
      </c>
      <c r="Q6" s="26" t="str">
        <f t="shared" si="11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>COUNTIF($D:$D,Y6)+COUNTIF($M:$M,Y6)</f>
        <v>6</v>
      </c>
      <c r="Y6" s="21" t="s">
        <v>51</v>
      </c>
      <c r="Z6" s="42">
        <f t="shared" si="12"/>
        <v>0.18181818181818182</v>
      </c>
    </row>
    <row r="7" spans="1:27" ht="20" customHeight="1" x14ac:dyDescent="0.35">
      <c r="B7" s="11"/>
      <c r="C7" s="11"/>
      <c r="D7" s="11"/>
      <c r="E7" s="11"/>
      <c r="F7" s="24"/>
      <c r="G7" s="24"/>
      <c r="S7" s="18">
        <v>5</v>
      </c>
      <c r="T7" s="21" t="s">
        <v>47</v>
      </c>
      <c r="U7" s="21" t="s">
        <v>35</v>
      </c>
      <c r="V7" s="21" t="s">
        <v>25</v>
      </c>
      <c r="X7" s="18">
        <f>COUNTIF($D:$D,Y7)+COUNTIF($M:$M,Y7)</f>
        <v>0</v>
      </c>
      <c r="Y7" s="21" t="s">
        <v>52</v>
      </c>
      <c r="Z7" s="42">
        <f t="shared" si="12"/>
        <v>0</v>
      </c>
    </row>
    <row r="8" spans="1:27" ht="20" customHeight="1" x14ac:dyDescent="0.35">
      <c r="A8" s="52" t="s">
        <v>31</v>
      </c>
      <c r="B8" s="22">
        <v>1</v>
      </c>
      <c r="C8" s="22">
        <v>1</v>
      </c>
      <c r="D8" s="23">
        <f>B8/SUM(B8:B10)</f>
        <v>0.2</v>
      </c>
      <c r="E8" s="40"/>
      <c r="F8" s="25" t="s">
        <v>55</v>
      </c>
      <c r="G8" s="25" t="str">
        <f>VLOOKUP(C8,$S$1:$V$12,3,FALSE)</f>
        <v>Antes de 1983</v>
      </c>
      <c r="H8" s="25" t="str">
        <f>VLOOKUP(C8,$S$1:$V$12,4,FALSE)</f>
        <v>Aço</v>
      </c>
      <c r="J8" s="52" t="s">
        <v>58</v>
      </c>
      <c r="K8" s="22">
        <v>14</v>
      </c>
      <c r="L8" s="22">
        <v>7</v>
      </c>
      <c r="M8" s="23">
        <f>K8/SUM(K8:K10)</f>
        <v>0.7</v>
      </c>
      <c r="N8" s="40"/>
      <c r="O8" s="25" t="str">
        <f t="shared" ref="O8:O10" si="13">VLOOKUP(L8,$S$1:$V$12,2,FALSE)</f>
        <v>Tabuleiro simples/apoiado</v>
      </c>
      <c r="P8" s="25" t="str">
        <f t="shared" ref="P8:P10" si="14">VLOOKUP(L8,$S$1:$V$12,3,FALSE)</f>
        <v>Antes de 1983</v>
      </c>
      <c r="Q8" s="25" t="str">
        <f t="shared" ref="Q8:Q10" si="15">VLOOKUP(L8,$S$1:$V$12,4,FALSE)</f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>COUNTIF($D:$D,Y8)+COUNTIF($M:$M,Y8)</f>
        <v>4</v>
      </c>
      <c r="Y8" s="21" t="s">
        <v>53</v>
      </c>
      <c r="Z8" s="42">
        <f t="shared" si="12"/>
        <v>0.12121212121212122</v>
      </c>
    </row>
    <row r="9" spans="1:27" ht="20" customHeight="1" x14ac:dyDescent="0.35">
      <c r="A9" s="53"/>
      <c r="B9" s="18">
        <v>1</v>
      </c>
      <c r="C9" s="18">
        <v>7</v>
      </c>
      <c r="D9" s="21" t="str">
        <f>COUNTIF(F9,$F$8)+COUNTIF(G9,$G$8)+COUNTIF(H9,$H$8)&amp;" ("&amp; IF(F9=$F$8,"Estrutura, ","") &amp; IF(G9=$G$8,"Ano, ","") &amp;IF(H9=$H$8,"Material","") &amp; IF(OR(F9=$F$8,G9=$G$8,H9=$H$8),"","Nenhuma") &amp;")"</f>
        <v>1 (Ano, )</v>
      </c>
      <c r="E9" s="19" t="str">
        <f>ROUND(B9/SUM($B$8:$B$10)*100,0) &amp;"%"</f>
        <v>20%</v>
      </c>
      <c r="F9" s="26" t="str">
        <f>VLOOKUP(C9,$S$1:$V$12,2,FALSE)</f>
        <v>Tabuleiro simples/apoiado</v>
      </c>
      <c r="G9" s="26" t="str">
        <f>VLOOKUP(C9,$S$1:$V$12,3,FALSE)</f>
        <v>Antes de 1983</v>
      </c>
      <c r="H9" s="26" t="str">
        <f>VLOOKUP(C9,$S$1:$V$12,4,FALSE)</f>
        <v>Betão Armado</v>
      </c>
      <c r="J9" s="53"/>
      <c r="K9" s="18">
        <v>1</v>
      </c>
      <c r="L9" s="18">
        <v>0</v>
      </c>
      <c r="M9" s="21" t="str">
        <f>COUNTIF(O9,$O$8)+COUNTIF(P9,$P$8)+COUNTIF(Q9,$Q$8)&amp;" ("&amp; IF(O9=$O$8,"Estrutura, ","") &amp; IF(P9=$P$8,"Ano, ","") &amp;IF(Q9=$Q$8,"Material","") &amp; IF(OR(O9=$O$8,P9=$P$8,Q9=$Q$8),"","Nenhuma") &amp;")"</f>
        <v>0 (Nenhuma)</v>
      </c>
      <c r="N9" s="19" t="str">
        <f>ROUND(K9/SUM($K$8:$K$10)*100,0) &amp;"%"</f>
        <v>5%</v>
      </c>
      <c r="O9" s="26">
        <f t="shared" si="13"/>
        <v>0</v>
      </c>
      <c r="P9" s="26">
        <f t="shared" si="14"/>
        <v>0</v>
      </c>
      <c r="Q9" s="26" t="str">
        <f t="shared" si="15"/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>COUNTIF($D:$D,Y9)+COUNTIF($M:$M,Y9)</f>
        <v>8</v>
      </c>
      <c r="Y9" s="21" t="s">
        <v>54</v>
      </c>
      <c r="Z9" s="42">
        <f t="shared" si="12"/>
        <v>0.24242424242424243</v>
      </c>
    </row>
    <row r="10" spans="1:27" ht="20" customHeight="1" x14ac:dyDescent="0.35">
      <c r="A10" s="54"/>
      <c r="B10" s="18">
        <v>3</v>
      </c>
      <c r="C10" s="18">
        <v>10</v>
      </c>
      <c r="D10" s="21" t="str">
        <f>COUNTIF(F10,$F$8)+COUNTIF(G10,$G$8)+COUNTIF(H10,$H$8)&amp;" ("&amp; IF(F10=$F$8,"Estrutura, ","") &amp; IF(G10=$G$8,"Ano, ","") &amp;IF(H10=$H$8,"Material","") &amp; IF(OR(F10=$F$8,G10=$G$8,H10=$H$8),"","Nenhuma") &amp;")"</f>
        <v>0 (Nenhuma)</v>
      </c>
      <c r="E10" s="19" t="str">
        <f>ROUND(B10/SUM($B$8:$B$10)*100,0) &amp;"%"</f>
        <v>60%</v>
      </c>
      <c r="F10" s="26" t="str">
        <f>VLOOKUP(C10,$S$1:$V$12,2,FALSE)</f>
        <v>Vãos Multiplos</v>
      </c>
      <c r="G10" s="26" t="str">
        <f>VLOOKUP(C10,$S$1:$V$12,3,FALSE)</f>
        <v>Depois de 1983</v>
      </c>
      <c r="H10" s="26" t="str">
        <f>VLOOKUP(C10,$S$1:$V$12,4,FALSE)</f>
        <v>Betão Armado</v>
      </c>
      <c r="J10" s="54"/>
      <c r="K10" s="18">
        <v>5</v>
      </c>
      <c r="L10" s="18">
        <v>10</v>
      </c>
      <c r="M10" s="21" t="str">
        <f>COUNTIF(O10,$O$8)+COUNTIF(P10,$P$8)+COUNTIF(Q10,$Q$8)&amp;" ("&amp; IF(O10=$O$8,"Estrutura, ","") &amp; IF(P10=$P$8,"Ano, ","") &amp;IF(Q10=$Q$8,"Material","") &amp; IF(OR(O10=$O$8,P10=$P$8,Q10=$Q$8),"","Nenhuma") &amp;")"</f>
        <v>1 (Material)</v>
      </c>
      <c r="N10" s="19" t="str">
        <f>ROUND(K10/SUM($K$8:$K$10)*100,0) &amp;"%"</f>
        <v>25%</v>
      </c>
      <c r="O10" s="26" t="str">
        <f t="shared" si="13"/>
        <v>Vãos Multiplos</v>
      </c>
      <c r="P10" s="26" t="str">
        <f t="shared" si="14"/>
        <v>Depois de 1983</v>
      </c>
      <c r="Q10" s="26" t="str">
        <f t="shared" si="15"/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33</v>
      </c>
    </row>
    <row r="11" spans="1:27" ht="20" customHeight="1" x14ac:dyDescent="0.35"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1" t="s">
        <v>32</v>
      </c>
      <c r="B12" s="22">
        <v>1</v>
      </c>
      <c r="C12" s="22">
        <v>2</v>
      </c>
      <c r="D12" s="23">
        <f>B12/SUM(B12:B15)</f>
        <v>0.125</v>
      </c>
      <c r="E12" s="40"/>
      <c r="F12" s="25" t="s">
        <v>55</v>
      </c>
      <c r="G12" s="25" t="str">
        <f>VLOOKUP(C12,$S$1:$V$12,3,FALSE)</f>
        <v>Depois de 1983</v>
      </c>
      <c r="H12" s="25" t="str">
        <f>VLOOKUP(C12,$S$1:$V$12,4,FALSE)</f>
        <v>Aço</v>
      </c>
      <c r="J12" s="51" t="s">
        <v>59</v>
      </c>
      <c r="K12" s="22">
        <v>12</v>
      </c>
      <c r="L12" s="22">
        <v>8</v>
      </c>
      <c r="M12" s="41">
        <f>K12/SUM(K12:K15)</f>
        <v>0.36363636363636365</v>
      </c>
      <c r="N12" s="40"/>
      <c r="O12" s="25" t="str">
        <f>VLOOKUP(L12,$S$1:$V$12,2,FALSE)</f>
        <v>Tabuleiro simples/apoiado</v>
      </c>
      <c r="P12" s="25" t="str">
        <f t="shared" ref="P12:P15" si="16">VLOOKUP(L12,$S$1:$V$12,3,FALSE)</f>
        <v>Depois de 1983</v>
      </c>
      <c r="Q12" s="25" t="str">
        <f t="shared" ref="Q12:Q15" si="17">VLOOKUP(L12,$S$1:$V$12,4,FALSE)</f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1"/>
      <c r="B13" s="18">
        <v>2</v>
      </c>
      <c r="C13" s="18">
        <v>4</v>
      </c>
      <c r="D13" s="21" t="str">
        <f>COUNTIF(F13,$F$12)+COUNTIF(G13,$G$12)+COUNTIF(H13,$H$12)&amp;" ("&amp; IF(F13=$F$12,"Estrutura, ","") &amp; IF(G13=$G$12,"Ano, ","") &amp;IF(H13=$H$12,"Material","") &amp; IF(OR(F13=$F$12,G13=$G$12,H13=$H$12),"","Nenhuma") &amp;")"</f>
        <v>1 (Ano, )</v>
      </c>
      <c r="E13" s="19" t="str">
        <f>ROUND(B13/SUM($B$12:$B$15)*100,0) &amp;"%"</f>
        <v>25%</v>
      </c>
      <c r="F13" s="26" t="str">
        <f>VLOOKUP(C13,$S$1:$V$12,2,FALSE)</f>
        <v>Arco</v>
      </c>
      <c r="G13" s="26" t="str">
        <f>VLOOKUP(C13,$S$1:$V$12,3,FALSE)</f>
        <v>Depois de 1983</v>
      </c>
      <c r="H13" s="26" t="str">
        <f>VLOOKUP(C13,$S$1:$V$12,4,FALSE)</f>
        <v>Betão Armado</v>
      </c>
      <c r="J13" s="51"/>
      <c r="K13" s="18">
        <v>1</v>
      </c>
      <c r="L13" s="18">
        <v>0</v>
      </c>
      <c r="M13" s="21" t="str">
        <f>COUNTIF(O13,$O$12)+COUNTIF(P13,$P$12)+COUNTIF(Q13,$Q$12)&amp;" ("&amp; IF(O13=$O$12,"Estrutura, ","") &amp; IF(P13=$P$12,"Ano, ","") &amp;IF(Q13=$Q$12,"Material","") &amp; IF(OR(O13=$O$12,P13=$P$12,Q13=$Q$12),"","Nenhuma") &amp;")"</f>
        <v>0 (Nenhuma)</v>
      </c>
      <c r="N13" s="19" t="str">
        <f>ROUND(K13/SUM($K$12:$K$15)*100,1) &amp;"%"</f>
        <v>3%</v>
      </c>
      <c r="O13" s="26">
        <f>VLOOKUP(L13,$S$1:$V$12,2,FALSE)</f>
        <v>0</v>
      </c>
      <c r="P13" s="26">
        <f t="shared" si="16"/>
        <v>0</v>
      </c>
      <c r="Q13" s="26" t="str">
        <f t="shared" si="17"/>
        <v>Alvenaria</v>
      </c>
    </row>
    <row r="14" spans="1:27" ht="20" customHeight="1" x14ac:dyDescent="0.35">
      <c r="A14" s="51"/>
      <c r="B14" s="18">
        <v>1</v>
      </c>
      <c r="C14" s="18">
        <v>5</v>
      </c>
      <c r="D14" s="21" t="str">
        <f>COUNTIF(F14,$F$12)+COUNTIF(G14,$G$12)+COUNTIF(H14,$H$12)&amp;" ("&amp; IF(F14=$F$12,"Estrutura, ","") &amp; IF(G14=$G$12,"Ano, ","") &amp;IF(H14=$H$12,"Material","") &amp; IF(OR(F14=$F$12,G14=$G$12,H14=$H$12),"","Nenhuma") &amp;")"</f>
        <v>0 (Nenhuma)</v>
      </c>
      <c r="E14" s="19" t="str">
        <f t="shared" ref="E14:E15" si="18">ROUND(B14/SUM($B$12:$B$15)*100,0) &amp;"%"</f>
        <v>13%</v>
      </c>
      <c r="F14" s="26" t="str">
        <f>VLOOKUP(C14,$S$1:$V$12,2,FALSE)</f>
        <v>Pórtico</v>
      </c>
      <c r="G14" s="26" t="str">
        <f>VLOOKUP(C14,$S$1:$V$12,3,FALSE)</f>
        <v>Antes de 1983</v>
      </c>
      <c r="H14" s="26" t="str">
        <f>VLOOKUP(C14,$S$1:$V$12,4,FALSE)</f>
        <v>Betão Armado</v>
      </c>
      <c r="J14" s="51"/>
      <c r="K14" s="18">
        <v>10</v>
      </c>
      <c r="L14" s="18">
        <v>7</v>
      </c>
      <c r="M14" s="21" t="str">
        <f>COUNTIF(O14,$O$12)+COUNTIF(P14,$P$12)+COUNTIF(Q14,$Q$12)&amp;" ("&amp; IF(O14=$O$12,"Estrutura, ","") &amp; IF(P14=$P$12,"Ano, ","") &amp;IF(Q14=$Q$12,"Material","") &amp; IF(OR(O14=$O$12,P14=$P$12,Q14=$Q$12),"","Nenhuma") &amp;")"</f>
        <v>2 (Estrutura, Material)</v>
      </c>
      <c r="N14" s="19" t="str">
        <f>ROUND(K14/SUM($K$12:$K$15)*100,1) &amp;"%"</f>
        <v>30,3%</v>
      </c>
      <c r="O14" s="26" t="str">
        <f t="shared" ref="O14:O15" si="19">VLOOKUP(L14,$S$1:$V$12,2,FALSE)</f>
        <v>Tabuleiro simples/apoiado</v>
      </c>
      <c r="P14" s="26" t="str">
        <f t="shared" si="16"/>
        <v>Antes de 1983</v>
      </c>
      <c r="Q14" s="26" t="str">
        <f t="shared" si="17"/>
        <v>Betão Armado</v>
      </c>
    </row>
    <row r="15" spans="1:27" ht="20" customHeight="1" x14ac:dyDescent="0.35">
      <c r="A15" s="51"/>
      <c r="B15" s="18">
        <v>4</v>
      </c>
      <c r="C15" s="18">
        <v>7</v>
      </c>
      <c r="D15" s="21" t="str">
        <f>COUNTIF(F15,$F$12)+COUNTIF(G15,$G$12)+COUNTIF(H15,$H$12)&amp;" ("&amp; IF(F15=$F$12,"Estrutura, ","") &amp; IF(G15=$G$12,"Ano, ","") &amp;IF(H15=$H$12,"Material","") &amp; IF(OR(F15=$F$12,G15=$G$12,H15=$H$12),"","Nenhuma") &amp;")"</f>
        <v>0 (Nenhuma)</v>
      </c>
      <c r="E15" s="19" t="str">
        <f t="shared" si="18"/>
        <v>50%</v>
      </c>
      <c r="F15" s="26" t="str">
        <f>VLOOKUP(C15,$S$1:$V$12,2,FALSE)</f>
        <v>Tabuleiro simples/apoiado</v>
      </c>
      <c r="G15" s="26" t="str">
        <f>VLOOKUP(C15,$S$1:$V$12,3,FALSE)</f>
        <v>Antes de 1983</v>
      </c>
      <c r="H15" s="26" t="str">
        <f>VLOOKUP(C15,$S$1:$V$12,4,FALSE)</f>
        <v>Betão Armado</v>
      </c>
      <c r="J15" s="51"/>
      <c r="K15" s="18">
        <v>10</v>
      </c>
      <c r="L15" s="18">
        <v>10</v>
      </c>
      <c r="M15" s="21" t="str">
        <f>COUNTIF(O15,$O$12)+COUNTIF(P15,$P$12)+COUNTIF(Q15,$Q$12)&amp;" ("&amp; IF(O15=$O$12,"Estrutura, ","") &amp; IF(P15=$P$12,"Ano, ","") &amp;IF(Q15=$Q$12,"Material","") &amp; IF(OR(O15=$O$12,P15=$P$12,Q15=$Q$12),"","Nenhuma") &amp;")"</f>
        <v>2 (Ano, Material)</v>
      </c>
      <c r="N15" s="19" t="str">
        <f>ROUND(K15/SUM($K$12:$K$15)*100,1) &amp;"%"</f>
        <v>30,3%</v>
      </c>
      <c r="O15" s="26" t="str">
        <f t="shared" si="19"/>
        <v>Vãos Multiplos</v>
      </c>
      <c r="P15" s="26" t="str">
        <f t="shared" si="16"/>
        <v>Depois de 1983</v>
      </c>
      <c r="Q15" s="26" t="str">
        <f t="shared" si="17"/>
        <v>Betão Armado</v>
      </c>
    </row>
    <row r="17" spans="1:17" ht="20" customHeight="1" x14ac:dyDescent="0.35">
      <c r="A17" s="51" t="s">
        <v>37</v>
      </c>
      <c r="B17" s="22">
        <v>1</v>
      </c>
      <c r="C17" s="22">
        <v>3</v>
      </c>
      <c r="D17" s="23">
        <f>B17/SUM(B17:B21)</f>
        <v>0.2</v>
      </c>
      <c r="E17" s="40"/>
      <c r="F17" s="25" t="str">
        <f>VLOOKUP(C17,$S$1:$V$12,2,FALSE)</f>
        <v>Arco</v>
      </c>
      <c r="G17" s="25" t="str">
        <f>VLOOKUP(C17,$S$1:$V$12,3,FALSE)</f>
        <v>Antes de 1983</v>
      </c>
      <c r="H17" s="25" t="str">
        <f>VLOOKUP(C17,$S$1:$V$12,4,FALSE)</f>
        <v>Betão Armado</v>
      </c>
      <c r="J17" s="52" t="s">
        <v>60</v>
      </c>
      <c r="K17" s="22">
        <v>0</v>
      </c>
      <c r="L17" s="22">
        <v>9</v>
      </c>
      <c r="M17" s="41">
        <f>K17/SUM(K17:K21)</f>
        <v>0</v>
      </c>
      <c r="N17" s="40"/>
      <c r="O17" s="25" t="str">
        <f>VLOOKUP(L17,$S$1:$V$12,2,FALSE)</f>
        <v>Vãos Multiplos</v>
      </c>
      <c r="P17" s="25" t="str">
        <f t="shared" ref="P17:P21" si="20">VLOOKUP(L17,$S$1:$V$12,3,FALSE)</f>
        <v>Antes de 1983</v>
      </c>
      <c r="Q17" s="25" t="str">
        <f t="shared" ref="Q17:Q21" si="21">VLOOKUP(L17,$S$1:$V$12,4,FALSE)</f>
        <v>Betão Armado</v>
      </c>
    </row>
    <row r="18" spans="1:17" ht="20" customHeight="1" x14ac:dyDescent="0.35">
      <c r="A18" s="51"/>
      <c r="B18" s="18">
        <v>1</v>
      </c>
      <c r="C18" s="18">
        <v>0</v>
      </c>
      <c r="D18" s="21" t="str">
        <f>COUNTIF(F18,$F$17)+COUNTIF(G18,$G$17)+COUNTIF(H18,$H$17)&amp;" ("&amp; IF(F18=$F$17,"Estrutura, ","") &amp; IF(G18=$G$17,"Ano, ","") &amp;IF(H18=$H$17,"Material","") &amp; IF(OR(F18=$F$17,G18=$G$17,H18=$H$17),"","Nenhuma") &amp;")"</f>
        <v>0 (Nenhuma)</v>
      </c>
      <c r="E18" s="19" t="str">
        <f>ROUND(B18/SUM($B$17:$B$21)*100,0) &amp;"%"</f>
        <v>20%</v>
      </c>
      <c r="F18" s="26">
        <f>VLOOKUP(C18,$S$1:$V$12,2,FALSE)</f>
        <v>0</v>
      </c>
      <c r="G18" s="26">
        <f>VLOOKUP(C18,$S$1:$V$12,3,FALSE)</f>
        <v>0</v>
      </c>
      <c r="H18" s="26" t="str">
        <f>VLOOKUP(C18,$S$1:$V$12,4,FALSE)</f>
        <v>Alvenaria</v>
      </c>
      <c r="J18" s="53"/>
      <c r="K18" s="18">
        <v>1</v>
      </c>
      <c r="L18" s="18">
        <v>0</v>
      </c>
      <c r="M18" s="21" t="str">
        <f>COUNTIF(O18,$O$17)+COUNTIF(P18,$P$17)+COUNTIF(Q18,$Q$17)&amp;" ("&amp; IF(O18=$O$17,"Estrutura, ","") &amp; IF(P18=$P$17,"Ano, ","") &amp;IF(Q18=$Q$17,"Material","") &amp; IF(OR(O18=$O$17,P18=$P$17,Q18=$Q$17),"","Nenhuma") &amp;")"</f>
        <v>0 (Nenhuma)</v>
      </c>
      <c r="N18" s="19" t="str">
        <f>ROUND(K18/SUM($K$17:$K$21)*100,1) &amp;"%"</f>
        <v>2,7%</v>
      </c>
      <c r="O18" s="26">
        <f>VLOOKUP(L18,$S$1:$V$12,2,FALSE)</f>
        <v>0</v>
      </c>
      <c r="P18" s="26">
        <f t="shared" si="20"/>
        <v>0</v>
      </c>
      <c r="Q18" s="26" t="str">
        <f t="shared" si="21"/>
        <v>Alvenaria</v>
      </c>
    </row>
    <row r="19" spans="1:17" ht="20" customHeight="1" x14ac:dyDescent="0.35">
      <c r="A19" s="51"/>
      <c r="B19" s="18">
        <v>1</v>
      </c>
      <c r="C19" s="18">
        <v>1</v>
      </c>
      <c r="D19" s="21" t="str">
        <f>COUNTIF(F19,$F$17)+COUNTIF(G19,$G$17)+COUNTIF(H19,$H$17)&amp;" ("&amp; IF(F19=$F$17,"Estrutura, ","") &amp; IF(G19=$G$17,"Ano, ","") &amp;IF(H19=$H$17,"Material","") &amp; IF(OR(F19=$F$17,G19=$G$17,H19=$H$17),"","Nenhuma") &amp;")"</f>
        <v>1 (Ano, )</v>
      </c>
      <c r="E19" s="19" t="str">
        <f>ROUND(B19/SUM($B$17:$B$21)*100,0) &amp;"%"</f>
        <v>20%</v>
      </c>
      <c r="F19" s="26">
        <f>VLOOKUP(C19,$S$1:$V$12,2,FALSE)</f>
        <v>0</v>
      </c>
      <c r="G19" s="26" t="str">
        <f>VLOOKUP(C19,$S$1:$V$12,3,FALSE)</f>
        <v>Antes de 1983</v>
      </c>
      <c r="H19" s="26" t="str">
        <f>VLOOKUP(C19,$S$1:$V$12,4,FALSE)</f>
        <v>Aço</v>
      </c>
      <c r="J19" s="53"/>
      <c r="K19" s="18">
        <v>7</v>
      </c>
      <c r="L19" s="18">
        <v>7</v>
      </c>
      <c r="M19" s="21" t="str">
        <f>COUNTIF(O19,$O$17)+COUNTIF(P19,$P$17)+COUNTIF(Q19,$Q$17)&amp;" ("&amp; IF(O19=$O$17,"Estrutura, ","") &amp; IF(P19=$P$17,"Ano, ","") &amp;IF(Q19=$Q$17,"Material","") &amp; IF(OR(O19=$O$17,P19=$P$17,Q19=$Q$17),"","Nenhuma") &amp;")"</f>
        <v>2 (Ano, Material)</v>
      </c>
      <c r="N19" s="19" t="str">
        <f>ROUND(K19/SUM($K$17:$K$21)*100,1) &amp;"%"</f>
        <v>18,9%</v>
      </c>
      <c r="O19" s="26" t="str">
        <f t="shared" ref="O19:O21" si="22">VLOOKUP(L19,$S$1:$V$12,2,FALSE)</f>
        <v>Tabuleiro simples/apoiado</v>
      </c>
      <c r="P19" s="26" t="str">
        <f t="shared" si="20"/>
        <v>Antes de 1983</v>
      </c>
      <c r="Q19" s="26" t="str">
        <f t="shared" si="21"/>
        <v>Betão Armado</v>
      </c>
    </row>
    <row r="20" spans="1:17" ht="20" customHeight="1" x14ac:dyDescent="0.35">
      <c r="A20" s="51"/>
      <c r="B20" s="18">
        <v>1</v>
      </c>
      <c r="C20" s="18">
        <v>7</v>
      </c>
      <c r="D20" s="21" t="str">
        <f>COUNTIF(F20,$F$17)+COUNTIF(G20,$G$17)+COUNTIF(H20,$H$17)&amp;" ("&amp; IF(F20=$F$17,"Estrutura, ","") &amp; IF(G20=$G$17,"Ano, ","") &amp;IF(H20=$H$17,"Material","") &amp; IF(OR(F20=$F$17,G20=$G$17,H20=$H$17),"","Nenhuma") &amp;")"</f>
        <v>2 (Ano, Material)</v>
      </c>
      <c r="E20" s="19" t="str">
        <f>ROUND(B20/SUM($B$17:$B$21)*100,0) &amp;"%"</f>
        <v>20%</v>
      </c>
      <c r="F20" s="26" t="str">
        <f>VLOOKUP(C20,$S$1:$V$12,2,FALSE)</f>
        <v>Tabuleiro simples/apoiado</v>
      </c>
      <c r="G20" s="26" t="str">
        <f>VLOOKUP(C20,$S$1:$V$12,3,FALSE)</f>
        <v>Antes de 1983</v>
      </c>
      <c r="H20" s="26" t="str">
        <f>VLOOKUP(C20,$S$1:$V$12,4,FALSE)</f>
        <v>Betão Armado</v>
      </c>
      <c r="J20" s="53"/>
      <c r="K20" s="18">
        <v>2</v>
      </c>
      <c r="L20" s="18">
        <v>8</v>
      </c>
      <c r="M20" s="21" t="str">
        <f>COUNTIF(O20,$O$17)+COUNTIF(P20,$P$17)+COUNTIF(Q20,$Q$17)&amp;" ("&amp; IF(O20=$O$17,"Estrutura, ","") &amp; IF(P20=$P$17,"Ano, ","") &amp;IF(Q20=$Q$17,"Material","") &amp; IF(OR(O20=$O$17,P20=$P$17,Q20=$Q$17),"","Nenhuma") &amp;")"</f>
        <v>1 (Material)</v>
      </c>
      <c r="N20" s="19" t="str">
        <f>ROUND(K20/SUM($K$17:$K$21)*100,1) &amp;"%"</f>
        <v>5,4%</v>
      </c>
      <c r="O20" s="26" t="str">
        <f t="shared" si="22"/>
        <v>Tabuleiro simples/apoiado</v>
      </c>
      <c r="P20" s="26" t="str">
        <f t="shared" si="20"/>
        <v>Depois de 1983</v>
      </c>
      <c r="Q20" s="26" t="str">
        <f t="shared" si="21"/>
        <v>Betão Armado</v>
      </c>
    </row>
    <row r="21" spans="1:17" ht="20" customHeight="1" x14ac:dyDescent="0.35">
      <c r="A21" s="51"/>
      <c r="B21" s="18">
        <v>1</v>
      </c>
      <c r="C21" s="18">
        <v>10</v>
      </c>
      <c r="D21" s="21" t="str">
        <f>COUNTIF(F21,$F$17)+COUNTIF(G21,$G$17)+COUNTIF(H21,$H$17)&amp;" ("&amp; IF(F21=$F$17,"Estrutura, ","") &amp; IF(G21=$G$17,"Ano, ","") &amp;IF(H21=$H$17,"Material","") &amp; IF(OR(F21=$F$17,G21=$G$17,H21=$H$17),"","Nenhuma") &amp;")"</f>
        <v>1 (Material)</v>
      </c>
      <c r="E21" s="19" t="str">
        <f>ROUND(B21/SUM($B$17:$B$21)*100,0) &amp;"%"</f>
        <v>20%</v>
      </c>
      <c r="F21" s="26" t="str">
        <f>VLOOKUP(C21,$S$1:$V$12,2,FALSE)</f>
        <v>Vãos Multiplos</v>
      </c>
      <c r="G21" s="26" t="str">
        <f>VLOOKUP(C21,$S$1:$V$12,3,FALSE)</f>
        <v>Depois de 1983</v>
      </c>
      <c r="H21" s="26" t="str">
        <f>VLOOKUP(C21,$S$1:$V$12,4,FALSE)</f>
        <v>Betão Armado</v>
      </c>
      <c r="J21" s="54"/>
      <c r="K21" s="18">
        <v>27</v>
      </c>
      <c r="L21" s="18">
        <v>10</v>
      </c>
      <c r="M21" s="21" t="str">
        <f>COUNTIF(O21,$O$17)+COUNTIF(P21,$P$17)+COUNTIF(Q21,$Q$17)&amp;" ("&amp; IF(O21=$O$17,"Estrutura, ","") &amp; IF(P21=$P$17,"Ano, ","") &amp;IF(Q21=$Q$17,"Material","") &amp; IF(OR(O21=$O$17,P21=$P$17,Q21=$Q$17),"","Nenhuma") &amp;")"</f>
        <v>2 (Estrutura, Material)</v>
      </c>
      <c r="N21" s="19" t="str">
        <f>ROUND(K21/SUM($K$17:$K$21)*100,1) &amp;"%"</f>
        <v>73%</v>
      </c>
      <c r="O21" s="26" t="str">
        <f t="shared" si="22"/>
        <v>Vãos Multiplos</v>
      </c>
      <c r="P21" s="26" t="str">
        <f t="shared" si="20"/>
        <v>Depois de 1983</v>
      </c>
      <c r="Q21" s="26" t="str">
        <f t="shared" si="21"/>
        <v>Betão Armado</v>
      </c>
    </row>
    <row r="23" spans="1:17" ht="20" customHeight="1" x14ac:dyDescent="0.35">
      <c r="A23" s="44" t="s">
        <v>38</v>
      </c>
      <c r="B23" s="22">
        <v>8</v>
      </c>
      <c r="C23" s="22">
        <v>4</v>
      </c>
      <c r="D23" s="41">
        <f>B23/SUM(B23:B23)</f>
        <v>1</v>
      </c>
      <c r="E23" s="40"/>
      <c r="F23" s="25" t="str">
        <f>VLOOKUP(C23,$S$1:$V$12,2,FALSE)</f>
        <v>Arco</v>
      </c>
      <c r="G23" s="25" t="str">
        <f>VLOOKUP(C23,$S$1:$V$12,3,FALSE)</f>
        <v>Depois de 1983</v>
      </c>
      <c r="H23" s="25" t="str">
        <f>VLOOKUP(C23,$S$1:$V$12,4,FALSE)</f>
        <v>Betão Armado</v>
      </c>
      <c r="J23" s="52" t="s">
        <v>61</v>
      </c>
      <c r="K23" s="22">
        <v>340</v>
      </c>
      <c r="L23" s="22">
        <v>10</v>
      </c>
      <c r="M23" s="41">
        <f>K23/SUM(K23:K27)</f>
        <v>0.85427135678391963</v>
      </c>
      <c r="N23" s="40"/>
      <c r="O23" s="25" t="str">
        <f>VLOOKUP(L23,$S$1:$V$12,2,FALSE)</f>
        <v>Vãos Multiplos</v>
      </c>
      <c r="P23" s="25" t="str">
        <f t="shared" ref="P23:P27" si="23">VLOOKUP(L23,$S$1:$V$12,3,FALSE)</f>
        <v>Depois de 1983</v>
      </c>
      <c r="Q23" s="25" t="str">
        <f t="shared" ref="Q23:Q27" si="24">VLOOKUP(L23,$S$1:$V$12,4,FALSE)</f>
        <v>Betão Armado</v>
      </c>
    </row>
    <row r="24" spans="1:17" ht="20" customHeight="1" x14ac:dyDescent="0.35">
      <c r="J24" s="53"/>
      <c r="K24" s="18">
        <v>2</v>
      </c>
      <c r="L24" s="18">
        <v>0</v>
      </c>
      <c r="M24" s="21" t="str">
        <f>COUNTIF(O24,$O$23)+COUNTIF(P24,$P$23)+COUNTIF(Q24,$Q$23)&amp;" ("&amp; IF(O24=$O$23,"Estrutura, ","") &amp; IF(P24=$P$23,"Ano, ","") &amp;IF(Q24=$Q$23,"Material","") &amp; IF(OR(O24=$O$23,P24=$P$23,Q24=$Q$23),"","Nenhuma") &amp;")"</f>
        <v>0 (Nenhuma)</v>
      </c>
      <c r="N24" s="19" t="str">
        <f>ROUND(K24/SUM($K$23:$K$27)*100,1) &amp;"%"</f>
        <v>0,5%</v>
      </c>
      <c r="O24" s="26">
        <f>VLOOKUP(L24,$S$1:$V$12,2,FALSE)</f>
        <v>0</v>
      </c>
      <c r="P24" s="26">
        <f t="shared" si="23"/>
        <v>0</v>
      </c>
      <c r="Q24" s="26" t="str">
        <f t="shared" si="24"/>
        <v>Alvenaria</v>
      </c>
    </row>
    <row r="25" spans="1:17" ht="20" customHeight="1" x14ac:dyDescent="0.35">
      <c r="A25" s="51" t="s">
        <v>56</v>
      </c>
      <c r="B25" s="22">
        <v>2</v>
      </c>
      <c r="C25" s="22">
        <v>5</v>
      </c>
      <c r="D25" s="23">
        <f>B25/SUM(B25:B28)</f>
        <v>0.18181818181818182</v>
      </c>
      <c r="E25" s="40"/>
      <c r="F25" s="25" t="str">
        <f t="shared" ref="F25:F28" si="25">VLOOKUP(C25,$S$1:$V$12,2,FALSE)</f>
        <v>Pórtico</v>
      </c>
      <c r="G25" s="25" t="str">
        <f t="shared" ref="G25:G28" si="26">VLOOKUP(C25,$S$1:$V$12,3,FALSE)</f>
        <v>Antes de 1983</v>
      </c>
      <c r="H25" s="25" t="str">
        <f t="shared" ref="H25:H28" si="27">VLOOKUP(C25,$S$1:$V$12,4,FALSE)</f>
        <v>Betão Armado</v>
      </c>
      <c r="J25" s="53"/>
      <c r="K25" s="18">
        <v>2</v>
      </c>
      <c r="L25" s="18">
        <v>6</v>
      </c>
      <c r="M25" s="21" t="str">
        <f>COUNTIF(O25,$O$23)+COUNTIF(P25,$P$23)+COUNTIF(Q25,$Q$23)&amp;" ("&amp; IF(O25=$O$23,"Estrutura, ","") &amp; IF(P25=$P$23,"Ano, ","") &amp;IF(Q25=$Q$23,"Material","") &amp; IF(OR(O25=$O$23,P25=$P$23,Q25=$Q$23),"","Nenhuma") &amp;")"</f>
        <v>2 (Ano, Material)</v>
      </c>
      <c r="N25" s="19" t="str">
        <f>ROUND(K25/SUM($K$23:$K$27)*100,1) &amp;"%"</f>
        <v>0,5%</v>
      </c>
      <c r="O25" s="26" t="str">
        <f t="shared" ref="O25:O27" si="28">VLOOKUP(L25,$S$1:$V$12,2,FALSE)</f>
        <v>Pórtico</v>
      </c>
      <c r="P25" s="26" t="str">
        <f t="shared" si="23"/>
        <v>Depois de 1983</v>
      </c>
      <c r="Q25" s="26" t="str">
        <f t="shared" si="24"/>
        <v>Betão Armado</v>
      </c>
    </row>
    <row r="26" spans="1:17" ht="20" customHeight="1" x14ac:dyDescent="0.35">
      <c r="A26" s="51"/>
      <c r="B26" s="18">
        <v>1</v>
      </c>
      <c r="C26" s="18">
        <v>6</v>
      </c>
      <c r="D26" s="21" t="str">
        <f>COUNTIF(F26,$F$25)+COUNTIF(G26,$G$25)+COUNTIF(H26,$H$25)&amp;" ("&amp; IF(F26=$F$25,"Estrutura, ","") &amp; IF(G26=$G$25,"Ano, ","") &amp;IF(H26=$H$25,"Material","") &amp; IF(OR(F26=$F$25,G26=$G$25,H26=$H$25),"","Nenhuma") &amp;")"</f>
        <v>2 (Estrutura, Material)</v>
      </c>
      <c r="E26" s="19" t="str">
        <f>ROUND(B26/SUM($B$25:$B$28)*100,0) &amp;"%"</f>
        <v>9%</v>
      </c>
      <c r="F26" s="26" t="str">
        <f t="shared" si="25"/>
        <v>Pórtico</v>
      </c>
      <c r="G26" s="26" t="str">
        <f t="shared" si="26"/>
        <v>Depois de 1983</v>
      </c>
      <c r="H26" s="26" t="str">
        <f t="shared" si="27"/>
        <v>Betão Armado</v>
      </c>
      <c r="J26" s="53"/>
      <c r="K26" s="18">
        <v>49</v>
      </c>
      <c r="L26" s="18">
        <v>7</v>
      </c>
      <c r="M26" s="21" t="str">
        <f>COUNTIF(O26,$O$23)+COUNTIF(P26,$P$23)+COUNTIF(Q26,$Q$23)&amp;" ("&amp; IF(O26=$O$23,"Estrutura, ","") &amp; IF(P26=$P$23,"Ano, ","") &amp;IF(Q26=$Q$23,"Material","") &amp; IF(OR(O26=$O$23,P26=$P$23,Q26=$Q$23),"","Nenhuma") &amp;")"</f>
        <v>1 (Material)</v>
      </c>
      <c r="N26" s="19" t="str">
        <f>ROUND(K26/SUM($K$23:$K$27)*100,1) &amp;"%"</f>
        <v>12,3%</v>
      </c>
      <c r="O26" s="26" t="str">
        <f t="shared" si="28"/>
        <v>Tabuleiro simples/apoiado</v>
      </c>
      <c r="P26" s="26" t="str">
        <f t="shared" si="23"/>
        <v>Antes de 1983</v>
      </c>
      <c r="Q26" s="26" t="str">
        <f t="shared" si="24"/>
        <v>Betão Armado</v>
      </c>
    </row>
    <row r="27" spans="1:17" ht="20" customHeight="1" x14ac:dyDescent="0.35">
      <c r="A27" s="51"/>
      <c r="B27" s="18">
        <v>5</v>
      </c>
      <c r="C27" s="18">
        <v>7</v>
      </c>
      <c r="D27" s="21" t="str">
        <f>COUNTIF(F27,$F$25)+COUNTIF(G27,$G$25)+COUNTIF(H27,$H$25)&amp;" ("&amp; IF(F27=$F$25,"Estrutura, ","") &amp; IF(G27=$G$25,"Ano, ","") &amp;IF(H27=$H$25,"Material","") &amp; IF(OR(F27=$F$25,G27=$G$25,H27=$H$25),"","Nenhuma") &amp;")"</f>
        <v>2 (Ano, Material)</v>
      </c>
      <c r="E27" s="19" t="str">
        <f>ROUND(B27/SUM($B$25:$B$28)*100,0) &amp;"%"</f>
        <v>45%</v>
      </c>
      <c r="F27" s="26" t="str">
        <f t="shared" si="25"/>
        <v>Tabuleiro simples/apoiado</v>
      </c>
      <c r="G27" s="26" t="str">
        <f t="shared" si="26"/>
        <v>Antes de 1983</v>
      </c>
      <c r="H27" s="26" t="str">
        <f t="shared" si="27"/>
        <v>Betão Armado</v>
      </c>
      <c r="J27" s="54"/>
      <c r="K27" s="18">
        <v>5</v>
      </c>
      <c r="L27" s="18">
        <v>8</v>
      </c>
      <c r="M27" s="21" t="str">
        <f>COUNTIF(O27,$O$23)+COUNTIF(P27,$P$23)+COUNTIF(Q27,$Q$23)&amp;" ("&amp; IF(O27=$O$23,"Estrutura, ","") &amp; IF(P27=$P$23,"Ano, ","") &amp;IF(Q27=$Q$23,"Material","") &amp; IF(OR(O27=$O$23,P27=$P$23,Q27=$Q$23),"","Nenhuma") &amp;")"</f>
        <v>2 (Ano, Material)</v>
      </c>
      <c r="N27" s="19" t="str">
        <f>ROUND(K27/SUM($K$23:$K$27)*100,1) &amp;"%"</f>
        <v>1,3%</v>
      </c>
      <c r="O27" s="26" t="str">
        <f t="shared" si="28"/>
        <v>Tabuleiro simples/apoiado</v>
      </c>
      <c r="P27" s="26" t="str">
        <f t="shared" si="23"/>
        <v>Depois de 1983</v>
      </c>
      <c r="Q27" s="26" t="str">
        <f t="shared" si="24"/>
        <v>Betão Armado</v>
      </c>
    </row>
    <row r="28" spans="1:17" ht="20" customHeight="1" x14ac:dyDescent="0.35">
      <c r="A28" s="51"/>
      <c r="B28" s="18">
        <v>3</v>
      </c>
      <c r="C28" s="18">
        <v>10</v>
      </c>
      <c r="D28" s="21" t="str">
        <f>COUNTIF(F28,$F$25)+COUNTIF(G28,$G$25)+COUNTIF(H28,$H$25)&amp;" ("&amp; IF(F28=$F$25,"Estrutura, ","") &amp; IF(G28=$G$25,"Ano, ","") &amp;IF(H28=$H$25,"Material","") &amp; IF(OR(F28=$F$25,G28=$G$25,H28=$H$25),"","Nenhuma") &amp;")"</f>
        <v>1 (Material)</v>
      </c>
      <c r="E28" s="19" t="str">
        <f>ROUND(B28/SUM($B$25:$B$28)*100,0) &amp;"%"</f>
        <v>27%</v>
      </c>
      <c r="F28" s="26" t="str">
        <f t="shared" si="25"/>
        <v>Vãos Multiplos</v>
      </c>
      <c r="G28" s="26" t="str">
        <f t="shared" si="26"/>
        <v>Depois de 1983</v>
      </c>
      <c r="H28" s="26" t="str">
        <f t="shared" si="27"/>
        <v>Betão Armado</v>
      </c>
    </row>
  </sheetData>
  <mergeCells count="11">
    <mergeCell ref="J17:J21"/>
    <mergeCell ref="J23:J27"/>
    <mergeCell ref="X1:AA1"/>
    <mergeCell ref="A17:A21"/>
    <mergeCell ref="A2:A6"/>
    <mergeCell ref="A8:A10"/>
    <mergeCell ref="A12:A15"/>
    <mergeCell ref="A25:A28"/>
    <mergeCell ref="J2:J6"/>
    <mergeCell ref="J8:J10"/>
    <mergeCell ref="J12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D7" sqref="D7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0.97678018575851389</v>
      </c>
      <c r="C2" s="2">
        <v>0.4</v>
      </c>
      <c r="D2" s="2">
        <v>0.30769230769230771</v>
      </c>
      <c r="E2" s="2">
        <v>0.34782608695652167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x14ac:dyDescent="0.35">
      <c r="A3" s="15">
        <v>1</v>
      </c>
      <c r="B3" s="2">
        <v>0.98916408668730649</v>
      </c>
      <c r="C3" s="2">
        <v>0.25</v>
      </c>
      <c r="D3" s="2">
        <v>0.2</v>
      </c>
      <c r="E3" s="2">
        <v>0.22222222222222221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Muito Baixo</v>
      </c>
      <c r="K3"/>
    </row>
    <row r="4" spans="1:11" x14ac:dyDescent="0.35">
      <c r="A4" s="37">
        <v>2</v>
      </c>
      <c r="B4" s="43">
        <v>0.98916408668730649</v>
      </c>
      <c r="C4" s="43">
        <v>1</v>
      </c>
      <c r="D4" s="43">
        <v>0.125</v>
      </c>
      <c r="E4" s="43">
        <v>0.22222222222222221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Baixo</v>
      </c>
      <c r="K4"/>
    </row>
    <row r="5" spans="1:11" x14ac:dyDescent="0.35">
      <c r="A5" s="38">
        <v>3</v>
      </c>
      <c r="B5" s="2">
        <v>0.99380804953560375</v>
      </c>
      <c r="C5" s="2">
        <v>1</v>
      </c>
      <c r="D5" s="2">
        <v>0.2</v>
      </c>
      <c r="E5" s="2">
        <v>0.33333333333333343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x14ac:dyDescent="0.35">
      <c r="A6" s="15">
        <v>4</v>
      </c>
      <c r="B6" s="2">
        <v>0.99535603715170273</v>
      </c>
      <c r="C6" s="2">
        <v>0.72727272727272729</v>
      </c>
      <c r="D6" s="2">
        <v>1</v>
      </c>
      <c r="E6" s="2">
        <v>0.8421052631578948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Boa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0.97987616099071206</v>
      </c>
      <c r="C7" s="2">
        <v>0.33333333333333331</v>
      </c>
      <c r="D7" s="2">
        <v>0.1818181818181818</v>
      </c>
      <c r="E7" s="2">
        <v>0.23529411764705879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0.86687306501547989</v>
      </c>
      <c r="C8" s="2">
        <v>0.8928571428571429</v>
      </c>
      <c r="D8" s="2">
        <v>0.23148148148148151</v>
      </c>
      <c r="E8" s="2">
        <v>0.36764705882352938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Boa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Baixo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Baixo</v>
      </c>
      <c r="K8"/>
    </row>
    <row r="9" spans="1:11" x14ac:dyDescent="0.35">
      <c r="A9" s="15">
        <v>7</v>
      </c>
      <c r="B9" s="2">
        <v>0.77708978328173373</v>
      </c>
      <c r="C9" s="2">
        <v>9.2105263157894732E-2</v>
      </c>
      <c r="D9" s="2">
        <v>0.7</v>
      </c>
      <c r="E9" s="2">
        <v>0.16279069767441859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Boa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Muito 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Boa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Muito Baixo</v>
      </c>
      <c r="K9"/>
    </row>
    <row r="10" spans="1:11" x14ac:dyDescent="0.35">
      <c r="A10" s="15">
        <v>8</v>
      </c>
      <c r="B10" s="2">
        <v>0.9272445820433437</v>
      </c>
      <c r="C10" s="2">
        <v>0.31578947368421051</v>
      </c>
      <c r="D10" s="2">
        <v>0.36363636363636359</v>
      </c>
      <c r="E10" s="2">
        <v>0.3380281690140845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Baixo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0.94272445820433437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0.82507739938080493</v>
      </c>
      <c r="C12" s="2">
        <v>0.86075949367088611</v>
      </c>
      <c r="D12" s="2">
        <v>0.85427135678391963</v>
      </c>
      <c r="E12" s="2">
        <v>0.85750315258511989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Boa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Boa</v>
      </c>
      <c r="K12"/>
    </row>
    <row r="13" spans="1:11" x14ac:dyDescent="0.35">
      <c r="A13" s="7" t="s">
        <v>8</v>
      </c>
      <c r="B13" s="5">
        <f>MIN(B2:B12)</f>
        <v>0.77708978328173373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6</v>
      </c>
      <c r="H13" s="9">
        <f>COUNTIF(H2:H12,$K$13)</f>
        <v>2</v>
      </c>
      <c r="I13" s="9">
        <f>COUNTIF(I2:I12,$K$13)</f>
        <v>1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0.99535603715170273</v>
      </c>
      <c r="C14" s="6">
        <f>MAX(C2:C12)</f>
        <v>1</v>
      </c>
      <c r="D14" s="6">
        <f>MAX(D2:D12)</f>
        <v>1</v>
      </c>
      <c r="E14" s="6">
        <f>MAX(E2:E12)</f>
        <v>0.85750315258511989</v>
      </c>
      <c r="G14" s="9">
        <f>COUNTIF(G2:G12,$K$14)</f>
        <v>2</v>
      </c>
      <c r="H14" s="9">
        <f>COUNTIF(H2:H12,$K$14)</f>
        <v>0</v>
      </c>
      <c r="I14" s="9">
        <f>COUNTIF(I2:I12,$K$14)</f>
        <v>0</v>
      </c>
      <c r="J14" s="9">
        <f>COUNTIF(J2:J12,$K$14)</f>
        <v>0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3</v>
      </c>
      <c r="H15" s="9">
        <f>COUNTIF(H2:H12,$K$15)</f>
        <v>3</v>
      </c>
      <c r="I15" s="9">
        <f>COUNTIF(I2:I12,$K$15)</f>
        <v>2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0</v>
      </c>
      <c r="I16" s="9">
        <f>COUNTIF(I2:I12,$K$16)</f>
        <v>0</v>
      </c>
      <c r="J16" s="9">
        <f>COUNTIF(J2:J12,$K$16)</f>
        <v>0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7</v>
      </c>
      <c r="C17" s="5">
        <f>INDEX($A$2:$A$12,MATCH(C13,C2:C12,0))</f>
        <v>9</v>
      </c>
      <c r="D17" s="5">
        <f>INDEX($A$2:$A$12,MATCH(D13,D2:D12,0))</f>
        <v>9</v>
      </c>
      <c r="E17" s="5">
        <f>INDEX($A$2:$A$12,MATCH(E13,E2:E12,0))</f>
        <v>9</v>
      </c>
      <c r="G17" s="9">
        <f>COUNTIF(G2:G12,$K$17)</f>
        <v>0</v>
      </c>
      <c r="H17" s="9">
        <f>COUNTIF(H2:H12,$K$17)</f>
        <v>4</v>
      </c>
      <c r="I17" s="9">
        <f>COUNTIF(I2:I12,$K$17)</f>
        <v>2</v>
      </c>
      <c r="J17" s="9">
        <f>COUNTIF(J2:J12,$K$17)</f>
        <v>4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4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1</v>
      </c>
      <c r="I18" s="9">
        <f>COUNTIF(I2:I12,$K$18)</f>
        <v>5</v>
      </c>
      <c r="J18" s="9">
        <f>COUNTIF(J2:J12,$K$18)</f>
        <v>4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3" sqref="O13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0.87</v>
      </c>
    </row>
    <row r="3" spans="14:15" x14ac:dyDescent="0.35">
      <c r="N3" s="18">
        <v>1</v>
      </c>
      <c r="O3" s="18">
        <v>0.77</v>
      </c>
    </row>
    <row r="4" spans="14:15" x14ac:dyDescent="0.35">
      <c r="N4" s="18">
        <v>2</v>
      </c>
      <c r="O4" s="18">
        <v>0.75</v>
      </c>
    </row>
    <row r="5" spans="14:15" x14ac:dyDescent="0.35">
      <c r="N5" s="18">
        <v>3</v>
      </c>
      <c r="O5" s="39">
        <v>0.59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0.68</v>
      </c>
    </row>
    <row r="8" spans="14:15" x14ac:dyDescent="0.35">
      <c r="N8" s="18">
        <v>6</v>
      </c>
      <c r="O8" s="39">
        <v>0.86</v>
      </c>
    </row>
    <row r="9" spans="14:15" x14ac:dyDescent="0.35">
      <c r="N9" s="18">
        <v>7</v>
      </c>
      <c r="O9" s="39">
        <v>0.8</v>
      </c>
    </row>
    <row r="10" spans="14:15" x14ac:dyDescent="0.35">
      <c r="N10" s="18">
        <v>8</v>
      </c>
      <c r="O10" s="39">
        <v>0.81</v>
      </c>
    </row>
    <row r="11" spans="14:15" x14ac:dyDescent="0.35">
      <c r="N11" s="18">
        <v>9</v>
      </c>
      <c r="O11" s="39">
        <v>0.55000000000000004</v>
      </c>
    </row>
    <row r="12" spans="14:15" x14ac:dyDescent="0.35">
      <c r="N12" s="18">
        <v>10</v>
      </c>
      <c r="O12" s="39">
        <v>0.86</v>
      </c>
    </row>
    <row r="13" spans="14:15" x14ac:dyDescent="0.35">
      <c r="N13"/>
      <c r="O13">
        <f>COUNTIF(O2:O12,"&gt;=0,9")</f>
        <v>1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2024-12-18T13:25:07Z</dcterms:modified>
</cp:coreProperties>
</file>