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2\"/>
    </mc:Choice>
  </mc:AlternateContent>
  <xr:revisionPtr revIDLastSave="0" documentId="13_ncr:1_{F3BE8AFD-9E92-44FC-9663-52E1B9B4709D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4" l="1"/>
  <c r="D25" i="16"/>
  <c r="E26" i="16"/>
  <c r="E23" i="16"/>
  <c r="F23" i="16"/>
  <c r="G23" i="16"/>
  <c r="H23" i="16"/>
  <c r="D22" i="16"/>
  <c r="G14" i="16"/>
  <c r="F14" i="16"/>
  <c r="E13" i="16"/>
  <c r="E14" i="16"/>
  <c r="E12" i="16"/>
  <c r="E9" i="16"/>
  <c r="E8" i="16"/>
  <c r="E7" i="16"/>
  <c r="D11" i="16"/>
  <c r="H14" i="16"/>
  <c r="F9" i="16"/>
  <c r="D6" i="16"/>
  <c r="G9" i="16"/>
  <c r="H9" i="16"/>
  <c r="G7" i="16"/>
  <c r="F7" i="16"/>
  <c r="E27" i="16"/>
  <c r="E28" i="16"/>
  <c r="X2" i="16"/>
  <c r="N26" i="16"/>
  <c r="N27" i="16"/>
  <c r="N25" i="16"/>
  <c r="M24" i="16"/>
  <c r="N20" i="16"/>
  <c r="N21" i="16"/>
  <c r="N22" i="16"/>
  <c r="N19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8" i="16"/>
  <c r="N16" i="16"/>
  <c r="N15" i="16"/>
  <c r="Q22" i="16"/>
  <c r="P22" i="16"/>
  <c r="O22" i="16"/>
  <c r="Q21" i="16"/>
  <c r="P21" i="16"/>
  <c r="O21" i="16"/>
  <c r="Q20" i="16"/>
  <c r="P20" i="16"/>
  <c r="O20" i="16"/>
  <c r="Q19" i="16"/>
  <c r="P19" i="16"/>
  <c r="O19" i="16"/>
  <c r="Q18" i="16"/>
  <c r="P18" i="16"/>
  <c r="O18" i="16"/>
  <c r="M14" i="16"/>
  <c r="O15" i="16"/>
  <c r="O14" i="16"/>
  <c r="Q16" i="16"/>
  <c r="P16" i="16"/>
  <c r="O16" i="16"/>
  <c r="Q15" i="16"/>
  <c r="P15" i="16"/>
  <c r="Q14" i="16"/>
  <c r="P14" i="16"/>
  <c r="M22" i="16" l="1"/>
  <c r="M16" i="16"/>
  <c r="M19" i="16"/>
  <c r="M15" i="16"/>
  <c r="M20" i="16"/>
  <c r="M26" i="16"/>
  <c r="M25" i="16"/>
  <c r="M27" i="16"/>
  <c r="M21" i="16"/>
  <c r="N11" i="16" l="1"/>
  <c r="N12" i="16"/>
  <c r="N10" i="16"/>
  <c r="M9" i="16"/>
  <c r="Q12" i="16"/>
  <c r="P12" i="16"/>
  <c r="O12" i="16"/>
  <c r="Q11" i="16"/>
  <c r="P11" i="16"/>
  <c r="O11" i="16"/>
  <c r="Q10" i="16"/>
  <c r="P10" i="16"/>
  <c r="O10" i="16"/>
  <c r="Q9" i="16"/>
  <c r="P9" i="16"/>
  <c r="O9" i="16"/>
  <c r="N4" i="16"/>
  <c r="N5" i="16"/>
  <c r="N6" i="16"/>
  <c r="N7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P3" i="16"/>
  <c r="Q3" i="16"/>
  <c r="O2" i="16"/>
  <c r="P2" i="16"/>
  <c r="Q2" i="16"/>
  <c r="O3" i="16"/>
  <c r="H28" i="16"/>
  <c r="G28" i="16"/>
  <c r="F28" i="16"/>
  <c r="H27" i="16"/>
  <c r="G27" i="16"/>
  <c r="F27" i="16"/>
  <c r="H26" i="16"/>
  <c r="G26" i="16"/>
  <c r="F26" i="16"/>
  <c r="H25" i="16"/>
  <c r="G25" i="16"/>
  <c r="F25" i="16"/>
  <c r="F22" i="16"/>
  <c r="G22" i="16"/>
  <c r="H22" i="16"/>
  <c r="F16" i="16"/>
  <c r="G16" i="16"/>
  <c r="H16" i="16"/>
  <c r="F17" i="16"/>
  <c r="G17" i="16"/>
  <c r="H17" i="16"/>
  <c r="F18" i="16"/>
  <c r="G18" i="16"/>
  <c r="H18" i="16"/>
  <c r="F19" i="16"/>
  <c r="G19" i="16"/>
  <c r="H19" i="16"/>
  <c r="F20" i="16"/>
  <c r="G20" i="16"/>
  <c r="H20" i="16"/>
  <c r="G11" i="16"/>
  <c r="H11" i="16"/>
  <c r="F12" i="16"/>
  <c r="G12" i="16"/>
  <c r="H12" i="16"/>
  <c r="F13" i="16"/>
  <c r="G13" i="16"/>
  <c r="H13" i="16"/>
  <c r="G6" i="16"/>
  <c r="D9" i="16" s="1"/>
  <c r="H6" i="16"/>
  <c r="H7" i="16"/>
  <c r="F8" i="16"/>
  <c r="G8" i="16"/>
  <c r="H8" i="16"/>
  <c r="F3" i="16"/>
  <c r="G3" i="16"/>
  <c r="H3" i="16"/>
  <c r="F4" i="16"/>
  <c r="G4" i="16"/>
  <c r="H4" i="16"/>
  <c r="H2" i="16"/>
  <c r="D23" i="16" l="1"/>
  <c r="D14" i="16"/>
  <c r="D8" i="16"/>
  <c r="D7" i="16"/>
  <c r="M6" i="16"/>
  <c r="M4" i="16"/>
  <c r="M5" i="16"/>
  <c r="M11" i="16"/>
  <c r="D12" i="16"/>
  <c r="M7" i="16"/>
  <c r="D27" i="16"/>
  <c r="D13" i="16"/>
  <c r="M10" i="16"/>
  <c r="M12" i="16"/>
  <c r="D3" i="16"/>
  <c r="D18" i="16"/>
  <c r="D26" i="16"/>
  <c r="D4" i="16"/>
  <c r="D28" i="16"/>
  <c r="D17" i="16"/>
  <c r="D20" i="16"/>
  <c r="D19" i="16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E18" i="16"/>
  <c r="E19" i="16"/>
  <c r="E20" i="16"/>
  <c r="E17" i="16"/>
  <c r="E4" i="16"/>
  <c r="E3" i="16"/>
  <c r="D16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7" i="16" l="1"/>
  <c r="Z8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<sst xmlns="http://schemas.openxmlformats.org/spreadsheetml/2006/main" count="99" uniqueCount="62">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</sst>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9" fontId="0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41FEEF2-1BDB-A995-5041-FE0BC1BD0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7B1D2E3-71FB-469C-8895-937C2DB74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56E4EB1-AD50-1A1C-F3DD-459DCD9CC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9AE879C-C67C-5A03-E2C8-BF488FFDC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03A876-9DB7-2DB8-17B2-6CC89530A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93A8A8-7507-FFBA-E3C0-C28CE9711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FE9DFA8-0ECD-6965-A86E-5A1D184D0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2'!N3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2" sqref="B12:E12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5">
        <v>21.04645919799805</v>
      </c>
      <c r="C2" s="56">
        <v>0.59744036197662354</v>
      </c>
      <c r="D2" s="55">
        <v>36.716938018798828</v>
      </c>
      <c r="E2" s="56">
        <v>0.19565217196941381</v>
      </c>
    </row>
    <row r="3" spans="1:5" x14ac:dyDescent="0.35">
      <c r="A3" s="2">
        <v>2</v>
      </c>
      <c r="B3" s="2">
        <v>18.075820922851559</v>
      </c>
      <c r="C3" s="2">
        <v>0.66007369756698608</v>
      </c>
      <c r="D3" s="2">
        <v>23.427627563476559</v>
      </c>
      <c r="E3" s="2">
        <v>0.46583852171897888</v>
      </c>
    </row>
    <row r="4" spans="1:5" x14ac:dyDescent="0.35">
      <c r="A4" s="2">
        <v>3</v>
      </c>
      <c r="B4" s="2">
        <v>16.26694297790527</v>
      </c>
      <c r="C4" s="2">
        <v>0.69342643022537231</v>
      </c>
      <c r="D4" s="2">
        <v>21.530134201049801</v>
      </c>
      <c r="E4" s="2">
        <v>0.51242238283157349</v>
      </c>
    </row>
    <row r="5" spans="1:5" x14ac:dyDescent="0.35">
      <c r="A5" s="2">
        <v>4</v>
      </c>
      <c r="B5" s="2">
        <v>17.743198394775391</v>
      </c>
      <c r="C5" s="2">
        <v>0.69614118337631226</v>
      </c>
      <c r="D5" s="2">
        <v>20.68780517578125</v>
      </c>
      <c r="E5" s="2">
        <v>0.58540374040603638</v>
      </c>
    </row>
    <row r="6" spans="1:5" x14ac:dyDescent="0.35">
      <c r="A6" s="2">
        <v>5</v>
      </c>
      <c r="B6" s="2">
        <v>15.439132690429689</v>
      </c>
      <c r="C6" s="2">
        <v>0.71669572591781616</v>
      </c>
      <c r="D6" s="2">
        <v>20.559137344360352</v>
      </c>
      <c r="E6" s="2">
        <v>0.53105592727661133</v>
      </c>
    </row>
    <row r="7" spans="1:5" x14ac:dyDescent="0.35">
      <c r="A7" s="2">
        <v>6</v>
      </c>
      <c r="B7" s="2">
        <v>14.65565299987793</v>
      </c>
      <c r="C7" s="2">
        <v>0.72600346803665161</v>
      </c>
      <c r="D7" s="56">
        <v>16.079257965087891</v>
      </c>
      <c r="E7" s="2">
        <v>0.6086956262588501</v>
      </c>
    </row>
    <row r="8" spans="1:5" x14ac:dyDescent="0.35">
      <c r="A8" s="2">
        <v>7</v>
      </c>
      <c r="B8" s="2">
        <v>14.612960815429689</v>
      </c>
      <c r="C8" s="2">
        <v>0.72871822118759155</v>
      </c>
      <c r="D8" s="2">
        <v>20.144430160522461</v>
      </c>
      <c r="E8" s="2">
        <v>0.59782606363296509</v>
      </c>
    </row>
    <row r="9" spans="1:5" x14ac:dyDescent="0.35">
      <c r="A9" s="2">
        <v>8</v>
      </c>
      <c r="B9" s="2">
        <v>14.55685520172119</v>
      </c>
      <c r="C9" s="2">
        <v>0.73647469282150269</v>
      </c>
      <c r="D9" s="2">
        <v>17.049802780151371</v>
      </c>
      <c r="E9" s="2">
        <v>0.65217393636703491</v>
      </c>
    </row>
    <row r="10" spans="1:5" x14ac:dyDescent="0.35">
      <c r="A10" s="2">
        <v>9</v>
      </c>
      <c r="B10" s="56">
        <v>14.361519813537599</v>
      </c>
      <c r="C10" s="55">
        <v>0.74558854103088379</v>
      </c>
      <c r="D10" s="2">
        <v>21.20346641540527</v>
      </c>
      <c r="E10" s="2">
        <v>0.61180126667022705</v>
      </c>
    </row>
    <row r="11" spans="1:5" x14ac:dyDescent="0.35">
      <c r="A11" s="2">
        <v>10</v>
      </c>
      <c r="B11" s="2">
        <v>15.52621269226074</v>
      </c>
      <c r="C11" s="2">
        <v>0.73085129261016846</v>
      </c>
      <c r="D11" s="2">
        <v>19.089395523071289</v>
      </c>
      <c r="E11" s="55">
        <v>0.67701864242553711</v>
      </c>
    </row>
    <row r="12" spans="1:5" x14ac:dyDescent="0.35">
      <c r="A12" s="3" t="s">
        <v>21</v>
      </c>
      <c r="B12" s="48">
        <v>22.851518630981399</v>
      </c>
      <c r="C12" s="48"/>
      <c r="D12" s="48"/>
      <c r="E12" s="48"/>
    </row>
    <row r="13" spans="1:5" x14ac:dyDescent="0.35">
      <c r="A13" s="3" t="s">
        <v>22</v>
      </c>
      <c r="B13" s="48">
        <v>0.67027860879898005</v>
      </c>
      <c r="C13" s="48"/>
      <c r="D13" s="48"/>
      <c r="E13" s="48"/>
    </row>
    <row r="14" spans="1:5" x14ac:dyDescent="0.35">
      <c r="A14" s="4" t="s">
        <v>8</v>
      </c>
      <c r="B14" s="5">
        <f>MIN(B2:B11)</f>
        <v>14.361519813537599</v>
      </c>
      <c r="C14" s="5">
        <f>MIN(C2:C11)</f>
        <v>0.59744036197662354</v>
      </c>
      <c r="D14" s="5">
        <f>MIN(D2:D11)</f>
        <v>16.079257965087891</v>
      </c>
      <c r="E14" s="5">
        <f>MIN(E2:E11)</f>
        <v>0.19565217196941381</v>
      </c>
    </row>
    <row r="15" spans="1:5" x14ac:dyDescent="0.35">
      <c r="A15" s="4" t="s">
        <v>9</v>
      </c>
      <c r="B15" s="6">
        <f>MAX(B2:B11)</f>
        <v>21.04645919799805</v>
      </c>
      <c r="C15" s="6">
        <f>MAX(C2:C11)</f>
        <v>0.74558854103088379</v>
      </c>
      <c r="D15" s="6">
        <f>MAX(D2:D11)</f>
        <v>36.716938018798828</v>
      </c>
      <c r="E15" s="6">
        <f>MAX(E2:E11)</f>
        <v>0.67701864242553711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6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10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J16" sqref="J16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49" t="s">
        <v>43</v>
      </c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6" x14ac:dyDescent="0.35">
      <c r="B2"/>
      <c r="C2" s="44">
        <v>0</v>
      </c>
      <c r="D2" s="44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44">
        <v>8</v>
      </c>
      <c r="L2" s="44">
        <v>9</v>
      </c>
      <c r="M2" s="44">
        <v>10</v>
      </c>
    </row>
    <row r="3" spans="1:16" ht="20" customHeight="1" x14ac:dyDescent="0.35">
      <c r="A3" s="50" t="str">
        <f>"Verdadeiro"</f>
        <v>Verdadeiro</v>
      </c>
      <c r="B3" s="1">
        <v>0</v>
      </c>
      <c r="C3" s="45">
        <v>5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7</v>
      </c>
      <c r="K3" s="2">
        <v>0</v>
      </c>
      <c r="L3" s="2">
        <v>0</v>
      </c>
      <c r="M3" s="2">
        <v>0</v>
      </c>
      <c r="N3">
        <f>SUM(C3:M3)</f>
        <v>13</v>
      </c>
      <c r="P3" s="47">
        <v>13</v>
      </c>
    </row>
    <row r="4" spans="1:16" ht="20" customHeight="1" x14ac:dyDescent="0.35">
      <c r="A4" s="50"/>
      <c r="B4" s="1">
        <v>1</v>
      </c>
      <c r="C4" s="2">
        <v>1</v>
      </c>
      <c r="D4" s="45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3</v>
      </c>
      <c r="N4">
        <f t="shared" ref="N4:N13" si="0">SUM(C4:M4)</f>
        <v>5</v>
      </c>
      <c r="P4" s="47">
        <v>5</v>
      </c>
    </row>
    <row r="5" spans="1:16" ht="20" customHeight="1" x14ac:dyDescent="0.35">
      <c r="A5" s="50"/>
      <c r="B5" s="1">
        <v>2</v>
      </c>
      <c r="C5" s="2">
        <v>0</v>
      </c>
      <c r="D5" s="2">
        <v>0</v>
      </c>
      <c r="E5" s="45">
        <v>0</v>
      </c>
      <c r="F5" s="2">
        <v>0</v>
      </c>
      <c r="G5" s="2">
        <v>6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1</v>
      </c>
      <c r="N5">
        <f t="shared" si="0"/>
        <v>8</v>
      </c>
      <c r="P5" s="47">
        <v>8</v>
      </c>
    </row>
    <row r="6" spans="1:16" ht="20" customHeight="1" x14ac:dyDescent="0.35">
      <c r="A6" s="50"/>
      <c r="B6" s="1">
        <v>3</v>
      </c>
      <c r="C6" s="2">
        <v>1</v>
      </c>
      <c r="D6" s="2">
        <v>1</v>
      </c>
      <c r="E6" s="2">
        <v>0</v>
      </c>
      <c r="F6" s="45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>
        <f t="shared" si="0"/>
        <v>5</v>
      </c>
      <c r="P6" s="47">
        <v>5</v>
      </c>
    </row>
    <row r="7" spans="1:16" ht="20" customHeight="1" x14ac:dyDescent="0.35">
      <c r="A7" s="50"/>
      <c r="B7" s="1">
        <v>4</v>
      </c>
      <c r="C7" s="2">
        <v>0</v>
      </c>
      <c r="D7" s="2">
        <v>0</v>
      </c>
      <c r="E7" s="2">
        <v>0</v>
      </c>
      <c r="F7" s="2">
        <v>0</v>
      </c>
      <c r="G7" s="45">
        <v>6</v>
      </c>
      <c r="H7" s="2">
        <v>0</v>
      </c>
      <c r="I7" s="2">
        <v>0</v>
      </c>
      <c r="J7" s="2">
        <v>0</v>
      </c>
      <c r="K7" s="2">
        <v>2</v>
      </c>
      <c r="L7" s="2">
        <v>0</v>
      </c>
      <c r="M7" s="2">
        <v>0</v>
      </c>
      <c r="N7">
        <f t="shared" si="0"/>
        <v>8</v>
      </c>
      <c r="P7" s="47">
        <v>8</v>
      </c>
    </row>
    <row r="8" spans="1:16" ht="20" customHeight="1" x14ac:dyDescent="0.35">
      <c r="A8" s="50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5">
        <v>1</v>
      </c>
      <c r="I8" s="2">
        <v>0</v>
      </c>
      <c r="J8" s="2">
        <v>5</v>
      </c>
      <c r="K8" s="2">
        <v>3</v>
      </c>
      <c r="L8" s="2">
        <v>0</v>
      </c>
      <c r="M8" s="2">
        <v>2</v>
      </c>
      <c r="N8">
        <f t="shared" si="0"/>
        <v>11</v>
      </c>
      <c r="P8" s="47">
        <v>11</v>
      </c>
    </row>
    <row r="9" spans="1:16" ht="20" customHeight="1" x14ac:dyDescent="0.35">
      <c r="A9" s="50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2</v>
      </c>
      <c r="H9" s="2">
        <v>3</v>
      </c>
      <c r="I9" s="45">
        <v>29</v>
      </c>
      <c r="J9" s="2">
        <v>40</v>
      </c>
      <c r="K9" s="2">
        <v>19</v>
      </c>
      <c r="L9" s="2">
        <v>0</v>
      </c>
      <c r="M9" s="2">
        <v>15</v>
      </c>
      <c r="N9">
        <f t="shared" si="0"/>
        <v>108</v>
      </c>
      <c r="P9" s="47">
        <v>108</v>
      </c>
    </row>
    <row r="10" spans="1:16" ht="20" customHeight="1" x14ac:dyDescent="0.35">
      <c r="A10" s="50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45">
        <v>12</v>
      </c>
      <c r="K10" s="2">
        <v>1</v>
      </c>
      <c r="L10" s="2">
        <v>0</v>
      </c>
      <c r="M10" s="2">
        <v>6</v>
      </c>
      <c r="N10">
        <f t="shared" si="0"/>
        <v>20</v>
      </c>
      <c r="P10" s="47">
        <v>20</v>
      </c>
    </row>
    <row r="11" spans="1:16" ht="20" customHeight="1" x14ac:dyDescent="0.35">
      <c r="A11" s="50"/>
      <c r="B11" s="1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7</v>
      </c>
      <c r="K11" s="45">
        <v>15</v>
      </c>
      <c r="L11" s="2">
        <v>0</v>
      </c>
      <c r="M11" s="2">
        <v>11</v>
      </c>
      <c r="N11">
        <f t="shared" si="0"/>
        <v>33</v>
      </c>
      <c r="P11" s="47">
        <v>33</v>
      </c>
    </row>
    <row r="12" spans="1:16" ht="20" customHeight="1" x14ac:dyDescent="0.35">
      <c r="A12" s="50"/>
      <c r="B12" s="1">
        <v>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</v>
      </c>
      <c r="K12" s="2">
        <v>1</v>
      </c>
      <c r="L12" s="45">
        <v>0</v>
      </c>
      <c r="M12" s="2">
        <v>30</v>
      </c>
      <c r="N12">
        <f t="shared" si="0"/>
        <v>37</v>
      </c>
      <c r="P12" s="47">
        <v>37</v>
      </c>
    </row>
    <row r="13" spans="1:16" ht="20" customHeight="1" x14ac:dyDescent="0.35">
      <c r="A13" s="50"/>
      <c r="B13" s="1">
        <v>10</v>
      </c>
      <c r="C13" s="2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24</v>
      </c>
      <c r="K13" s="2">
        <v>7</v>
      </c>
      <c r="L13" s="2">
        <v>0</v>
      </c>
      <c r="M13" s="45">
        <v>364</v>
      </c>
      <c r="N13">
        <f t="shared" si="0"/>
        <v>398</v>
      </c>
      <c r="P13" s="47">
        <v>398</v>
      </c>
    </row>
    <row r="14" spans="1:16" x14ac:dyDescent="0.35">
      <c r="C14">
        <f>SUM(C3:C13)</f>
        <v>12</v>
      </c>
      <c r="D14">
        <f t="shared" ref="D14:M14" si="1">SUM(D3:D13)</f>
        <v>1</v>
      </c>
      <c r="E14">
        <f t="shared" si="1"/>
        <v>0</v>
      </c>
      <c r="F14">
        <f t="shared" si="1"/>
        <v>1</v>
      </c>
      <c r="G14">
        <f t="shared" si="1"/>
        <v>15</v>
      </c>
      <c r="H14">
        <f t="shared" si="1"/>
        <v>4</v>
      </c>
      <c r="I14">
        <f t="shared" si="1"/>
        <v>29</v>
      </c>
      <c r="J14">
        <f t="shared" si="1"/>
        <v>102</v>
      </c>
      <c r="K14">
        <f t="shared" si="1"/>
        <v>49</v>
      </c>
      <c r="L14">
        <f t="shared" si="1"/>
        <v>0</v>
      </c>
      <c r="M14">
        <f t="shared" si="1"/>
        <v>433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28"/>
  <sheetViews>
    <sheetView topLeftCell="T1" workbookViewId="0">
      <pane ySplit="1" topLeftCell="A2" activePane="bottomLeft" state="frozen"/>
      <selection pane="bottomLeft" activeCell="M23" sqref="M23"/>
    </sheetView>
  </sheetViews>
  <sheetFormatPr defaultRowHeight="20" customHeight="1" x14ac:dyDescent="0.35"/>
  <cols>
    <col min="1" max="1" width="8.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4" t="s">
        <v>27</v>
      </c>
      <c r="Y1" s="54"/>
      <c r="Z1" s="54"/>
      <c r="AA1" s="54"/>
    </row>
    <row r="2" spans="1:27" ht="20" customHeight="1" x14ac:dyDescent="0.35">
      <c r="A2" s="51" t="s">
        <v>30</v>
      </c>
      <c r="B2" s="22">
        <v>5</v>
      </c>
      <c r="C2" s="22">
        <v>0</v>
      </c>
      <c r="D2" s="23">
        <f>B2/SUM(B2:B4)</f>
        <v>0.38461538461538464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1" t="s">
        <v>57</v>
      </c>
      <c r="K2" s="22">
        <v>29</v>
      </c>
      <c r="L2" s="22">
        <v>6</v>
      </c>
      <c r="M2" s="41">
        <f>K2/SUM(K2:K7)</f>
        <v>0.26851851851851855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B2+B6+B11+B16+B22+K2+K9+K14+K18+K24</f>
        <v>432</v>
      </c>
      <c r="Y2" s="21" t="s">
        <v>28</v>
      </c>
      <c r="Z2" s="46">
        <v>646</v>
      </c>
      <c r="AA2" s="28">
        <f>X2/Z2</f>
        <v>0.66873065015479871</v>
      </c>
    </row>
    <row r="3" spans="1:27" ht="20" customHeight="1" x14ac:dyDescent="0.35">
      <c r="A3" s="52"/>
      <c r="B3" s="18">
        <v>1</v>
      </c>
      <c r="C3" s="18">
        <v>4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ROUND(B3/SUM($B$2:$B$4)*100,0) &amp;"%"</f>
        <v>8%</v>
      </c>
      <c r="F3" s="26" t="str">
        <f t="shared" ref="F3:F4" si="3">VLOOKUP(C3,$S$1:$V$12,2,FALSE)</f>
        <v>Arco</v>
      </c>
      <c r="G3" s="26" t="str">
        <f t="shared" ref="G3:G4" si="4">VLOOKUP(C3,$S$1:$V$12,3,FALSE)</f>
        <v>Depois de 1983</v>
      </c>
      <c r="H3" s="26" t="str">
        <f t="shared" ref="H3:H4" si="5">VLOOKUP(C3,$S$1:$V$12,4,FALSE)</f>
        <v>Betão Armado</v>
      </c>
      <c r="J3" s="52"/>
      <c r="K3" s="18">
        <v>2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19" t="str">
        <f>ROUND(K3/SUM($K$2:$K$7)*100,1) &amp;"%"</f>
        <v>1,9%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10</v>
      </c>
      <c r="Y3" s="21" t="s">
        <v>42</v>
      </c>
      <c r="Z3" s="42">
        <f>X3/$X$10</f>
        <v>0.30303030303030304</v>
      </c>
    </row>
    <row r="4" spans="1:27" ht="20" customHeight="1" x14ac:dyDescent="0.35">
      <c r="A4" s="53"/>
      <c r="B4" s="18">
        <v>7</v>
      </c>
      <c r="C4" s="18">
        <v>7</v>
      </c>
      <c r="D4" s="21" t="str">
        <f t="shared" ref="D4" si="6">COUNTIF(F4,$F$2)+COUNTIF(G4,$G$2)+COUNTIF(H4,$H$2)&amp;" ("&amp; IF(F4=$F$2,"Estrutura, ","") &amp; IF(G4=$G$2,"Ano, ","") &amp;IF(H4=$H$2,"Material","") &amp; IF(OR(F4=$F$2,G4=$G$2,H4=$H$2),"","Nenhuma") &amp;")"</f>
        <v>0 (Nenhuma)</v>
      </c>
      <c r="E4" s="19" t="str">
        <f>ROUND(B4/SUM($B$2:$B$4)*100,0) &amp;"%"</f>
        <v>54%</v>
      </c>
      <c r="F4" s="26" t="str">
        <f t="shared" si="3"/>
        <v>Tabuleiro simples/apoiado</v>
      </c>
      <c r="G4" s="26" t="str">
        <f t="shared" si="4"/>
        <v>Antes de 1983</v>
      </c>
      <c r="H4" s="26" t="str">
        <f t="shared" si="5"/>
        <v>Betão Armado</v>
      </c>
      <c r="J4" s="52"/>
      <c r="K4" s="18">
        <v>3</v>
      </c>
      <c r="L4" s="18">
        <v>5</v>
      </c>
      <c r="M4" s="21" t="str">
        <f t="shared" ref="M4:M7" si="7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19" t="str">
        <f>ROUND(K4/SUM($K$2:$K$7)*100,1) &amp;"%"</f>
        <v>2,8%</v>
      </c>
      <c r="O4" s="26" t="str">
        <f t="shared" ref="O4:O7" si="8">VLOOKUP(L4,$S$1:$V$12,2,FALSE)</f>
        <v>Pórtico</v>
      </c>
      <c r="P4" s="26" t="str">
        <f t="shared" ref="P4:P7" si="9">VLOOKUP(L4,$S$1:$V$12,3,FALSE)</f>
        <v>Antes de 1983</v>
      </c>
      <c r="Q4" s="26" t="str">
        <f t="shared" ref="Q4:Q7" si="10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>COUNTIF($D:$D,Y4)+COUNTIF($M:$M,Y4)</f>
        <v>0</v>
      </c>
      <c r="Y4" s="21" t="s">
        <v>50</v>
      </c>
      <c r="Z4" s="42">
        <f t="shared" ref="Z4:Z9" si="11">X4/$X$10</f>
        <v>0</v>
      </c>
    </row>
    <row r="5" spans="1:27" ht="20" customHeight="1" x14ac:dyDescent="0.35">
      <c r="B5" s="11"/>
      <c r="C5" s="11"/>
      <c r="D5" s="11"/>
      <c r="E5" s="11"/>
      <c r="F5" s="24"/>
      <c r="G5" s="24"/>
      <c r="J5" s="52"/>
      <c r="K5" s="18">
        <v>40</v>
      </c>
      <c r="L5" s="18">
        <v>7</v>
      </c>
      <c r="M5" s="21" t="str">
        <f t="shared" si="7"/>
        <v>1 (Material)</v>
      </c>
      <c r="N5" s="19" t="str">
        <f>ROUND(K5/SUM($K$2:$K$7)*100,1) &amp;"%"</f>
        <v>37%</v>
      </c>
      <c r="O5" s="26" t="str">
        <f t="shared" si="8"/>
        <v>Tabuleiro simples/apoiado</v>
      </c>
      <c r="P5" s="26" t="str">
        <f t="shared" si="9"/>
        <v>Antes de 1983</v>
      </c>
      <c r="Q5" s="26" t="str">
        <f t="shared" si="10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>COUNTIF($D:$D,Y5)+COUNTIF($M:$M,Y5)</f>
        <v>3</v>
      </c>
      <c r="Y5" s="21" t="s">
        <v>39</v>
      </c>
      <c r="Z5" s="42">
        <f t="shared" si="11"/>
        <v>9.0909090909090912E-2</v>
      </c>
    </row>
    <row r="6" spans="1:27" ht="20" customHeight="1" x14ac:dyDescent="0.35">
      <c r="A6" s="50" t="s">
        <v>31</v>
      </c>
      <c r="B6" s="22">
        <v>0</v>
      </c>
      <c r="C6" s="22">
        <v>1</v>
      </c>
      <c r="D6" s="23">
        <f>B6/SUM(B6:B9)</f>
        <v>0</v>
      </c>
      <c r="E6" s="40"/>
      <c r="F6" s="25" t="s">
        <v>55</v>
      </c>
      <c r="G6" s="25" t="str">
        <f>VLOOKUP(C6,$S$1:$V$12,3,FALSE)</f>
        <v>Antes de 1983</v>
      </c>
      <c r="H6" s="25" t="str">
        <f>VLOOKUP(C6,$S$1:$V$12,4,FALSE)</f>
        <v>Aço</v>
      </c>
      <c r="J6" s="52"/>
      <c r="K6" s="18">
        <v>19</v>
      </c>
      <c r="L6" s="18">
        <v>8</v>
      </c>
      <c r="M6" s="21" t="str">
        <f t="shared" si="7"/>
        <v>2 (Ano, Material)</v>
      </c>
      <c r="N6" s="19" t="str">
        <f>ROUND(K6/SUM($K$2:$K$7)*100,1) &amp;"%"</f>
        <v>17,6%</v>
      </c>
      <c r="O6" s="26" t="str">
        <f t="shared" si="8"/>
        <v>Tabuleiro simples/apoiado</v>
      </c>
      <c r="P6" s="26" t="str">
        <f t="shared" si="9"/>
        <v>Depois de 1983</v>
      </c>
      <c r="Q6" s="26" t="str">
        <f t="shared" si="10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>COUNTIF($D:$D,Y6)+COUNTIF($M:$M,Y6)</f>
        <v>7</v>
      </c>
      <c r="Y6" s="21" t="s">
        <v>51</v>
      </c>
      <c r="Z6" s="42">
        <f t="shared" si="11"/>
        <v>0.21212121212121213</v>
      </c>
    </row>
    <row r="7" spans="1:27" ht="20" customHeight="1" x14ac:dyDescent="0.35">
      <c r="A7" s="50"/>
      <c r="B7" s="18">
        <v>1</v>
      </c>
      <c r="C7" s="18">
        <v>0</v>
      </c>
      <c r="D7" s="21" t="str">
        <f>COUNTIF(F7,$F$6)+COUNTIF(G7,$G$6)+COUNTIF(H7,$H$6)&amp;" ("&amp; IF(F7=$F$6,"Estrutura, ","") &amp; IF(G7=$G$6,"Ano, ","") &amp;IF(H7=$H$6,"Material","") &amp; IF(OR(F7=$F$6,G7=$G$6,H7=$H$6),"","Nenhuma") &amp;")"</f>
        <v>0 (Nenhuma)</v>
      </c>
      <c r="E7" s="19" t="str">
        <f>ROUND(B7/SUM($B$6:$B$9)*100,0) &amp;"%"</f>
        <v>20%</v>
      </c>
      <c r="F7" s="26">
        <f>VLOOKUP(C7,$S$1:$V$12,2,FALSE)</f>
        <v>0</v>
      </c>
      <c r="G7" s="26">
        <f>VLOOKUP(C7,$S$1:$V$12,3,FALSE)</f>
        <v>0</v>
      </c>
      <c r="H7" s="26" t="str">
        <f>VLOOKUP(C7,$S$1:$V$12,4,FALSE)</f>
        <v>Alvenaria</v>
      </c>
      <c r="J7" s="53"/>
      <c r="K7" s="18">
        <v>15</v>
      </c>
      <c r="L7" s="18">
        <v>10</v>
      </c>
      <c r="M7" s="21" t="str">
        <f t="shared" si="7"/>
        <v>2 (Ano, Material)</v>
      </c>
      <c r="N7" s="19" t="str">
        <f>ROUND(K7/SUM($K$2:$K$7)*100,1) &amp;"%"</f>
        <v>13,9%</v>
      </c>
      <c r="O7" s="26" t="str">
        <f t="shared" si="8"/>
        <v>Vãos Multiplos</v>
      </c>
      <c r="P7" s="26" t="str">
        <f t="shared" si="9"/>
        <v>Depois de 1983</v>
      </c>
      <c r="Q7" s="26" t="str">
        <f t="shared" si="10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>COUNTIF($D:$D,Y7)+COUNTIF($M:$M,Y7)</f>
        <v>0</v>
      </c>
      <c r="Y7" s="21" t="s">
        <v>52</v>
      </c>
      <c r="Z7" s="42">
        <f t="shared" si="11"/>
        <v>0</v>
      </c>
    </row>
    <row r="8" spans="1:27" ht="20" customHeight="1" x14ac:dyDescent="0.35">
      <c r="A8" s="50"/>
      <c r="B8" s="18">
        <v>1</v>
      </c>
      <c r="C8" s="18">
        <v>8</v>
      </c>
      <c r="D8" s="21" t="str">
        <f t="shared" ref="D8" si="12">COUNTIF(F8,$F$6)+COUNTIF(G8,$G$6)+COUNTIF(H8,$H$6)&amp;" ("&amp; IF(F8=$F$6,"Estrutura, ","") &amp; IF(G8=$G$6,"Ano, ","") &amp;IF(H8=$H$6,"Material","") &amp; IF(OR(F8=$F$6,G8=$G$6,H8=$H$6),"","Nenhuma") &amp;")"</f>
        <v>0 (Nenhuma)</v>
      </c>
      <c r="E8" s="19" t="str">
        <f>ROUND(B8/SUM($B$6:$B$9)*100,0) &amp;"%"</f>
        <v>20%</v>
      </c>
      <c r="F8" s="26" t="str">
        <f>VLOOKUP(C8,$S$1:$V$12,2,FALSE)</f>
        <v>Tabuleiro simples/apoiado</v>
      </c>
      <c r="G8" s="26" t="str">
        <f>VLOOKUP(C8,$S$1:$V$12,3,FALSE)</f>
        <v>Depois de 1983</v>
      </c>
      <c r="H8" s="26" t="str">
        <f>VLOOKUP(C8,$S$1:$V$12,4,FALSE)</f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>COUNTIF($D:$D,Y8)+COUNTIF($M:$M,Y8)</f>
        <v>4</v>
      </c>
      <c r="Y8" s="21" t="s">
        <v>53</v>
      </c>
      <c r="Z8" s="42">
        <f t="shared" si="11"/>
        <v>0.12121212121212122</v>
      </c>
    </row>
    <row r="9" spans="1:27" ht="20" customHeight="1" x14ac:dyDescent="0.35">
      <c r="A9" s="50"/>
      <c r="B9" s="18">
        <v>3</v>
      </c>
      <c r="C9" s="18">
        <v>10</v>
      </c>
      <c r="D9" s="21" t="str">
        <f>COUNTIF(F9,$F$6)+COUNTIF(G9,$G$6)+COUNTIF(H9,$H$6)&amp;" ("&amp; IF(F9=$F$6,"Estrutura, ","") &amp; IF(G9=$G$6,"Ano, ","") &amp;IF(H9=$H$6,"Material","") &amp; IF(OR(F9=$F$6,G9=$G$6,H9=$H$6),"","Nenhuma") &amp;")"</f>
        <v>0 (Nenhuma)</v>
      </c>
      <c r="E9" s="19" t="str">
        <f>ROUND(B9/SUM($B$6:$B$9)*100,0) &amp;"%"</f>
        <v>60%</v>
      </c>
      <c r="F9" s="26" t="str">
        <f>VLOOKUP(C9,$S$1:$V$12,2,FALSE)</f>
        <v>Vãos Multiplos</v>
      </c>
      <c r="G9" s="26" t="str">
        <f>VLOOKUP(C9,$S$1:$V$12,3,FALSE)</f>
        <v>Depois de 1983</v>
      </c>
      <c r="H9" s="26" t="str">
        <f>VLOOKUP(C9,$S$1:$V$12,4,FALSE)</f>
        <v>Betão Armado</v>
      </c>
      <c r="J9" s="51" t="s">
        <v>58</v>
      </c>
      <c r="K9" s="22">
        <v>12</v>
      </c>
      <c r="L9" s="22">
        <v>7</v>
      </c>
      <c r="M9" s="23">
        <f>K9/SUM(K9:K12)</f>
        <v>0.6</v>
      </c>
      <c r="N9" s="40"/>
      <c r="O9" s="25" t="str">
        <f t="shared" ref="O9:O12" si="13">VLOOKUP(L9,$S$1:$V$12,2,FALSE)</f>
        <v>Tabuleiro simples/apoiado</v>
      </c>
      <c r="P9" s="25" t="str">
        <f t="shared" ref="P9:P12" si="14">VLOOKUP(L9,$S$1:$V$12,3,FALSE)</f>
        <v>Antes de 1983</v>
      </c>
      <c r="Q9" s="25" t="str">
        <f t="shared" ref="Q9:Q12" si="15">VLOOKUP(L9,$S$1:$V$12,4,FALSE)</f>
        <v>Betão Armado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>COUNTIF($D:$D,Y9)+COUNTIF($M:$M,Y9)</f>
        <v>9</v>
      </c>
      <c r="Y9" s="21" t="s">
        <v>54</v>
      </c>
      <c r="Z9" s="42">
        <f t="shared" si="11"/>
        <v>0.27272727272727271</v>
      </c>
    </row>
    <row r="10" spans="1:27" ht="20" customHeight="1" x14ac:dyDescent="0.35">
      <c r="J10" s="52"/>
      <c r="K10" s="18">
        <v>1</v>
      </c>
      <c r="L10" s="18">
        <v>0</v>
      </c>
      <c r="M10" s="21" t="str">
        <f>COUNTIF(O10,$O$9)+COUNTIF(P10,$P$9)+COUNTIF(Q10,$Q$9)&amp;" ("&amp; IF(O10=$O$9,"Estrutura, ","") &amp; IF(P10=$P$9,"Ano, ","") &amp;IF(Q10=$Q$9,"Material","") &amp; IF(OR(O10=$O$9,P10=$P$9,Q10=$Q$9),"","Nenhuma") &amp;")"</f>
        <v>0 (Nenhuma)</v>
      </c>
      <c r="N10" s="19" t="str">
        <f>ROUND(K10/SUM($K$9:$K$12)*100,0) &amp;"%"</f>
        <v>5%</v>
      </c>
      <c r="O10" s="26">
        <f t="shared" si="13"/>
        <v>0</v>
      </c>
      <c r="P10" s="26">
        <f t="shared" si="14"/>
        <v>0</v>
      </c>
      <c r="Q10" s="26" t="str">
        <f t="shared" si="15"/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33</v>
      </c>
    </row>
    <row r="11" spans="1:27" ht="20" customHeight="1" x14ac:dyDescent="0.35">
      <c r="A11" s="50" t="s">
        <v>32</v>
      </c>
      <c r="B11" s="22">
        <v>0</v>
      </c>
      <c r="C11" s="22">
        <v>2</v>
      </c>
      <c r="D11" s="23">
        <f>B11/SUM(B11:B14)</f>
        <v>0</v>
      </c>
      <c r="E11" s="40"/>
      <c r="F11" s="25" t="s">
        <v>55</v>
      </c>
      <c r="G11" s="25" t="str">
        <f>VLOOKUP(C11,$S$1:$V$12,3,FALSE)</f>
        <v>Depois de 1983</v>
      </c>
      <c r="H11" s="25" t="str">
        <f>VLOOKUP(C11,$S$1:$V$12,4,FALSE)</f>
        <v>Aço</v>
      </c>
      <c r="J11" s="52"/>
      <c r="K11" s="18">
        <v>1</v>
      </c>
      <c r="L11" s="18">
        <v>8</v>
      </c>
      <c r="M11" s="21" t="str">
        <f>COUNTIF(O11,$O$9)+COUNTIF(P11,$P$9)+COUNTIF(Q11,$Q$9)&amp;" ("&amp; IF(O11=$O$9,"Estrutura, ","") &amp; IF(P11=$P$9,"Ano, ","") &amp;IF(Q11=$Q$9,"Material","") &amp; IF(OR(O11=$O$9,P11=$P$9,Q11=$Q$9),"","Nenhuma") &amp;")"</f>
        <v>2 (Estrutura, Material)</v>
      </c>
      <c r="N11" s="19" t="str">
        <f>ROUND(K11/SUM($K$9:$K$12)*100,0) &amp;"%"</f>
        <v>5%</v>
      </c>
      <c r="O11" s="26" t="str">
        <f t="shared" si="13"/>
        <v>Tabuleiro simples/apoiado</v>
      </c>
      <c r="P11" s="26" t="str">
        <f t="shared" si="14"/>
        <v>Depois de 1983</v>
      </c>
      <c r="Q11" s="26" t="str">
        <f t="shared" si="15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0"/>
      <c r="B12" s="18">
        <v>6</v>
      </c>
      <c r="C12" s="18">
        <v>4</v>
      </c>
      <c r="D12" s="21" t="str">
        <f>COUNTIF(F12,$F$11)+COUNTIF(G12,$G$11)+COUNTIF(H12,$H$11)&amp;" ("&amp; IF(F12=$F$11,"Estrutura, ","") &amp; IF(G12=$G$11,"Ano, ","") &amp;IF(H12=$H$11,"Material","") &amp; IF(OR(F12=$F$11,G12=$G$11,H12=$H$11),"","Nenhuma") &amp;")"</f>
        <v>1 (Ano, )</v>
      </c>
      <c r="E12" s="19" t="str">
        <f>ROUND(B12/SUM($B$11:$B$14)*100,1) &amp;"%"</f>
        <v>75%</v>
      </c>
      <c r="F12" s="26" t="str">
        <f>VLOOKUP(C12,$S$1:$V$12,2,FALSE)</f>
        <v>Arco</v>
      </c>
      <c r="G12" s="26" t="str">
        <f>VLOOKUP(C12,$S$1:$V$12,3,FALSE)</f>
        <v>Depois de 1983</v>
      </c>
      <c r="H12" s="26" t="str">
        <f>VLOOKUP(C12,$S$1:$V$12,4,FALSE)</f>
        <v>Betão Armado</v>
      </c>
      <c r="J12" s="53"/>
      <c r="K12" s="18">
        <v>6</v>
      </c>
      <c r="L12" s="18">
        <v>10</v>
      </c>
      <c r="M12" s="21" t="str">
        <f>COUNTIF(O12,$O$9)+COUNTIF(P12,$P$9)+COUNTIF(Q12,$Q$9)&amp;" ("&amp; IF(O12=$O$9,"Estrutura, ","") &amp; IF(P12=$P$9,"Ano, ","") &amp;IF(Q12=$Q$9,"Material","") &amp; IF(OR(O12=$O$9,P12=$P$9,Q12=$Q$9),"","Nenhuma") &amp;")"</f>
        <v>1 (Material)</v>
      </c>
      <c r="N12" s="19" t="str">
        <f>ROUND(K12/SUM($K$9:$K$12)*100,0) &amp;"%"</f>
        <v>30%</v>
      </c>
      <c r="O12" s="26" t="str">
        <f t="shared" si="13"/>
        <v>Vãos Multiplos</v>
      </c>
      <c r="P12" s="26" t="str">
        <f t="shared" si="14"/>
        <v>Depois de 1983</v>
      </c>
      <c r="Q12" s="26" t="str">
        <f t="shared" si="15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0"/>
      <c r="B13" s="18">
        <v>1</v>
      </c>
      <c r="C13" s="18">
        <v>7</v>
      </c>
      <c r="D13" s="21" t="str">
        <f>COUNTIF(F13,$F$11)+COUNTIF(G13,$G$11)+COUNTIF(H13,$H$11)&amp;" ("&amp; IF(F13=$F$11,"Estrutura, ","") &amp; IF(G13=$G$11,"Ano, ","") &amp;IF(H13=$H$11,"Material","") &amp; IF(OR(F13=$F$11,G13=$G$11,H13=$H$11),"","Nenhuma") &amp;")"</f>
        <v>0 (Nenhuma)</v>
      </c>
      <c r="E13" s="19" t="str">
        <f t="shared" ref="E13:E14" si="16">ROUND(B13/SUM($B$11:$B$14)*100,1) &amp;"%"</f>
        <v>12,5%</v>
      </c>
      <c r="F13" s="26" t="str">
        <f>VLOOKUP(C13,$S$1:$V$12,2,FALSE)</f>
        <v>Tabuleiro simples/apoiado</v>
      </c>
      <c r="G13" s="26" t="str">
        <f>VLOOKUP(C13,$S$1:$V$12,3,FALSE)</f>
        <v>Antes de 1983</v>
      </c>
      <c r="H13" s="26" t="str">
        <f>VLOOKUP(C13,$S$1:$V$12,4,FALSE)</f>
        <v>Betão Armado</v>
      </c>
    </row>
    <row r="14" spans="1:27" ht="20" customHeight="1" x14ac:dyDescent="0.35">
      <c r="A14" s="50"/>
      <c r="B14" s="18">
        <v>1</v>
      </c>
      <c r="C14" s="18">
        <v>10</v>
      </c>
      <c r="D14" s="21" t="str">
        <f>COUNTIF(F14,$F$11)+COUNTIF(G14,$G$11)+COUNTIF(H14,$H$11)&amp;" ("&amp; IF(F14=$F$11,"Estrutura, ","") &amp; IF(G14=$G$11,"Ano, ","") &amp;IF(H14=$H$11,"Material","") &amp; IF(OR(F14=$F$11,G14=$G$11,H14=$H$11),"","Nenhuma") &amp;")"</f>
        <v>1 (Ano, )</v>
      </c>
      <c r="E14" s="19" t="str">
        <f t="shared" si="16"/>
        <v>12,5%</v>
      </c>
      <c r="F14" s="26" t="str">
        <f>VLOOKUP(C14,$S$1:$V$12,2,FALSE)</f>
        <v>Vãos Multiplos</v>
      </c>
      <c r="G14" s="26" t="str">
        <f>VLOOKUP(C14,$S$1:$V$12,3,FALSE)</f>
        <v>Depois de 1983</v>
      </c>
      <c r="H14" s="26" t="str">
        <f>VLOOKUP(C14,$S$1:$V$12,4,FALSE)</f>
        <v>Betão Armado</v>
      </c>
      <c r="J14" s="51" t="s">
        <v>59</v>
      </c>
      <c r="K14" s="22">
        <v>15</v>
      </c>
      <c r="L14" s="22">
        <v>8</v>
      </c>
      <c r="M14" s="41">
        <f>K14/SUM(K14:K16)</f>
        <v>0.45454545454545453</v>
      </c>
      <c r="N14" s="40"/>
      <c r="O14" s="25" t="str">
        <f>VLOOKUP(L14,$S$1:$V$12,2,FALSE)</f>
        <v>Tabuleiro simples/apoiado</v>
      </c>
      <c r="P14" s="25" t="str">
        <f t="shared" ref="P14:P16" si="17">VLOOKUP(L14,$S$1:$V$12,3,FALSE)</f>
        <v>Depois de 1983</v>
      </c>
      <c r="Q14" s="25" t="str">
        <f t="shared" ref="Q14:Q16" si="18">VLOOKUP(L14,$S$1:$V$12,4,FALSE)</f>
        <v>Betão Armado</v>
      </c>
    </row>
    <row r="15" spans="1:27" ht="20" customHeight="1" x14ac:dyDescent="0.35">
      <c r="J15" s="52"/>
      <c r="K15" s="18">
        <v>7</v>
      </c>
      <c r="L15" s="18">
        <v>7</v>
      </c>
      <c r="M15" s="21" t="str">
        <f>COUNTIF(O15,$O$14)+COUNTIF(P15,$P$14)+COUNTIF(Q15,$Q$14)&amp;" ("&amp; IF(O15=$O$14,"Estrutura, ","") &amp; IF(P15=$P$14,"Ano, ","") &amp;IF(Q15=$Q$14,"Material","") &amp; IF(OR(O15=$O$14,P15=$P$14,Q15=$Q$14),"","Nenhuma") &amp;")"</f>
        <v>2 (Estrutura, Material)</v>
      </c>
      <c r="N15" s="19" t="str">
        <f>ROUND(K15/SUM($K$14:$K$16)*100,1) &amp;"%"</f>
        <v>21,2%</v>
      </c>
      <c r="O15" s="26" t="str">
        <f>VLOOKUP(L15,$S$1:$V$12,2,FALSE)</f>
        <v>Tabuleiro simples/apoiado</v>
      </c>
      <c r="P15" s="26" t="str">
        <f t="shared" si="17"/>
        <v>Antes de 1983</v>
      </c>
      <c r="Q15" s="26" t="str">
        <f t="shared" si="18"/>
        <v>Betão Armado</v>
      </c>
    </row>
    <row r="16" spans="1:27" ht="20" customHeight="1" x14ac:dyDescent="0.35">
      <c r="A16" s="50" t="s">
        <v>37</v>
      </c>
      <c r="B16" s="22">
        <v>1</v>
      </c>
      <c r="C16" s="22">
        <v>3</v>
      </c>
      <c r="D16" s="23">
        <f>B16/SUM(B16:B20)</f>
        <v>0.2</v>
      </c>
      <c r="E16" s="40"/>
      <c r="F16" s="25" t="str">
        <f>VLOOKUP(C16,$S$1:$V$12,2,FALSE)</f>
        <v>Arco</v>
      </c>
      <c r="G16" s="25" t="str">
        <f>VLOOKUP(C16,$S$1:$V$12,3,FALSE)</f>
        <v>Antes de 1983</v>
      </c>
      <c r="H16" s="25" t="str">
        <f>VLOOKUP(C16,$S$1:$V$12,4,FALSE)</f>
        <v>Betão Armado</v>
      </c>
      <c r="J16" s="52"/>
      <c r="K16" s="18">
        <v>11</v>
      </c>
      <c r="L16" s="18">
        <v>10</v>
      </c>
      <c r="M16" s="21" t="str">
        <f>COUNTIF(O16,$O$14)+COUNTIF(P16,$P$14)+COUNTIF(Q16,$Q$14)&amp;" ("&amp; IF(O16=$O$14,"Estrutura, ","") &amp; IF(P16=$P$14,"Ano, ","") &amp;IF(Q16=$Q$14,"Material","") &amp; IF(OR(O16=$O$14,P16=$P$14,Q16=$Q$14),"","Nenhuma") &amp;")"</f>
        <v>2 (Ano, Material)</v>
      </c>
      <c r="N16" s="19" t="str">
        <f>ROUND(K16/SUM($K$14:$K$16)*100,1) &amp;"%"</f>
        <v>33,3%</v>
      </c>
      <c r="O16" s="26" t="str">
        <f t="shared" ref="O16" si="19">VLOOKUP(L16,$S$1:$V$12,2,FALSE)</f>
        <v>Vãos Multiplos</v>
      </c>
      <c r="P16" s="26" t="str">
        <f t="shared" si="17"/>
        <v>Depois de 1983</v>
      </c>
      <c r="Q16" s="26" t="str">
        <f t="shared" si="18"/>
        <v>Betão Armado</v>
      </c>
    </row>
    <row r="17" spans="1:17" ht="20" customHeight="1" x14ac:dyDescent="0.35">
      <c r="A17" s="50"/>
      <c r="B17" s="18">
        <v>1</v>
      </c>
      <c r="C17" s="18">
        <v>0</v>
      </c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0 (Nenhuma)</v>
      </c>
      <c r="E17" s="19" t="str">
        <f>ROUND(B17/SUM($B$16:$B$20)*100,0) &amp;"%"</f>
        <v>20%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50"/>
      <c r="B18" s="18">
        <v>1</v>
      </c>
      <c r="C18" s="18">
        <v>1</v>
      </c>
      <c r="D18" s="21" t="str">
        <f>COUNTIF(F18,$F$16)+COUNTIF(G18,$G$16)+COUNTIF(H18,$H$16)&amp;" ("&amp; IF(F18=$F$16,"Estrutura, ","") &amp; IF(G18=$G$16,"Ano, ","") &amp;IF(H18=$H$16,"Material","") &amp; IF(OR(F18=$F$16,G18=$G$16,H18=$H$16),"","Nenhuma") &amp;")"</f>
        <v>1 (Ano, )</v>
      </c>
      <c r="E18" s="19" t="str">
        <f>ROUND(B18/SUM($B$16:$B$20)*100,0) &amp;"%"</f>
        <v>20%</v>
      </c>
      <c r="F18" s="26">
        <f>VLOOKUP(C18,$S$1:$V$12,2,FALSE)</f>
        <v>0</v>
      </c>
      <c r="G18" s="26" t="str">
        <f>VLOOKUP(C18,$S$1:$V$12,3,FALSE)</f>
        <v>Antes de 1983</v>
      </c>
      <c r="H18" s="26" t="str">
        <f>VLOOKUP(C18,$S$1:$V$12,4,FALSE)</f>
        <v>Aço</v>
      </c>
      <c r="J18" s="51" t="s">
        <v>60</v>
      </c>
      <c r="K18" s="22">
        <v>0</v>
      </c>
      <c r="L18" s="22">
        <v>9</v>
      </c>
      <c r="M18" s="41">
        <f>K18/SUM(K18:K22)</f>
        <v>0</v>
      </c>
      <c r="N18" s="40"/>
      <c r="O18" s="25" t="str">
        <f>VLOOKUP(L18,$S$1:$V$12,2,FALSE)</f>
        <v>Vãos Multiplos</v>
      </c>
      <c r="P18" s="25" t="str">
        <f t="shared" ref="P18:P22" si="20">VLOOKUP(L18,$S$1:$V$12,3,FALSE)</f>
        <v>Antes de 1983</v>
      </c>
      <c r="Q18" s="25" t="str">
        <f t="shared" ref="Q18:Q22" si="21">VLOOKUP(L18,$S$1:$V$12,4,FALSE)</f>
        <v>Betão Armado</v>
      </c>
    </row>
    <row r="19" spans="1:17" ht="20" customHeight="1" x14ac:dyDescent="0.35">
      <c r="A19" s="50"/>
      <c r="B19" s="18">
        <v>1</v>
      </c>
      <c r="C19" s="18">
        <v>7</v>
      </c>
      <c r="D19" s="21" t="str">
        <f>COUNTIF(F19,$F$16)+COUNTIF(G19,$G$16)+COUNTIF(H19,$H$16)&amp;" ("&amp; IF(F19=$F$16,"Estrutura, ","") &amp; IF(G19=$G$16,"Ano, ","") &amp;IF(H19=$H$16,"Material","") &amp; IF(OR(F19=$F$16,G19=$G$16,H19=$H$16),"","Nenhuma") &amp;")"</f>
        <v>2 (Ano, Material)</v>
      </c>
      <c r="E19" s="19" t="str">
        <f>ROUND(B19/SUM($B$16:$B$20)*100,0) &amp;"%"</f>
        <v>20%</v>
      </c>
      <c r="F19" s="26" t="str">
        <f>VLOOKUP(C19,$S$1:$V$12,2,FALSE)</f>
        <v>Tabuleiro simples/apoiado</v>
      </c>
      <c r="G19" s="26" t="str">
        <f>VLOOKUP(C19,$S$1:$V$12,3,FALSE)</f>
        <v>Antes de 1983</v>
      </c>
      <c r="H19" s="26" t="str">
        <f>VLOOKUP(C19,$S$1:$V$12,4,FALSE)</f>
        <v>Betão Armado</v>
      </c>
      <c r="J19" s="52"/>
      <c r="K19" s="18">
        <v>1</v>
      </c>
      <c r="L19" s="18">
        <v>0</v>
      </c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0 (Nenhuma)</v>
      </c>
      <c r="N19" s="19" t="str">
        <f>ROUND(K19/SUM($K$18:$K$22)*100,1) &amp;"%"</f>
        <v>2,7%</v>
      </c>
      <c r="O19" s="26">
        <f>VLOOKUP(L19,$S$1:$V$12,2,FALSE)</f>
        <v>0</v>
      </c>
      <c r="P19" s="26">
        <f t="shared" si="20"/>
        <v>0</v>
      </c>
      <c r="Q19" s="26" t="str">
        <f t="shared" si="21"/>
        <v>Alvenaria</v>
      </c>
    </row>
    <row r="20" spans="1:17" ht="20" customHeight="1" x14ac:dyDescent="0.35">
      <c r="A20" s="50"/>
      <c r="B20" s="18">
        <v>1</v>
      </c>
      <c r="C20" s="18">
        <v>10</v>
      </c>
      <c r="D20" s="21" t="str">
        <f>COUNTIF(F20,$F$16)+COUNTIF(G20,$G$16)+COUNTIF(H20,$H$16)&amp;" ("&amp; IF(F20=$F$16,"Estrutura, ","") &amp; IF(G20=$G$16,"Ano, ","") &amp;IF(H20=$H$16,"Material","") &amp; IF(OR(F20=$F$16,G20=$G$16,H20=$H$16),"","Nenhuma") &amp;")"</f>
        <v>1 (Material)</v>
      </c>
      <c r="E20" s="19" t="str">
        <f>ROUND(B20/SUM($B$16:$B$20)*100,0) &amp;"%"</f>
        <v>20%</v>
      </c>
      <c r="F20" s="26" t="str">
        <f>VLOOKUP(C20,$S$1:$V$12,2,FALSE)</f>
        <v>Vãos Multiplos</v>
      </c>
      <c r="G20" s="26" t="str">
        <f>VLOOKUP(C20,$S$1:$V$12,3,FALSE)</f>
        <v>Depois de 1983</v>
      </c>
      <c r="H20" s="26" t="str">
        <f>VLOOKUP(C20,$S$1:$V$12,4,FALSE)</f>
        <v>Betão Armado</v>
      </c>
      <c r="J20" s="52"/>
      <c r="K20" s="18">
        <v>5</v>
      </c>
      <c r="L20" s="18">
        <v>7</v>
      </c>
      <c r="M20" s="21" t="str">
        <f>COUNTIF(O20,$O$18)+COUNTIF(P20,$P$18)+COUNTIF(Q20,$Q$18)&amp;" ("&amp; IF(O20=$O$18,"Estrutura, ","") &amp; IF(P20=$P$18,"Ano, ","") &amp;IF(Q20=$Q$18,"Material","") &amp; IF(OR(O20=$O$18,P20=$P$18,Q20=$Q$18),"","Nenhuma") &amp;")"</f>
        <v>2 (Ano, Material)</v>
      </c>
      <c r="N20" s="19" t="str">
        <f>ROUND(K20/SUM($K$18:$K$22)*100,1) &amp;"%"</f>
        <v>13,5%</v>
      </c>
      <c r="O20" s="26" t="str">
        <f t="shared" ref="O20:O22" si="22">VLOOKUP(L20,$S$1:$V$12,2,FALSE)</f>
        <v>Tabuleiro simples/apoiado</v>
      </c>
      <c r="P20" s="26" t="str">
        <f t="shared" si="20"/>
        <v>Antes de 1983</v>
      </c>
      <c r="Q20" s="26" t="str">
        <f t="shared" si="21"/>
        <v>Betão Armado</v>
      </c>
    </row>
    <row r="21" spans="1:17" ht="20" customHeight="1" x14ac:dyDescent="0.35">
      <c r="J21" s="52"/>
      <c r="K21" s="18">
        <v>1</v>
      </c>
      <c r="L21" s="18">
        <v>8</v>
      </c>
      <c r="M21" s="21" t="str">
        <f>COUNTIF(O21,$O$18)+COUNTIF(P21,$P$18)+COUNTIF(Q21,$Q$18)&amp;" ("&amp; IF(O21=$O$18,"Estrutura, ","") &amp; IF(P21=$P$18,"Ano, ","") &amp;IF(Q21=$Q$18,"Material","") &amp; IF(OR(O21=$O$18,P21=$P$18,Q21=$Q$18),"","Nenhuma") &amp;")"</f>
        <v>1 (Material)</v>
      </c>
      <c r="N21" s="19" t="str">
        <f>ROUND(K21/SUM($K$18:$K$22)*100,1) &amp;"%"</f>
        <v>2,7%</v>
      </c>
      <c r="O21" s="26" t="str">
        <f t="shared" si="22"/>
        <v>Tabuleiro simples/apoiado</v>
      </c>
      <c r="P21" s="26" t="str">
        <f t="shared" si="20"/>
        <v>Depois de 1983</v>
      </c>
      <c r="Q21" s="26" t="str">
        <f t="shared" si="21"/>
        <v>Betão Armado</v>
      </c>
    </row>
    <row r="22" spans="1:17" ht="20" customHeight="1" x14ac:dyDescent="0.35">
      <c r="A22" s="58" t="s">
        <v>38</v>
      </c>
      <c r="B22" s="22">
        <v>6</v>
      </c>
      <c r="C22" s="22">
        <v>4</v>
      </c>
      <c r="D22" s="41">
        <f>B22/SUM(B22:B23)</f>
        <v>0.75</v>
      </c>
      <c r="E22" s="40"/>
      <c r="F22" s="25" t="str">
        <f>VLOOKUP(C22,$S$1:$V$12,2,FALSE)</f>
        <v>Arco</v>
      </c>
      <c r="G22" s="25" t="str">
        <f>VLOOKUP(C22,$S$1:$V$12,3,FALSE)</f>
        <v>Depois de 1983</v>
      </c>
      <c r="H22" s="25" t="str">
        <f>VLOOKUP(C22,$S$1:$V$12,4,FALSE)</f>
        <v>Betão Armado</v>
      </c>
      <c r="J22" s="53"/>
      <c r="K22" s="18">
        <v>30</v>
      </c>
      <c r="L22" s="18">
        <v>10</v>
      </c>
      <c r="M22" s="21" t="str">
        <f>COUNTIF(O22,$O$18)+COUNTIF(P22,$P$18)+COUNTIF(Q22,$Q$18)&amp;" ("&amp; IF(O22=$O$18,"Estrutura, ","") &amp; IF(P22=$P$18,"Ano, ","") &amp;IF(Q22=$Q$18,"Material","") &amp; IF(OR(O22=$O$18,P22=$P$18,Q22=$Q$18),"","Nenhuma") &amp;")"</f>
        <v>2 (Estrutura, Material)</v>
      </c>
      <c r="N22" s="19" t="str">
        <f>ROUND(K22/SUM($K$18:$K$22)*100,1) &amp;"%"</f>
        <v>81,1%</v>
      </c>
      <c r="O22" s="26" t="str">
        <f t="shared" si="22"/>
        <v>Vãos Multiplos</v>
      </c>
      <c r="P22" s="26" t="str">
        <f t="shared" si="20"/>
        <v>Depois de 1983</v>
      </c>
      <c r="Q22" s="26" t="str">
        <f t="shared" si="21"/>
        <v>Betão Armado</v>
      </c>
    </row>
    <row r="23" spans="1:17" ht="20" customHeight="1" x14ac:dyDescent="0.35">
      <c r="A23" s="58"/>
      <c r="B23" s="18">
        <v>2</v>
      </c>
      <c r="C23" s="18">
        <v>8</v>
      </c>
      <c r="D23" s="21" t="str">
        <f>COUNTIF(F23,F22)+COUNTIF(G23,G22)+COUNTIF(H23,H22)&amp;" ("&amp; IF(F23=F22,"Estrutura, ","") &amp; IF(G23=G22,"Ano, ","") &amp;IF(H23=H22,"Material","") &amp; IF(OR(F23=F22,G23=G22,H23=H22),"","Nenhuma") &amp;")"</f>
        <v>2 (Ano, Material)</v>
      </c>
      <c r="E23" s="57">
        <f>B23/SUM(B22:B23)</f>
        <v>0.25</v>
      </c>
      <c r="F23" s="26" t="str">
        <f>VLOOKUP(C23,$S$1:$V$12,2,FALSE)</f>
        <v>Tabuleiro simples/apoiado</v>
      </c>
      <c r="G23" s="26" t="str">
        <f>VLOOKUP(C23,$S$1:$V$12,3,FALSE)</f>
        <v>Depois de 1983</v>
      </c>
      <c r="H23" s="26" t="str">
        <f>VLOOKUP(C23,$S$1:$V$12,4,FALSE)</f>
        <v>Betão Armado</v>
      </c>
    </row>
    <row r="24" spans="1:17" ht="20" customHeight="1" x14ac:dyDescent="0.35">
      <c r="J24" s="51" t="s">
        <v>61</v>
      </c>
      <c r="K24" s="22">
        <v>364</v>
      </c>
      <c r="L24" s="22">
        <v>10</v>
      </c>
      <c r="M24" s="41">
        <f>K24/SUM(K24:K27)</f>
        <v>0.914572864321608</v>
      </c>
      <c r="N24" s="40"/>
      <c r="O24" s="25" t="str">
        <f>VLOOKUP(L24,$S$1:$V$12,2,FALSE)</f>
        <v>Vãos Multiplos</v>
      </c>
      <c r="P24" s="25" t="str">
        <f t="shared" ref="P24:P27" si="23">VLOOKUP(L24,$S$1:$V$12,3,FALSE)</f>
        <v>Depois de 1983</v>
      </c>
      <c r="Q24" s="25" t="str">
        <f t="shared" ref="Q24:Q27" si="24">VLOOKUP(L24,$S$1:$V$12,4,FALSE)</f>
        <v>Betão Armado</v>
      </c>
    </row>
    <row r="25" spans="1:17" ht="20" customHeight="1" x14ac:dyDescent="0.35">
      <c r="A25" s="51" t="s">
        <v>56</v>
      </c>
      <c r="B25" s="22">
        <v>1</v>
      </c>
      <c r="C25" s="22">
        <v>5</v>
      </c>
      <c r="D25" s="23">
        <f>B25/SUM(B25:B28)</f>
        <v>9.0909090909090912E-2</v>
      </c>
      <c r="E25" s="40"/>
      <c r="F25" s="25" t="str">
        <f t="shared" ref="F25:F28" si="25">VLOOKUP(C25,$S$1:$V$12,2,FALSE)</f>
        <v>Pórtico</v>
      </c>
      <c r="G25" s="25" t="str">
        <f t="shared" ref="G25:G28" si="26">VLOOKUP(C25,$S$1:$V$12,3,FALSE)</f>
        <v>Antes de 1983</v>
      </c>
      <c r="H25" s="25" t="str">
        <f t="shared" ref="H25:H28" si="27">VLOOKUP(C25,$S$1:$V$12,4,FALSE)</f>
        <v>Betão Armado</v>
      </c>
      <c r="J25" s="52"/>
      <c r="K25" s="18">
        <v>3</v>
      </c>
      <c r="L25" s="18">
        <v>0</v>
      </c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0 (Nenhuma)</v>
      </c>
      <c r="N25" s="19" t="str">
        <f>ROUND(K25/SUM($K$24:$K$27)*100,1) &amp;"%"</f>
        <v>0,8%</v>
      </c>
      <c r="O25" s="26">
        <f>VLOOKUP(L25,$S$1:$V$12,2,FALSE)</f>
        <v>0</v>
      </c>
      <c r="P25" s="26">
        <f t="shared" si="23"/>
        <v>0</v>
      </c>
      <c r="Q25" s="26" t="str">
        <f t="shared" si="24"/>
        <v>Alvenaria</v>
      </c>
    </row>
    <row r="26" spans="1:17" ht="20" customHeight="1" x14ac:dyDescent="0.35">
      <c r="A26" s="52"/>
      <c r="B26" s="18">
        <v>5</v>
      </c>
      <c r="C26" s="18">
        <v>7</v>
      </c>
      <c r="D26" s="21" t="str">
        <f>COUNTIF(F26,$F$25)+COUNTIF(G26,$G$25)+COUNTIF(H26,$H$25)&amp;" ("&amp; IF(F26=$F$25,"Estrutura, ","") &amp; IF(G26=$G$25,"Ano, ","") &amp;IF(H26=$H$25,"Material","") &amp; IF(OR(F26=$F$25,G26=$G$25,H26=$H$25),"","Nenhuma") &amp;")"</f>
        <v>2 (Ano, Material)</v>
      </c>
      <c r="E26" s="19" t="str">
        <f>ROUND(B26/SUM($B$25:$B$28)*100,0) &amp;"%"</f>
        <v>45%</v>
      </c>
      <c r="F26" s="26" t="str">
        <f t="shared" si="25"/>
        <v>Tabuleiro simples/apoiado</v>
      </c>
      <c r="G26" s="26" t="str">
        <f t="shared" si="26"/>
        <v>Antes de 1983</v>
      </c>
      <c r="H26" s="26" t="str">
        <f t="shared" si="27"/>
        <v>Betão Armado</v>
      </c>
      <c r="J26" s="52"/>
      <c r="K26" s="18">
        <v>24</v>
      </c>
      <c r="L26" s="18">
        <v>7</v>
      </c>
      <c r="M26" s="21" t="str">
        <f>COUNTIF(O26,$O$24)+COUNTIF(P26,$P$24)+COUNTIF(Q26,$Q$24)&amp;" ("&amp; IF(O26=$O$24,"Estrutura, ","") &amp; IF(P26=$P$24,"Ano, ","") &amp;IF(Q26=$Q$24,"Material","") &amp; IF(OR(O26=$O$24,P26=$P$24,Q26=$Q$24),"","Nenhuma") &amp;")"</f>
        <v>1 (Material)</v>
      </c>
      <c r="N26" s="19" t="str">
        <f>ROUND(K26/SUM($K$24:$K$27)*100,1) &amp;"%"</f>
        <v>6%</v>
      </c>
      <c r="O26" s="26" t="str">
        <f t="shared" ref="O26:O27" si="28">VLOOKUP(L26,$S$1:$V$12,2,FALSE)</f>
        <v>Tabuleiro simples/apoiado</v>
      </c>
      <c r="P26" s="26" t="str">
        <f t="shared" si="23"/>
        <v>Antes de 1983</v>
      </c>
      <c r="Q26" s="26" t="str">
        <f t="shared" si="24"/>
        <v>Betão Armado</v>
      </c>
    </row>
    <row r="27" spans="1:17" ht="20" customHeight="1" x14ac:dyDescent="0.35">
      <c r="A27" s="52"/>
      <c r="B27" s="18">
        <v>3</v>
      </c>
      <c r="C27" s="18">
        <v>8</v>
      </c>
      <c r="D27" s="21" t="str">
        <f>COUNTIF(F27,$F$25)+COUNTIF(G27,$G$25)+COUNTIF(H27,$H$25)&amp;" ("&amp; IF(F27=$F$25,"Estrutura, ","") &amp; IF(G27=$G$25,"Ano, ","") &amp;IF(H27=$H$25,"Material","") &amp; IF(OR(F27=$F$25,G27=$G$25,H27=$H$25),"","Nenhuma") &amp;")"</f>
        <v>1 (Material)</v>
      </c>
      <c r="E27" s="19" t="str">
        <f>ROUND(B27/SUM($B$25:$B$28)*100,0) &amp;"%"</f>
        <v>27%</v>
      </c>
      <c r="F27" s="26" t="str">
        <f t="shared" si="25"/>
        <v>Tabuleiro simples/apoiado</v>
      </c>
      <c r="G27" s="26" t="str">
        <f t="shared" si="26"/>
        <v>Depois de 1983</v>
      </c>
      <c r="H27" s="26" t="str">
        <f t="shared" si="27"/>
        <v>Betão Armado</v>
      </c>
      <c r="J27" s="52"/>
      <c r="K27" s="18">
        <v>7</v>
      </c>
      <c r="L27" s="18">
        <v>8</v>
      </c>
      <c r="M27" s="21" t="str">
        <f>COUNTIF(O27,$O$24)+COUNTIF(P27,$P$24)+COUNTIF(Q27,$Q$24)&amp;" ("&amp; IF(O27=$O$24,"Estrutura, ","") &amp; IF(P27=$P$24,"Ano, ","") &amp;IF(Q27=$Q$24,"Material","") &amp; IF(OR(O27=$O$24,P27=$P$24,Q27=$Q$24),"","Nenhuma") &amp;")"</f>
        <v>2 (Ano, Material)</v>
      </c>
      <c r="N27" s="19" t="str">
        <f>ROUND(K27/SUM($K$24:$K$27)*100,1) &amp;"%"</f>
        <v>1,8%</v>
      </c>
      <c r="O27" s="26" t="str">
        <f t="shared" si="28"/>
        <v>Tabuleiro simples/apoiado</v>
      </c>
      <c r="P27" s="26" t="str">
        <f t="shared" si="23"/>
        <v>Depois de 1983</v>
      </c>
      <c r="Q27" s="26" t="str">
        <f t="shared" si="24"/>
        <v>Betão Armado</v>
      </c>
    </row>
    <row r="28" spans="1:17" ht="20" customHeight="1" x14ac:dyDescent="0.35">
      <c r="A28" s="53"/>
      <c r="B28" s="18">
        <v>2</v>
      </c>
      <c r="C28" s="18">
        <v>10</v>
      </c>
      <c r="D28" s="21" t="str">
        <f>COUNTIF(F28,$F$25)+COUNTIF(G28,$G$25)+COUNTIF(H28,$H$25)&amp;" ("&amp; IF(F28=$F$25,"Estrutura, ","") &amp; IF(G28=$G$25,"Ano, ","") &amp;IF(H28=$H$25,"Material","") &amp; IF(OR(F28=$F$25,G28=$G$25,H28=$H$25),"","Nenhuma") &amp;")"</f>
        <v>1 (Material)</v>
      </c>
      <c r="E28" s="19" t="str">
        <f>ROUND(B28/SUM($B$25:$B$28)*100,0) &amp;"%"</f>
        <v>18%</v>
      </c>
      <c r="F28" s="26" t="str">
        <f t="shared" si="25"/>
        <v>Vãos Multiplos</v>
      </c>
      <c r="G28" s="26" t="str">
        <f t="shared" si="26"/>
        <v>Depois de 1983</v>
      </c>
      <c r="H28" s="26" t="str">
        <f t="shared" si="27"/>
        <v>Betão Armado</v>
      </c>
    </row>
  </sheetData>
  <mergeCells count="12">
    <mergeCell ref="J2:J7"/>
    <mergeCell ref="J9:J12"/>
    <mergeCell ref="J14:J16"/>
    <mergeCell ref="J18:J22"/>
    <mergeCell ref="J24:J27"/>
    <mergeCell ref="X1:AA1"/>
    <mergeCell ref="A16:A20"/>
    <mergeCell ref="A2:A4"/>
    <mergeCell ref="A6:A9"/>
    <mergeCell ref="A11:A14"/>
    <mergeCell ref="A22:A23"/>
    <mergeCell ref="A25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G12" sqref="G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0.97678018575851389</v>
      </c>
      <c r="C2" s="2">
        <v>0.41666666666666669</v>
      </c>
      <c r="D2" s="2">
        <v>0.38461538461538458</v>
      </c>
      <c r="E2" s="2">
        <v>0.4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x14ac:dyDescent="0.35">
      <c r="A3" s="15">
        <v>1</v>
      </c>
      <c r="B3" s="2">
        <v>0.99071207430340558</v>
      </c>
      <c r="C3" s="2">
        <v>0</v>
      </c>
      <c r="D3" s="2">
        <v>0</v>
      </c>
      <c r="E3" s="2">
        <v>0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7">
        <v>2</v>
      </c>
      <c r="B4" s="43">
        <v>0.9876160990712074</v>
      </c>
      <c r="C4" s="43">
        <v>0</v>
      </c>
      <c r="D4" s="43">
        <v>0</v>
      </c>
      <c r="E4" s="43">
        <v>0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38">
        <v>3</v>
      </c>
      <c r="B5" s="2">
        <v>0.99380804953560375</v>
      </c>
      <c r="C5" s="2">
        <v>1</v>
      </c>
      <c r="D5" s="2">
        <v>0.2</v>
      </c>
      <c r="E5" s="2">
        <v>0.33333333333333343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x14ac:dyDescent="0.35">
      <c r="A6" s="15">
        <v>4</v>
      </c>
      <c r="B6" s="2">
        <v>0.98297213622291024</v>
      </c>
      <c r="C6" s="2">
        <v>0.4</v>
      </c>
      <c r="D6" s="2">
        <v>0.75</v>
      </c>
      <c r="E6" s="2">
        <v>0.52173913043478271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Baixo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Boa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Médio</v>
      </c>
      <c r="K6"/>
    </row>
    <row r="7" spans="1:11" x14ac:dyDescent="0.35">
      <c r="A7" s="15">
        <v>5</v>
      </c>
      <c r="B7" s="2">
        <v>0.97987616099071206</v>
      </c>
      <c r="C7" s="2">
        <v>0.25</v>
      </c>
      <c r="D7" s="2">
        <v>9.0909090909090912E-2</v>
      </c>
      <c r="E7" s="2">
        <v>0.1333333333333333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0.87770897832817341</v>
      </c>
      <c r="C8" s="2">
        <v>1</v>
      </c>
      <c r="D8" s="2">
        <v>0.26851851851851849</v>
      </c>
      <c r="E8" s="2">
        <v>0.42335766423357668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Boa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Muito Alta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Baixo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Baixo</v>
      </c>
      <c r="K8"/>
    </row>
    <row r="9" spans="1:11" x14ac:dyDescent="0.35">
      <c r="A9" s="15">
        <v>7</v>
      </c>
      <c r="B9" s="2">
        <v>0.84829721362229105</v>
      </c>
      <c r="C9" s="2">
        <v>0.1176470588235294</v>
      </c>
      <c r="D9" s="2">
        <v>0.6</v>
      </c>
      <c r="E9" s="2">
        <v>0.1967213114754098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Boa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Muito 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Muito Baixo</v>
      </c>
      <c r="K9"/>
    </row>
    <row r="10" spans="1:11" x14ac:dyDescent="0.35">
      <c r="A10" s="15">
        <v>8</v>
      </c>
      <c r="B10" s="2">
        <v>0.91950464396284826</v>
      </c>
      <c r="C10" s="2">
        <v>0.30612244897959179</v>
      </c>
      <c r="D10" s="2">
        <v>0.45454545454545447</v>
      </c>
      <c r="E10" s="2">
        <v>0.36585365853658541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Baixo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0.94272445820433437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0.84055727554179571</v>
      </c>
      <c r="C12" s="2">
        <v>0.84064665127020788</v>
      </c>
      <c r="D12" s="2">
        <v>0.914572864321608</v>
      </c>
      <c r="E12" s="2">
        <v>0.87605294825511437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Boa</v>
      </c>
      <c r="K12"/>
    </row>
    <row r="13" spans="1:11" x14ac:dyDescent="0.35">
      <c r="A13" s="7" t="s">
        <v>8</v>
      </c>
      <c r="B13" s="5">
        <f>MIN(B2:B12)</f>
        <v>0.84055727554179571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6</v>
      </c>
      <c r="H13" s="9">
        <f>COUNTIF(H2:H12,$K$13)</f>
        <v>2</v>
      </c>
      <c r="I13" s="9">
        <f>COUNTIF(I2:I12,$K$13)</f>
        <v>0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0.914572864321608</v>
      </c>
      <c r="E14" s="6">
        <f>MAX(E2:E12)</f>
        <v>0.87605294825511437</v>
      </c>
      <c r="G14" s="9">
        <f>COUNTIF(G2:G12,$K$14)</f>
        <v>2</v>
      </c>
      <c r="H14" s="9">
        <f>COUNTIF(H2:H12,$K$14)</f>
        <v>0</v>
      </c>
      <c r="I14" s="9">
        <f>COUNTIF(I2:I12,$K$14)</f>
        <v>1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3</v>
      </c>
      <c r="D15">
        <f>COUNTIF(D2:D12,"=0")</f>
        <v>3</v>
      </c>
      <c r="E15">
        <f>COUNTIF(E2:E12,"=0")</f>
        <v>3</v>
      </c>
      <c r="G15" s="9">
        <f>COUNTIF(G2:G12,$K$15)</f>
        <v>3</v>
      </c>
      <c r="H15" s="9">
        <f>COUNTIF(H2:H12,$K$15)</f>
        <v>1</v>
      </c>
      <c r="I15" s="9">
        <f>COUNTIF(I2:I12,$K$15)</f>
        <v>1</v>
      </c>
      <c r="J15" s="9">
        <f>COUNTIF(J2:J12,$K$15)</f>
        <v>1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1</v>
      </c>
      <c r="J16" s="9">
        <f>COUNTIF(J2:J12,$K$16)</f>
        <v>1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1</v>
      </c>
      <c r="D17" s="5">
        <f>INDEX($A$2:$A$12,MATCH(D13,D2:D12,0))</f>
        <v>1</v>
      </c>
      <c r="E17" s="5">
        <f>INDEX($A$2:$A$12,MATCH(E13,E2:E12,0))</f>
        <v>1</v>
      </c>
      <c r="G17" s="9">
        <f>COUNTIF(G2:G12,$K$17)</f>
        <v>0</v>
      </c>
      <c r="H17" s="9">
        <f>COUNTIF(H2:H12,$K$17)</f>
        <v>4</v>
      </c>
      <c r="I17" s="9">
        <f>COUNTIF(I2:I12,$K$17)</f>
        <v>3</v>
      </c>
      <c r="J17" s="9">
        <f>COUNTIF(J2:J12,$K$17)</f>
        <v>4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3</v>
      </c>
      <c r="C18" s="6">
        <f>INDEX($A$2:$A$12,MATCH(C14,C2:C12,0))</f>
        <v>3</v>
      </c>
      <c r="D18" s="6">
        <f>INDEX($A$2:$A$12,MATCH(D14,D2:D12,0))</f>
        <v>10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1</v>
      </c>
      <c r="I18" s="9">
        <f>COUNTIF(I2:I12,$K$18)</f>
        <v>2</v>
      </c>
      <c r="J18" s="9">
        <f>COUNTIF(J2:J12,$K$18)</f>
        <v>2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4" sqref="O1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</v>
      </c>
    </row>
    <row r="3" spans="14:15" x14ac:dyDescent="0.35">
      <c r="N3" s="18">
        <v>1</v>
      </c>
      <c r="O3" s="18">
        <v>0.79</v>
      </c>
    </row>
    <row r="4" spans="14:15" x14ac:dyDescent="0.35">
      <c r="N4" s="18">
        <v>2</v>
      </c>
      <c r="O4" s="18">
        <v>0.69</v>
      </c>
    </row>
    <row r="5" spans="14:15" x14ac:dyDescent="0.35">
      <c r="N5" s="18">
        <v>3</v>
      </c>
      <c r="O5" s="39">
        <v>0.69</v>
      </c>
    </row>
    <row r="6" spans="14:15" x14ac:dyDescent="0.35">
      <c r="N6" s="18">
        <v>4</v>
      </c>
      <c r="O6" s="39">
        <v>0.99</v>
      </c>
    </row>
    <row r="7" spans="14:15" x14ac:dyDescent="0.35">
      <c r="N7" s="18">
        <v>5</v>
      </c>
      <c r="O7" s="39">
        <v>0.79</v>
      </c>
    </row>
    <row r="8" spans="14:15" x14ac:dyDescent="0.35">
      <c r="N8" s="18">
        <v>6</v>
      </c>
      <c r="O8" s="39">
        <v>0.9</v>
      </c>
    </row>
    <row r="9" spans="14:15" x14ac:dyDescent="0.35">
      <c r="N9" s="18">
        <v>7</v>
      </c>
      <c r="O9" s="39">
        <v>0.76</v>
      </c>
    </row>
    <row r="10" spans="14:15" x14ac:dyDescent="0.35">
      <c r="N10" s="18">
        <v>8</v>
      </c>
      <c r="O10" s="39">
        <v>0.81</v>
      </c>
    </row>
    <row r="11" spans="14:15" x14ac:dyDescent="0.35">
      <c r="N11" s="18">
        <v>9</v>
      </c>
      <c r="O11" s="39">
        <v>0.59</v>
      </c>
    </row>
    <row r="12" spans="14:15" x14ac:dyDescent="0.35">
      <c r="N12" s="18">
        <v>10</v>
      </c>
      <c r="O12" s="39">
        <v>0.85</v>
      </c>
    </row>
    <row r="13" spans="14:15" x14ac:dyDescent="0.35">
      <c r="N13"/>
      <c r="O13">
        <f>COUNTIF(O2:O12,"&gt;=0,9")</f>
        <v>3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2024-12-17T17:17:20Z</dcterms:modified>
</cp:coreProperties>
</file>