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EsteLivro" defaultThemeVersion="202300"/>
  <mc:AlternateContent xmlns:mc="http://schemas.openxmlformats.org/markup-compatibility/2006">
    <mc:Choice Requires="x15">
      <x15ac:absPath xmlns:x15ac="http://schemas.microsoft.com/office/spreadsheetml/2010/11/ac" url="C:\Users\beatr\Documents\GitHub\SAFENET-Bea\Resultados\Material + Ano + Estrutura\ResNet\Tentativa 1\"/>
    </mc:Choice>
  </mc:AlternateContent>
  <xr:revisionPtr revIDLastSave="0" documentId="13_ncr:1_{3E869B5F-197E-4BB6-BE3E-143EE810DE0D}" xr6:coauthVersionLast="47" xr6:coauthVersionMax="47" xr10:uidLastSave="{00000000-0000-0000-0000-000000000000}"/>
  <bookViews>
    <workbookView xWindow="-110" yWindow="-110" windowWidth="19420" windowHeight="10300" xr2:uid="{44EB1693-29A4-4AD6-9832-A8AEAD2DC94E}"/>
  </bookViews>
  <sheets>
    <sheet name="Geral" sheetId="1" r:id="rId1"/>
    <sheet name="Loss e Accuracy" sheetId="8" r:id="rId2"/>
    <sheet name="Matriz Confusão" sheetId="4" r:id="rId3"/>
    <sheet name="Matriz Confusão 2" sheetId="9" r:id="rId4"/>
    <sheet name="Comentários" sheetId="16" r:id="rId5"/>
    <sheet name="Métricas" sheetId="7" r:id="rId6"/>
    <sheet name="Accuracy" sheetId="2" r:id="rId7"/>
    <sheet name="Precision" sheetId="5" r:id="rId8"/>
    <sheet name="Recall" sheetId="6" r:id="rId9"/>
    <sheet name="F1" sheetId="3" r:id="rId10"/>
    <sheet name="ROC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0" i="16" l="1"/>
  <c r="N4" i="16"/>
  <c r="N5" i="16"/>
  <c r="N6" i="16"/>
  <c r="N7" i="16"/>
  <c r="N8" i="16"/>
  <c r="N9" i="16"/>
  <c r="N10" i="16"/>
  <c r="N3" i="16"/>
  <c r="M2" i="16"/>
  <c r="O10" i="16"/>
  <c r="P10" i="16"/>
  <c r="Q10" i="16"/>
  <c r="O9" i="16"/>
  <c r="P9" i="16"/>
  <c r="Q9" i="16"/>
  <c r="D20" i="16"/>
  <c r="E21" i="16"/>
  <c r="F21" i="16"/>
  <c r="G21" i="16"/>
  <c r="H21" i="16"/>
  <c r="F9" i="16"/>
  <c r="G9" i="16"/>
  <c r="D23" i="16"/>
  <c r="E25" i="16"/>
  <c r="E26" i="16"/>
  <c r="E24" i="16"/>
  <c r="X2" i="16"/>
  <c r="N31" i="16"/>
  <c r="N32" i="16"/>
  <c r="N33" i="16"/>
  <c r="M29" i="16"/>
  <c r="N26" i="16"/>
  <c r="N27" i="16"/>
  <c r="N25" i="16"/>
  <c r="Q33" i="16"/>
  <c r="P33" i="16"/>
  <c r="O33" i="16"/>
  <c r="Q32" i="16"/>
  <c r="P32" i="16"/>
  <c r="O32" i="16"/>
  <c r="Q31" i="16"/>
  <c r="P31" i="16"/>
  <c r="O31" i="16"/>
  <c r="Q30" i="16"/>
  <c r="P30" i="16"/>
  <c r="O30" i="16"/>
  <c r="Q29" i="16"/>
  <c r="P29" i="16"/>
  <c r="O29" i="16"/>
  <c r="M24" i="16"/>
  <c r="N21" i="16"/>
  <c r="N22" i="16"/>
  <c r="N20" i="16"/>
  <c r="Q27" i="16"/>
  <c r="P27" i="16"/>
  <c r="O27" i="16"/>
  <c r="Q26" i="16"/>
  <c r="P26" i="16"/>
  <c r="O26" i="16"/>
  <c r="Q25" i="16"/>
  <c r="P25" i="16"/>
  <c r="O25" i="16"/>
  <c r="Q24" i="16"/>
  <c r="P24" i="16"/>
  <c r="O24" i="16"/>
  <c r="M19" i="16"/>
  <c r="O20" i="16"/>
  <c r="O19" i="16"/>
  <c r="Q22" i="16"/>
  <c r="P22" i="16"/>
  <c r="O22" i="16"/>
  <c r="Q21" i="16"/>
  <c r="P21" i="16"/>
  <c r="O21" i="16"/>
  <c r="Q20" i="16"/>
  <c r="P20" i="16"/>
  <c r="Q19" i="16"/>
  <c r="P19" i="16"/>
  <c r="M25" i="16" l="1"/>
  <c r="M21" i="16"/>
  <c r="M20" i="16"/>
  <c r="M26" i="16"/>
  <c r="M22" i="16"/>
  <c r="M31" i="16"/>
  <c r="M30" i="16"/>
  <c r="M33" i="16"/>
  <c r="M32" i="16"/>
  <c r="M27" i="16"/>
  <c r="N14" i="16" l="1"/>
  <c r="N15" i="16"/>
  <c r="N16" i="16"/>
  <c r="N17" i="16"/>
  <c r="N13" i="16"/>
  <c r="M12" i="16"/>
  <c r="Q17" i="16"/>
  <c r="P17" i="16"/>
  <c r="O17" i="16"/>
  <c r="Q16" i="16"/>
  <c r="P16" i="16"/>
  <c r="O16" i="16"/>
  <c r="Q15" i="16"/>
  <c r="P15" i="16"/>
  <c r="O15" i="16"/>
  <c r="Q14" i="16"/>
  <c r="P14" i="16"/>
  <c r="O14" i="16"/>
  <c r="Q13" i="16"/>
  <c r="P13" i="16"/>
  <c r="O13" i="16"/>
  <c r="Q12" i="16"/>
  <c r="P12" i="16"/>
  <c r="O12" i="16"/>
  <c r="O4" i="16"/>
  <c r="P4" i="16"/>
  <c r="Q4" i="16"/>
  <c r="O5" i="16"/>
  <c r="P5" i="16"/>
  <c r="Q5" i="16"/>
  <c r="O6" i="16"/>
  <c r="P6" i="16"/>
  <c r="Q6" i="16"/>
  <c r="O7" i="16"/>
  <c r="P7" i="16"/>
  <c r="Q7" i="16"/>
  <c r="O8" i="16"/>
  <c r="P8" i="16"/>
  <c r="Q8" i="16"/>
  <c r="P3" i="16"/>
  <c r="Q3" i="16"/>
  <c r="O2" i="16"/>
  <c r="P2" i="16"/>
  <c r="Q2" i="16"/>
  <c r="O3" i="16"/>
  <c r="H26" i="16"/>
  <c r="G26" i="16"/>
  <c r="F26" i="16"/>
  <c r="H25" i="16"/>
  <c r="G25" i="16"/>
  <c r="F25" i="16"/>
  <c r="H24" i="16"/>
  <c r="G24" i="16"/>
  <c r="F24" i="16"/>
  <c r="H23" i="16"/>
  <c r="G23" i="16"/>
  <c r="F23" i="16"/>
  <c r="F20" i="16"/>
  <c r="G20" i="16"/>
  <c r="H20" i="16"/>
  <c r="F15" i="16"/>
  <c r="G15" i="16"/>
  <c r="H15" i="16"/>
  <c r="F16" i="16"/>
  <c r="G16" i="16"/>
  <c r="H16" i="16"/>
  <c r="F17" i="16"/>
  <c r="G17" i="16"/>
  <c r="H17" i="16"/>
  <c r="F18" i="16"/>
  <c r="G18" i="16"/>
  <c r="H18" i="16"/>
  <c r="G12" i="16"/>
  <c r="H12" i="16"/>
  <c r="F13" i="16"/>
  <c r="G13" i="16"/>
  <c r="H13" i="16"/>
  <c r="G8" i="16"/>
  <c r="H8" i="16"/>
  <c r="D9" i="16" s="1"/>
  <c r="H9" i="16"/>
  <c r="F10" i="16"/>
  <c r="G10" i="16"/>
  <c r="H10" i="16"/>
  <c r="F3" i="16"/>
  <c r="G3" i="16"/>
  <c r="H3" i="16"/>
  <c r="F4" i="16"/>
  <c r="G4" i="16"/>
  <c r="H4" i="16"/>
  <c r="F5" i="16"/>
  <c r="G5" i="16"/>
  <c r="H5" i="16"/>
  <c r="F6" i="16"/>
  <c r="G6" i="16"/>
  <c r="H6" i="16"/>
  <c r="H2" i="16"/>
  <c r="M10" i="16" l="1"/>
  <c r="M9" i="16"/>
  <c r="D21" i="16"/>
  <c r="M6" i="16"/>
  <c r="M4" i="16"/>
  <c r="M8" i="16"/>
  <c r="M5" i="16"/>
  <c r="M14" i="16"/>
  <c r="D13" i="16"/>
  <c r="M7" i="16"/>
  <c r="D25" i="16"/>
  <c r="M13" i="16"/>
  <c r="M17" i="16"/>
  <c r="M16" i="16"/>
  <c r="M15" i="16"/>
  <c r="D3" i="16"/>
  <c r="D6" i="16"/>
  <c r="D17" i="16"/>
  <c r="D24" i="16"/>
  <c r="D4" i="16"/>
  <c r="D26" i="16"/>
  <c r="D10" i="16"/>
  <c r="D5" i="16"/>
  <c r="D16" i="16"/>
  <c r="D18" i="16"/>
  <c r="D14" i="9"/>
  <c r="E14" i="9"/>
  <c r="F14" i="9"/>
  <c r="G14" i="9"/>
  <c r="H14" i="9"/>
  <c r="I14" i="9"/>
  <c r="J14" i="9"/>
  <c r="K14" i="9"/>
  <c r="L14" i="9"/>
  <c r="M14" i="9"/>
  <c r="C14" i="9"/>
  <c r="N4" i="9"/>
  <c r="F3" i="7" s="1"/>
  <c r="N5" i="9"/>
  <c r="F4" i="7" s="1"/>
  <c r="N6" i="9"/>
  <c r="F5" i="7" s="1"/>
  <c r="N7" i="9"/>
  <c r="F6" i="7" s="1"/>
  <c r="N8" i="9"/>
  <c r="F7" i="7" s="1"/>
  <c r="N9" i="9"/>
  <c r="F8" i="7" s="1"/>
  <c r="N10" i="9"/>
  <c r="F9" i="7" s="1"/>
  <c r="N11" i="9"/>
  <c r="F10" i="7" s="1"/>
  <c r="N12" i="9"/>
  <c r="F11" i="7" s="1"/>
  <c r="N13" i="9"/>
  <c r="F12" i="7" s="1"/>
  <c r="N3" i="9"/>
  <c r="F2" i="7" s="1"/>
  <c r="A3" i="9"/>
  <c r="G12" i="7" a="1"/>
  <c r="G12" i="7" s="1"/>
  <c r="H12" i="7" a="1"/>
  <c r="H12" i="7" s="1"/>
  <c r="I12" i="7" a="1"/>
  <c r="I12" i="7" s="1"/>
  <c r="J12" i="7" a="1"/>
  <c r="J12" i="7" s="1"/>
  <c r="G10" i="7" a="1"/>
  <c r="G10" i="7" s="1"/>
  <c r="H10" i="7" a="1"/>
  <c r="H10" i="7" s="1"/>
  <c r="I10" i="7" a="1"/>
  <c r="I10" i="7" s="1"/>
  <c r="J10" i="7" a="1"/>
  <c r="J10" i="7" s="1"/>
  <c r="G11" i="7" a="1"/>
  <c r="G11" i="7" s="1"/>
  <c r="H11" i="7" a="1"/>
  <c r="H11" i="7" s="1"/>
  <c r="I11" i="7" a="1"/>
  <c r="I11" i="7" s="1"/>
  <c r="J11" i="7" a="1"/>
  <c r="J11" i="7" s="1"/>
  <c r="G9" i="7" a="1"/>
  <c r="G9" i="7" s="1"/>
  <c r="H9" i="7" a="1"/>
  <c r="H9" i="7" s="1"/>
  <c r="I9" i="7" a="1"/>
  <c r="I9" i="7" s="1"/>
  <c r="J9" i="7" a="1"/>
  <c r="J9" i="7" s="1"/>
  <c r="G8" i="7" a="1"/>
  <c r="G8" i="7" s="1"/>
  <c r="H8" i="7" a="1"/>
  <c r="H8" i="7" s="1"/>
  <c r="I8" i="7" a="1"/>
  <c r="I8" i="7" s="1"/>
  <c r="J8" i="7" a="1"/>
  <c r="J8" i="7" s="1"/>
  <c r="G6" i="7" a="1"/>
  <c r="G6" i="7" s="1"/>
  <c r="H6" i="7" a="1"/>
  <c r="H6" i="7" s="1"/>
  <c r="I6" i="7" a="1"/>
  <c r="I6" i="7" s="1"/>
  <c r="J6" i="7" a="1"/>
  <c r="J6" i="7" s="1"/>
  <c r="G7" i="7" a="1"/>
  <c r="G7" i="7" s="1"/>
  <c r="H7" i="7" a="1"/>
  <c r="H7" i="7" s="1"/>
  <c r="I7" i="7" a="1"/>
  <c r="I7" i="7" s="1"/>
  <c r="J7" i="7" a="1"/>
  <c r="J7" i="7" s="1"/>
  <c r="N14" i="9" l="1"/>
  <c r="E17" i="16"/>
  <c r="E18" i="16"/>
  <c r="E16" i="16"/>
  <c r="E13" i="16"/>
  <c r="E10" i="16"/>
  <c r="E9" i="16"/>
  <c r="E4" i="16"/>
  <c r="E5" i="16"/>
  <c r="E6" i="16"/>
  <c r="E3" i="16"/>
  <c r="D15" i="16"/>
  <c r="D12" i="16"/>
  <c r="D8" i="16"/>
  <c r="D2" i="16"/>
  <c r="C15" i="7" l="1"/>
  <c r="D15" i="7"/>
  <c r="E15" i="7"/>
  <c r="B15" i="7"/>
  <c r="B16" i="7"/>
  <c r="C16" i="7"/>
  <c r="D16" i="7"/>
  <c r="E16" i="7"/>
  <c r="C14" i="7"/>
  <c r="C18" i="7" s="1"/>
  <c r="D14" i="7"/>
  <c r="D18" i="7" s="1"/>
  <c r="E14" i="7"/>
  <c r="E18" i="7" s="1"/>
  <c r="B14" i="7"/>
  <c r="B18" i="7" s="1"/>
  <c r="C13" i="7"/>
  <c r="C17" i="7" s="1"/>
  <c r="D13" i="7"/>
  <c r="D17" i="7" s="1"/>
  <c r="E13" i="7"/>
  <c r="E17" i="7" s="1"/>
  <c r="B13" i="7"/>
  <c r="B17" i="7" s="1"/>
  <c r="G5" i="7" a="1"/>
  <c r="G5" i="7" s="1"/>
  <c r="H5" i="7" a="1"/>
  <c r="H5" i="7" s="1"/>
  <c r="I5" i="7" a="1"/>
  <c r="I5" i="7" s="1"/>
  <c r="J5" i="7" a="1"/>
  <c r="J5" i="7" s="1"/>
  <c r="AA2" i="16" l="1"/>
  <c r="G3" i="7" l="1" a="1"/>
  <c r="G3" i="7" s="1"/>
  <c r="H3" i="7" a="1"/>
  <c r="H3" i="7" s="1"/>
  <c r="I3" i="7" a="1"/>
  <c r="I3" i="7" s="1"/>
  <c r="J3" i="7" a="1"/>
  <c r="J3" i="7" s="1"/>
  <c r="G4" i="7" a="1"/>
  <c r="G4" i="7" s="1"/>
  <c r="H4" i="7" a="1"/>
  <c r="H4" i="7" s="1"/>
  <c r="I4" i="7" a="1"/>
  <c r="I4" i="7" s="1"/>
  <c r="J4" i="7" a="1"/>
  <c r="J4" i="7" s="1"/>
  <c r="H2" i="7" a="1"/>
  <c r="H2" i="7" s="1"/>
  <c r="I2" i="7" a="1"/>
  <c r="I2" i="7" s="1"/>
  <c r="J2" i="7" a="1"/>
  <c r="J2" i="7" s="1"/>
  <c r="G2" i="7" a="1"/>
  <c r="G2" i="7" s="1"/>
  <c r="I16" i="7" l="1"/>
  <c r="I15" i="7"/>
  <c r="I17" i="7"/>
  <c r="I18" i="7"/>
  <c r="I14" i="7"/>
  <c r="I13" i="7"/>
  <c r="J16" i="7"/>
  <c r="J17" i="7"/>
  <c r="J13" i="7"/>
  <c r="J14" i="7"/>
  <c r="J15" i="7"/>
  <c r="J18" i="7"/>
  <c r="H15" i="7"/>
  <c r="H16" i="7"/>
  <c r="H14" i="7"/>
  <c r="H13" i="7"/>
  <c r="H18" i="7"/>
  <c r="H17" i="7"/>
  <c r="G13" i="7"/>
  <c r="G15" i="7"/>
  <c r="G17" i="7"/>
  <c r="G16" i="7"/>
  <c r="G18" i="7"/>
  <c r="G14" i="7"/>
  <c r="C15" i="1"/>
  <c r="C17" i="1" s="1"/>
  <c r="D15" i="1"/>
  <c r="D17" i="1" s="1"/>
  <c r="E15" i="1"/>
  <c r="E17" i="1" s="1"/>
  <c r="B15" i="1"/>
  <c r="B17" i="1" s="1"/>
  <c r="C14" i="1"/>
  <c r="C16" i="1" s="1"/>
  <c r="D14" i="1"/>
  <c r="D16" i="1" s="1"/>
  <c r="E14" i="1"/>
  <c r="E16" i="1" s="1"/>
  <c r="B14" i="1"/>
  <c r="B16" i="1" s="1"/>
  <c r="I19" i="7" l="1"/>
  <c r="J19" i="7"/>
  <c r="G19" i="7"/>
  <c r="H19" i="7"/>
  <c r="M3" i="16" l="1"/>
  <c r="X3" i="16" l="1"/>
  <c r="X4" i="16"/>
  <c r="X5" i="16"/>
  <c r="X6" i="16"/>
  <c r="X7" i="16"/>
  <c r="X8" i="16"/>
  <c r="X9" i="16"/>
  <c r="X10" i="16" l="1"/>
  <c r="Z6" i="16" s="1"/>
  <c r="Z8" i="16" l="1"/>
  <c r="Z7" i="16"/>
  <c r="Z4" i="16"/>
  <c r="Z3" i="16"/>
  <c r="Z9" i="16"/>
  <c r="Z5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<sst xmlns="http://schemas.openxmlformats.org/spreadsheetml/2006/main" count="99" uniqueCount="62">
  <si>
    <t>Epoch</t>
  </si>
  <si>
    <t>Loss</t>
  </si>
  <si>
    <t>Accuracy</t>
  </si>
  <si>
    <t>Val Loss</t>
  </si>
  <si>
    <t>Val Accuracy</t>
  </si>
  <si>
    <t>Precision</t>
  </si>
  <si>
    <t>Recall</t>
  </si>
  <si>
    <t>F1 Score</t>
  </si>
  <si>
    <t>min</t>
  </si>
  <si>
    <t>max</t>
  </si>
  <si>
    <t>Exatidão</t>
  </si>
  <si>
    <t>Precisão</t>
  </si>
  <si>
    <t>Recuperação</t>
  </si>
  <si>
    <t>F1</t>
  </si>
  <si>
    <t>Alta</t>
  </si>
  <si>
    <t>Médio</t>
  </si>
  <si>
    <t>Qtd</t>
  </si>
  <si>
    <t>Muito Alta</t>
  </si>
  <si>
    <t>Baixo</t>
  </si>
  <si>
    <t>Boa</t>
  </si>
  <si>
    <t>Muito Baixo</t>
  </si>
  <si>
    <t>Teste Loss</t>
  </si>
  <si>
    <t>Teste Accuracy</t>
  </si>
  <si>
    <t>Quantidade</t>
  </si>
  <si>
    <t>Material</t>
  </si>
  <si>
    <t>Betão Armado</t>
  </si>
  <si>
    <t>Aço</t>
  </si>
  <si>
    <t>Resumo</t>
  </si>
  <si>
    <t xml:space="preserve">Corretos de </t>
  </si>
  <si>
    <t>Classe</t>
  </si>
  <si>
    <t>Classe 0</t>
  </si>
  <si>
    <t>Classe 1</t>
  </si>
  <si>
    <t>Classe 2</t>
  </si>
  <si>
    <t>AUC</t>
  </si>
  <si>
    <t>Alvenaria</t>
  </si>
  <si>
    <t>Antes de 1983</t>
  </si>
  <si>
    <t>Depois de 1983</t>
  </si>
  <si>
    <t>Classe 3</t>
  </si>
  <si>
    <t>Classe 4</t>
  </si>
  <si>
    <t>1 (Ano, )</t>
  </si>
  <si>
    <t>%</t>
  </si>
  <si>
    <t>Propriedades Iguais</t>
  </si>
  <si>
    <t>0 (Nenhuma)</t>
  </si>
  <si>
    <t>Previsto</t>
  </si>
  <si>
    <t>Estrutura</t>
  </si>
  <si>
    <t>Intervalo de Anos</t>
  </si>
  <si>
    <t>Arco</t>
  </si>
  <si>
    <t>Pórtico</t>
  </si>
  <si>
    <t>Tabuleiro simples/apoiado</t>
  </si>
  <si>
    <t>Vãos Multiplos</t>
  </si>
  <si>
    <t>1 (Estrutura, )</t>
  </si>
  <si>
    <t>1 (Material)</t>
  </si>
  <si>
    <t>2 (Estrutura, Ano, )</t>
  </si>
  <si>
    <t>2 (Estrutura, Material)</t>
  </si>
  <si>
    <t>2 (Ano, Material)</t>
  </si>
  <si>
    <t>-</t>
  </si>
  <si>
    <t>Classe 5</t>
  </si>
  <si>
    <t>Classe 6</t>
  </si>
  <si>
    <t>Classe 7</t>
  </si>
  <si>
    <t>Classe 8</t>
  </si>
  <si>
    <t>Classe 9</t>
  </si>
  <si>
    <t>Classe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</si>
</sst>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/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9" fontId="0" fillId="4" borderId="1" xfId="1" applyFont="1" applyFill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7" xfId="0" applyFont="1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9" fontId="0" fillId="4" borderId="0" xfId="1" applyFont="1" applyFill="1" applyBorder="1" applyAlignment="1">
      <alignment horizontal="left" vertical="center"/>
    </xf>
    <xf numFmtId="164" fontId="0" fillId="4" borderId="1" xfId="1" applyNumberFormat="1" applyFont="1" applyFill="1" applyBorder="1" applyAlignment="1">
      <alignment horizontal="left" vertical="center"/>
    </xf>
    <xf numFmtId="9" fontId="0" fillId="0" borderId="1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top"/>
    </xf>
    <xf numFmtId="0" fontId="7" fillId="0" borderId="1" xfId="0" applyFont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8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1" fillId="0" borderId="3" xfId="0" applyFont="1" applyBorder="1" applyAlignment="1">
      <alignment horizontal="center" vertical="center" textRotation="90" wrapText="1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textRotation="90" wrapText="1"/>
    </xf>
    <xf numFmtId="0" fontId="6" fillId="0" borderId="0" xfId="0" applyFont="1" applyFill="1" applyAlignment="1">
      <alignment horizontal="left" vertical="center"/>
    </xf>
    <xf numFmtId="164" fontId="0" fillId="0" borderId="0" xfId="1" applyNumberFormat="1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64" fontId="0" fillId="0" borderId="0" xfId="1" applyNumberFormat="1" applyFont="1" applyAlignment="1">
      <alignment horizontal="left" vertical="center"/>
    </xf>
  </cellXfs>
  <cellStyles count="2">
    <cellStyle name="Normal" xfId="0" builtinId="0"/>
    <cellStyle name="Percentagem" xfId="1" builtinId="5"/>
  </cellStyles>
  <dxfs count="14"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17</xdr:row>
      <xdr:rowOff>107949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93413E9-B5BA-5394-9C12-D60308BCD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238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406400</xdr:colOff>
      <xdr:row>35</xdr:row>
      <xdr:rowOff>179916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87D11D5-2B40-530B-0D58-EA63E58C8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476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C999D42-5447-AB22-4397-6874CC23A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DCA31ED1-2E0B-E980-053A-AEE55D46B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DC0D2FC-437E-BC6C-FA2F-C89DAFF09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592152</xdr:colOff>
      <xdr:row>25</xdr:row>
      <xdr:rowOff>7946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440CA1F-8254-19C8-111E-05FB17BB6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15215" cy="45720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19050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CD398212-D772-8689-86E9-FEFC681FCB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862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CD79ED-E271-418B-AE5D-0CEC67D117D8}" name="Tabela1" displayName="Tabela1" ref="A1:J12" totalsRowShown="0" headerRowDxfId="13" dataDxfId="11" headerRowBorderDxfId="12" tableBorderDxfId="10">
  <autoFilter ref="A1:J12" xr:uid="{05CD79ED-E271-418B-AE5D-0CEC67D117D8}"/>
  <tableColumns count="10">
    <tableColumn id="1" xr3:uid="{0BC8D92E-F05A-4765-ADE7-158957752698}" name="Classe" dataDxfId="9"/>
    <tableColumn id="2" xr3:uid="{158B1DC5-8A42-4E97-A9C4-3F00630EA162}" name="Accuracy" dataDxfId="3"/>
    <tableColumn id="3" xr3:uid="{C65D27B5-BF2B-480F-9245-88EBC462C418}" name="Precision" dataDxfId="2"/>
    <tableColumn id="4" xr3:uid="{2F039AB7-CAFE-4D33-8E3F-DDB0554402B9}" name="Recall" dataDxfId="1"/>
    <tableColumn id="5" xr3:uid="{E8A788D3-B0FB-4153-AC29-EB77EB842308}" name="F1 Score" dataDxfId="0"/>
    <tableColumn id="6" xr3:uid="{76122F43-3076-419C-936F-1BAB3AB79795}" name="Qtd" dataDxfId="8">
      <calculatedColumnFormula>'Matriz Confusão 2'!N3</calculatedColumnFormula>
    </tableColumn>
    <tableColumn id="7" xr3:uid="{ED69C583-BA02-4717-B168-089B7EA09073}" name="Exatidão" dataDxfId="7">
      <calculatedColumnFormula array="1">_xlfn.IFS(AND(B2&lt;=1,B2&gt;=0.95),"Muito Alta",AND(B2&lt;0.95,B2&gt;=0.9),"Alta",AND(B2&lt;0.9,B2&gt;=0.7),"Boa",AND(B2&lt;0.7,B2&gt;=0.5),"Médio",AND(B2&lt;0.5,B2&gt;=0.25),"Baixo",AND(B2&lt;0.25,B2&gt;0),"Muito Baixo",B2=0,"Zero")</calculatedColumnFormula>
    </tableColumn>
    <tableColumn id="8" xr3:uid="{52506CAA-318D-400D-AA3D-9DD38E4BE67E}" name="Precisão" dataDxfId="6">
      <calculatedColumnFormula array="1">_xlfn.IFS(AND(C2&lt;=1,C2&gt;=0.95),"Muito Alta",AND(C2&lt;0.95,C2&gt;=0.9),"Alta",AND(C2&lt;0.9,C2&gt;=0.7),"Boa",AND(C2&lt;0.7,C2&gt;=0.5),"Médio",AND(C2&lt;0.5,C2&gt;=0.25),"Baixo",AND(C2&lt;0.25,C2&gt;0),"Muito Baixo",C2=0,"Zero")</calculatedColumnFormula>
    </tableColumn>
    <tableColumn id="9" xr3:uid="{80EB9D07-1FE1-4C36-89EB-4BFB293D3A96}" name="Recuperação" dataDxfId="5">
      <calculatedColumnFormula array="1">_xlfn.IFS(AND(D2&lt;=1,D2&gt;=0.95),"Muito Alta",AND(D2&lt;0.95,D2&gt;=0.9),"Alta",AND(D2&lt;0.9,D2&gt;=0.7),"Boa",AND(D2&lt;0.7,D2&gt;=0.5),"Médio",AND(D2&lt;0.5,D2&gt;=0.25),"Baixo",AND(D2&lt;0.25,D2&gt;0),"Muito Baixo",D2=0,"Zero")</calculatedColumnFormula>
    </tableColumn>
    <tableColumn id="10" xr3:uid="{3B26B576-C152-418D-BC1D-A627F1BEAA9C}" name="F1" dataDxfId="4">
      <calculatedColumnFormula array="1">_xlfn.IFS(AND(E2&lt;=1,E2&gt;=0.95),"Muito Alta",AND(E2&lt;0.95,E2&gt;=0.9),"Alta",AND(E2&lt;0.9,E2&gt;=0.7),"Boa",AND(E2&lt;0.7,E2&gt;=0.5),"Médio",AND(E2&lt;0.5,E2&gt;=0.25),"Baixo",AND(E2&lt;0.25,E2&gt;0),"Muito Baixo",E2=0,"Zero")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DAC9-D099-48DC-9AB3-F6EB09FDB47A}">
  <sheetPr codeName="Folha1"/>
  <dimension ref="A1:E17"/>
  <sheetViews>
    <sheetView tabSelected="1" zoomScale="90" zoomScaleNormal="90" workbookViewId="0">
      <selection activeCell="E7" sqref="E7"/>
    </sheetView>
  </sheetViews>
  <sheetFormatPr defaultRowHeight="14.5" x14ac:dyDescent="0.35"/>
  <cols>
    <col min="1" max="1" width="13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54">
        <v>19.07767295837402</v>
      </c>
      <c r="C2" s="53">
        <v>0.65774673223495483</v>
      </c>
      <c r="D2" s="54">
        <v>28.641330718994141</v>
      </c>
      <c r="E2" s="53">
        <v>0.40527951717376709</v>
      </c>
    </row>
    <row r="3" spans="1:5" x14ac:dyDescent="0.35">
      <c r="A3" s="2">
        <v>2</v>
      </c>
      <c r="B3" s="2">
        <v>8.5210027694702148</v>
      </c>
      <c r="C3" s="2">
        <v>0.79658716917037964</v>
      </c>
      <c r="D3" s="2">
        <v>16.492837905883789</v>
      </c>
      <c r="E3" s="2">
        <v>0.69254660606384277</v>
      </c>
    </row>
    <row r="4" spans="1:5" x14ac:dyDescent="0.35">
      <c r="A4" s="2">
        <v>3</v>
      </c>
      <c r="B4" s="2">
        <v>2.9517698287963872</v>
      </c>
      <c r="C4" s="2">
        <v>0.8888888955116272</v>
      </c>
      <c r="D4" s="2">
        <v>17.846256256103519</v>
      </c>
      <c r="E4" s="2">
        <v>0.76708072423934937</v>
      </c>
    </row>
    <row r="5" spans="1:5" x14ac:dyDescent="0.35">
      <c r="A5" s="2">
        <v>4</v>
      </c>
      <c r="B5" s="2">
        <v>1.970294117927551</v>
      </c>
      <c r="C5" s="2">
        <v>0.92941629886627197</v>
      </c>
      <c r="D5" s="2">
        <v>16.374261856079102</v>
      </c>
      <c r="E5" s="2">
        <v>0.79968941211700439</v>
      </c>
    </row>
    <row r="6" spans="1:5" x14ac:dyDescent="0.35">
      <c r="A6" s="2">
        <v>5</v>
      </c>
      <c r="B6" s="2">
        <v>1.814477205276489</v>
      </c>
      <c r="C6" s="2">
        <v>0.93949973583221436</v>
      </c>
      <c r="D6" s="2">
        <v>17.85329437255859</v>
      </c>
      <c r="E6" s="2">
        <v>0.79813665151596069</v>
      </c>
    </row>
    <row r="7" spans="1:5" x14ac:dyDescent="0.35">
      <c r="A7" s="2">
        <v>6</v>
      </c>
      <c r="B7" s="2">
        <v>1.18517017364502</v>
      </c>
      <c r="C7" s="2">
        <v>0.94628661870956421</v>
      </c>
      <c r="D7" s="2">
        <v>18.258905410766602</v>
      </c>
      <c r="E7" s="2">
        <v>0.78105592727661133</v>
      </c>
    </row>
    <row r="8" spans="1:5" x14ac:dyDescent="0.35">
      <c r="A8" s="2">
        <v>7</v>
      </c>
      <c r="B8" s="2">
        <v>0.99732047319412231</v>
      </c>
      <c r="C8" s="2">
        <v>0.95850300788879395</v>
      </c>
      <c r="D8" s="2">
        <v>18.96553993225098</v>
      </c>
      <c r="E8" s="54">
        <v>0.8090062141418457</v>
      </c>
    </row>
    <row r="9" spans="1:5" x14ac:dyDescent="0.35">
      <c r="A9" s="2">
        <v>8</v>
      </c>
      <c r="B9" s="2">
        <v>0.92134541273117065</v>
      </c>
      <c r="C9" s="2">
        <v>0.96141165494918823</v>
      </c>
      <c r="D9" s="2">
        <v>15.14725494384766</v>
      </c>
      <c r="E9" s="2">
        <v>0.77639752626419067</v>
      </c>
    </row>
    <row r="10" spans="1:5" x14ac:dyDescent="0.35">
      <c r="A10" s="2">
        <v>9</v>
      </c>
      <c r="B10" s="53">
        <v>0.55339562892913818</v>
      </c>
      <c r="C10" s="54">
        <v>0.97459763288497925</v>
      </c>
      <c r="D10" s="2">
        <v>15.44826030731201</v>
      </c>
      <c r="E10" s="2">
        <v>0.78571426868438721</v>
      </c>
    </row>
    <row r="11" spans="1:5" x14ac:dyDescent="0.35">
      <c r="A11" s="2">
        <v>10</v>
      </c>
      <c r="B11" s="2">
        <v>0.66187018156051636</v>
      </c>
      <c r="C11" s="2">
        <v>0.96839249134063721</v>
      </c>
      <c r="D11" s="53">
        <v>15.13919162750244</v>
      </c>
      <c r="E11" s="2">
        <v>0.80279505252838135</v>
      </c>
    </row>
    <row r="12" spans="1:5" x14ac:dyDescent="0.35">
      <c r="A12" s="3" t="s">
        <v>21</v>
      </c>
      <c r="B12" s="46">
        <v>16.450542449951101</v>
      </c>
      <c r="C12" s="46"/>
      <c r="D12" s="46"/>
      <c r="E12" s="46"/>
    </row>
    <row r="13" spans="1:5" x14ac:dyDescent="0.35">
      <c r="A13" s="3" t="s">
        <v>22</v>
      </c>
      <c r="B13" s="46">
        <v>0.78482973575591997</v>
      </c>
      <c r="C13" s="46"/>
      <c r="D13" s="46"/>
      <c r="E13" s="46"/>
    </row>
    <row r="14" spans="1:5" x14ac:dyDescent="0.35">
      <c r="A14" s="4" t="s">
        <v>8</v>
      </c>
      <c r="B14" s="5">
        <f>MIN(B2:B11)</f>
        <v>0.55339562892913818</v>
      </c>
      <c r="C14" s="5">
        <f>MIN(C2:C11)</f>
        <v>0.65774673223495483</v>
      </c>
      <c r="D14" s="5">
        <f>MIN(D2:D11)</f>
        <v>15.13919162750244</v>
      </c>
      <c r="E14" s="5">
        <f>MIN(E2:E11)</f>
        <v>0.40527951717376709</v>
      </c>
    </row>
    <row r="15" spans="1:5" x14ac:dyDescent="0.35">
      <c r="A15" s="4" t="s">
        <v>9</v>
      </c>
      <c r="B15" s="6">
        <f>MAX(B2:B11)</f>
        <v>19.07767295837402</v>
      </c>
      <c r="C15" s="6">
        <f>MAX(C2:C11)</f>
        <v>0.97459763288497925</v>
      </c>
      <c r="D15" s="6">
        <f>MAX(D2:D11)</f>
        <v>28.641330718994141</v>
      </c>
      <c r="E15" s="6">
        <f>MAX(E2:E11)</f>
        <v>0.8090062141418457</v>
      </c>
    </row>
    <row r="16" spans="1:5" x14ac:dyDescent="0.35">
      <c r="A16" s="4" t="s">
        <v>8</v>
      </c>
      <c r="B16">
        <f>INDEX($A$2:$A$11,MATCH(B14,B2:B11,0))</f>
        <v>9</v>
      </c>
      <c r="C16">
        <f>INDEX($A$2:$A$11,MATCH(C14,C2:C11,0))</f>
        <v>1</v>
      </c>
      <c r="D16">
        <f>INDEX($A$2:$A$11,MATCH(D14,D2:D11,0))</f>
        <v>10</v>
      </c>
      <c r="E16">
        <f>INDEX($A$2:$A$11,MATCH(E14,E2:E11,0))</f>
        <v>1</v>
      </c>
    </row>
    <row r="17" spans="1:5" x14ac:dyDescent="0.35">
      <c r="A17" s="4" t="s">
        <v>9</v>
      </c>
      <c r="B17">
        <f>INDEX($A$2:$A$11,MATCH(B15,B2:B11,0))</f>
        <v>1</v>
      </c>
      <c r="C17">
        <f>INDEX($A$2:$A$11,MATCH(C15,C2:C11,0))</f>
        <v>9</v>
      </c>
      <c r="D17">
        <f>INDEX($A$2:$A$11,MATCH(D15,D2:D11,0))</f>
        <v>1</v>
      </c>
      <c r="E17">
        <f>INDEX($A$2:$A$11,MATCH(E15,E2:E11,0))</f>
        <v>7</v>
      </c>
    </row>
  </sheetData>
  <mergeCells count="2">
    <mergeCell ref="B12:E12"/>
    <mergeCell ref="B13:E13"/>
  </mergeCells>
  <pageMargins left="0.7" right="0.7" top="0.75" bottom="0.75" header="0.3" footer="0.3"/>
  <ignoredErrors>
    <ignoredError sqref="B14:E14 B15:E15 B16:E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F715-795C-41E2-B6E9-F6C2B48A1654}">
  <sheetPr codeName="Folha2"/>
  <dimension ref="A1"/>
  <sheetViews>
    <sheetView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6C9-7F4F-4E10-AFAA-FE54E64A5B17}">
  <sheetPr codeName="Folha3"/>
  <dimension ref="A1"/>
  <sheetViews>
    <sheetView zoomScale="60" zoomScaleNormal="6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B8BE-9A12-402E-83C5-F44A953F201E}">
  <sheetPr codeName="Folha4"/>
  <dimension ref="A1:N14"/>
  <sheetViews>
    <sheetView zoomScaleNormal="100" workbookViewId="0">
      <selection activeCell="P7" sqref="P7"/>
    </sheetView>
  </sheetViews>
  <sheetFormatPr defaultRowHeight="14.5" x14ac:dyDescent="0.35"/>
  <cols>
    <col min="1" max="1" width="3.36328125" bestFit="1" customWidth="1"/>
    <col min="2" max="2" width="8.7265625" style="9"/>
  </cols>
  <sheetData>
    <row r="1" spans="1:14" x14ac:dyDescent="0.35">
      <c r="B1"/>
      <c r="C1" s="47" t="s">
        <v>43</v>
      </c>
      <c r="D1" s="47"/>
      <c r="E1" s="47"/>
      <c r="F1" s="47"/>
      <c r="G1" s="47"/>
      <c r="H1" s="47"/>
      <c r="I1" s="47"/>
      <c r="J1" s="47"/>
      <c r="K1" s="47"/>
      <c r="L1" s="47"/>
      <c r="M1" s="47"/>
    </row>
    <row r="2" spans="1:14" x14ac:dyDescent="0.35">
      <c r="B2"/>
      <c r="C2" s="43">
        <v>0</v>
      </c>
      <c r="D2" s="43">
        <v>1</v>
      </c>
      <c r="E2" s="43">
        <v>2</v>
      </c>
      <c r="F2" s="43">
        <v>3</v>
      </c>
      <c r="G2" s="43">
        <v>4</v>
      </c>
      <c r="H2" s="43">
        <v>5</v>
      </c>
      <c r="I2" s="43">
        <v>6</v>
      </c>
      <c r="J2" s="43">
        <v>7</v>
      </c>
      <c r="K2" s="43">
        <v>8</v>
      </c>
      <c r="L2" s="43">
        <v>9</v>
      </c>
      <c r="M2" s="43">
        <v>10</v>
      </c>
    </row>
    <row r="3" spans="1:14" ht="20" customHeight="1" x14ac:dyDescent="0.35">
      <c r="A3" s="48" t="str">
        <f>"Verdadeiro"</f>
        <v>Verdadeiro</v>
      </c>
      <c r="B3" s="1">
        <v>0</v>
      </c>
      <c r="C3" s="44">
        <v>7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0</v>
      </c>
      <c r="L3" s="2">
        <v>2</v>
      </c>
      <c r="M3" s="2">
        <v>2</v>
      </c>
      <c r="N3">
        <f>SUM(C3:M3)</f>
        <v>13</v>
      </c>
    </row>
    <row r="4" spans="1:14" ht="20" customHeight="1" x14ac:dyDescent="0.35">
      <c r="A4" s="48"/>
      <c r="B4" s="1">
        <v>1</v>
      </c>
      <c r="C4" s="2">
        <v>0</v>
      </c>
      <c r="D4" s="44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3</v>
      </c>
      <c r="N4">
        <f t="shared" ref="N4:N13" si="0">SUM(C4:M4)</f>
        <v>5</v>
      </c>
    </row>
    <row r="5" spans="1:14" ht="20" customHeight="1" x14ac:dyDescent="0.35">
      <c r="A5" s="48"/>
      <c r="B5" s="1">
        <v>2</v>
      </c>
      <c r="C5" s="2">
        <v>0</v>
      </c>
      <c r="D5" s="2">
        <v>0</v>
      </c>
      <c r="E5" s="44">
        <v>6</v>
      </c>
      <c r="F5" s="2">
        <v>0</v>
      </c>
      <c r="G5" s="2">
        <v>2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>
        <f t="shared" si="0"/>
        <v>8</v>
      </c>
    </row>
    <row r="6" spans="1:14" ht="20" customHeight="1" x14ac:dyDescent="0.35">
      <c r="A6" s="48"/>
      <c r="B6" s="1">
        <v>3</v>
      </c>
      <c r="C6" s="2">
        <v>2</v>
      </c>
      <c r="D6" s="2">
        <v>0</v>
      </c>
      <c r="E6" s="2">
        <v>0</v>
      </c>
      <c r="F6" s="44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1</v>
      </c>
      <c r="M6" s="2">
        <v>2</v>
      </c>
      <c r="N6">
        <f t="shared" si="0"/>
        <v>5</v>
      </c>
    </row>
    <row r="7" spans="1:14" ht="20" customHeight="1" x14ac:dyDescent="0.35">
      <c r="A7" s="48"/>
      <c r="B7" s="1">
        <v>4</v>
      </c>
      <c r="C7" s="2">
        <v>0</v>
      </c>
      <c r="D7" s="2">
        <v>0</v>
      </c>
      <c r="E7" s="2">
        <v>1</v>
      </c>
      <c r="F7" s="2">
        <v>0</v>
      </c>
      <c r="G7" s="44">
        <v>7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>
        <f t="shared" si="0"/>
        <v>8</v>
      </c>
    </row>
    <row r="8" spans="1:14" ht="20" customHeight="1" x14ac:dyDescent="0.35">
      <c r="A8" s="48"/>
      <c r="B8" s="1">
        <v>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44">
        <v>1</v>
      </c>
      <c r="I8" s="2">
        <v>7</v>
      </c>
      <c r="J8" s="2">
        <v>0</v>
      </c>
      <c r="K8" s="2">
        <v>0</v>
      </c>
      <c r="L8" s="2">
        <v>1</v>
      </c>
      <c r="M8" s="2">
        <v>2</v>
      </c>
      <c r="N8">
        <f t="shared" si="0"/>
        <v>11</v>
      </c>
    </row>
    <row r="9" spans="1:14" ht="20" customHeight="1" x14ac:dyDescent="0.35">
      <c r="A9" s="48"/>
      <c r="B9" s="1">
        <v>6</v>
      </c>
      <c r="C9" s="2">
        <v>1</v>
      </c>
      <c r="D9" s="2">
        <v>0</v>
      </c>
      <c r="E9" s="2">
        <v>4</v>
      </c>
      <c r="F9" s="2">
        <v>0</v>
      </c>
      <c r="G9" s="2">
        <v>2</v>
      </c>
      <c r="H9" s="2">
        <v>2</v>
      </c>
      <c r="I9" s="44">
        <v>77</v>
      </c>
      <c r="J9" s="2">
        <v>8</v>
      </c>
      <c r="K9" s="2">
        <v>6</v>
      </c>
      <c r="L9" s="2">
        <v>1</v>
      </c>
      <c r="M9" s="2">
        <v>7</v>
      </c>
      <c r="N9">
        <f t="shared" si="0"/>
        <v>108</v>
      </c>
    </row>
    <row r="10" spans="1:14" ht="20" customHeight="1" x14ac:dyDescent="0.35">
      <c r="A10" s="48"/>
      <c r="B10" s="1">
        <v>7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3</v>
      </c>
      <c r="J10" s="44">
        <v>5</v>
      </c>
      <c r="K10" s="2">
        <v>4</v>
      </c>
      <c r="L10" s="2">
        <v>2</v>
      </c>
      <c r="M10" s="2">
        <v>4</v>
      </c>
      <c r="N10">
        <f t="shared" si="0"/>
        <v>20</v>
      </c>
    </row>
    <row r="11" spans="1:14" ht="20" customHeight="1" x14ac:dyDescent="0.35">
      <c r="A11" s="48"/>
      <c r="B11" s="1">
        <v>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4</v>
      </c>
      <c r="J11" s="2">
        <v>5</v>
      </c>
      <c r="K11" s="44">
        <v>12</v>
      </c>
      <c r="L11" s="2">
        <v>0</v>
      </c>
      <c r="M11" s="2">
        <v>12</v>
      </c>
      <c r="N11">
        <f t="shared" si="0"/>
        <v>33</v>
      </c>
    </row>
    <row r="12" spans="1:14" ht="20" customHeight="1" x14ac:dyDescent="0.35">
      <c r="A12" s="48"/>
      <c r="B12" s="1">
        <v>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2</v>
      </c>
      <c r="K12" s="2">
        <v>0</v>
      </c>
      <c r="L12" s="44">
        <v>3</v>
      </c>
      <c r="M12" s="2">
        <v>31</v>
      </c>
      <c r="N12">
        <f t="shared" si="0"/>
        <v>37</v>
      </c>
    </row>
    <row r="13" spans="1:14" ht="20" customHeight="1" x14ac:dyDescent="0.35">
      <c r="A13" s="48"/>
      <c r="B13" s="1">
        <v>10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3</v>
      </c>
      <c r="K13" s="2">
        <v>1</v>
      </c>
      <c r="L13" s="2">
        <v>4</v>
      </c>
      <c r="M13" s="44">
        <v>388</v>
      </c>
      <c r="N13">
        <f t="shared" si="0"/>
        <v>398</v>
      </c>
    </row>
    <row r="14" spans="1:14" x14ac:dyDescent="0.35">
      <c r="C14">
        <f>SUM(C3:C13)</f>
        <v>12</v>
      </c>
      <c r="D14">
        <f t="shared" ref="D14:M14" si="1">SUM(D3:D13)</f>
        <v>1</v>
      </c>
      <c r="E14">
        <f t="shared" si="1"/>
        <v>11</v>
      </c>
      <c r="F14">
        <f t="shared" si="1"/>
        <v>0</v>
      </c>
      <c r="G14">
        <f t="shared" si="1"/>
        <v>12</v>
      </c>
      <c r="H14">
        <f t="shared" si="1"/>
        <v>3</v>
      </c>
      <c r="I14">
        <f t="shared" si="1"/>
        <v>94</v>
      </c>
      <c r="J14">
        <f t="shared" si="1"/>
        <v>25</v>
      </c>
      <c r="K14">
        <f t="shared" si="1"/>
        <v>23</v>
      </c>
      <c r="L14">
        <f t="shared" si="1"/>
        <v>14</v>
      </c>
      <c r="M14">
        <f t="shared" si="1"/>
        <v>451</v>
      </c>
      <c r="N14">
        <f>SUM(N3:N13)</f>
        <v>646</v>
      </c>
    </row>
  </sheetData>
  <mergeCells count="2">
    <mergeCell ref="C1:M1"/>
    <mergeCell ref="A3:A13"/>
  </mergeCells>
  <pageMargins left="0.7" right="0.7" top="0.75" bottom="0.75" header="0.3" footer="0.3"/>
  <ignoredErrors>
    <ignoredError sqref="N3:N13 C14 D14:M14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454C8-93BE-43D4-99C2-717E269EE6C9}">
  <dimension ref="A1:AA33"/>
  <sheetViews>
    <sheetView topLeftCell="O1" workbookViewId="0">
      <pane ySplit="1" topLeftCell="A2" activePane="bottomLeft" state="frozen"/>
      <selection pane="bottomLeft" activeCell="Q28" sqref="Q28"/>
    </sheetView>
  </sheetViews>
  <sheetFormatPr defaultRowHeight="20" customHeight="1" x14ac:dyDescent="0.35"/>
  <cols>
    <col min="1" max="1" width="8.6328125" style="27" bestFit="1" customWidth="1"/>
    <col min="2" max="2" width="10.6328125" style="9" bestFit="1" customWidth="1"/>
    <col min="3" max="3" width="6.453125" style="9" bestFit="1" customWidth="1"/>
    <col min="4" max="4" width="18.6328125" style="19" bestFit="1" customWidth="1"/>
    <col min="5" max="5" width="6.90625" style="19" bestFit="1" customWidth="1"/>
    <col min="6" max="6" width="16.26953125" style="26" bestFit="1" customWidth="1"/>
    <col min="7" max="7" width="9.6328125" style="26" bestFit="1" customWidth="1"/>
    <col min="8" max="8" width="9" style="26" bestFit="1" customWidth="1"/>
    <col min="9" max="9" width="9.6328125" customWidth="1"/>
    <col min="10" max="10" width="3.36328125" bestFit="1" customWidth="1"/>
    <col min="11" max="11" width="10.6328125" bestFit="1" customWidth="1"/>
    <col min="12" max="12" width="6.453125" bestFit="1" customWidth="1"/>
    <col min="13" max="13" width="18.6328125" bestFit="1" customWidth="1"/>
    <col min="14" max="14" width="6.54296875" customWidth="1"/>
    <col min="15" max="15" width="16.26953125" bestFit="1" customWidth="1"/>
    <col min="16" max="16" width="9.6328125" customWidth="1"/>
    <col min="17" max="17" width="9" bestFit="1" customWidth="1"/>
    <col min="18" max="18" width="11.54296875" customWidth="1"/>
    <col min="19" max="19" width="6.453125" style="9" bestFit="1" customWidth="1"/>
    <col min="20" max="20" width="22.26953125" style="9" bestFit="1" customWidth="1"/>
    <col min="21" max="21" width="15.1796875" style="9" bestFit="1" customWidth="1"/>
    <col min="22" max="22" width="12.1796875" style="9" bestFit="1" customWidth="1"/>
    <col min="23" max="23" width="8.7265625" style="9"/>
    <col min="24" max="24" width="3.81640625" style="9" bestFit="1" customWidth="1"/>
    <col min="25" max="25" width="18.6328125" style="19" bestFit="1" customWidth="1"/>
    <col min="26" max="27" width="4.36328125" style="9" bestFit="1" customWidth="1"/>
    <col min="28" max="16384" width="8.7265625" style="9"/>
  </cols>
  <sheetData>
    <row r="1" spans="1:27" ht="20" customHeight="1" x14ac:dyDescent="0.35">
      <c r="B1" s="20" t="s">
        <v>23</v>
      </c>
      <c r="C1" s="20" t="s">
        <v>29</v>
      </c>
      <c r="D1" s="20" t="s">
        <v>41</v>
      </c>
      <c r="E1" s="27" t="s">
        <v>40</v>
      </c>
      <c r="F1" s="24"/>
      <c r="G1" s="24"/>
      <c r="J1" s="27"/>
      <c r="K1" s="20" t="s">
        <v>23</v>
      </c>
      <c r="L1" s="20" t="s">
        <v>29</v>
      </c>
      <c r="M1" s="20" t="s">
        <v>41</v>
      </c>
      <c r="N1" s="27" t="s">
        <v>40</v>
      </c>
      <c r="O1" s="24"/>
      <c r="P1" s="24"/>
      <c r="Q1" s="26"/>
      <c r="S1" s="20" t="s">
        <v>29</v>
      </c>
      <c r="T1" s="20" t="s">
        <v>44</v>
      </c>
      <c r="U1" s="20" t="s">
        <v>45</v>
      </c>
      <c r="V1" s="20" t="s">
        <v>24</v>
      </c>
      <c r="X1" s="52" t="s">
        <v>27</v>
      </c>
      <c r="Y1" s="52"/>
      <c r="Z1" s="52"/>
      <c r="AA1" s="52"/>
    </row>
    <row r="2" spans="1:27" ht="20" customHeight="1" x14ac:dyDescent="0.35">
      <c r="A2" s="48" t="s">
        <v>30</v>
      </c>
      <c r="B2" s="22">
        <v>7</v>
      </c>
      <c r="C2" s="22">
        <v>0</v>
      </c>
      <c r="D2" s="23">
        <f>B2/SUM(B2:B6)</f>
        <v>0.53846153846153844</v>
      </c>
      <c r="E2" s="40"/>
      <c r="F2" s="25" t="s">
        <v>55</v>
      </c>
      <c r="G2" s="25" t="s">
        <v>55</v>
      </c>
      <c r="H2" s="25" t="str">
        <f>VLOOKUP(C2,$S$1:$V$12,4,FALSE)</f>
        <v>Alvenaria</v>
      </c>
      <c r="J2" s="48" t="s">
        <v>57</v>
      </c>
      <c r="K2" s="22">
        <v>77</v>
      </c>
      <c r="L2" s="22">
        <v>6</v>
      </c>
      <c r="M2" s="41">
        <f>K2/SUM(K2:K10)</f>
        <v>0.71296296296296291</v>
      </c>
      <c r="N2" s="40"/>
      <c r="O2" s="25" t="str">
        <f t="shared" ref="O2:O3" si="0">VLOOKUP(L2,$S$1:$V$12,2,FALSE)</f>
        <v>Pórtico</v>
      </c>
      <c r="P2" s="25" t="str">
        <f t="shared" ref="P2:P3" si="1">VLOOKUP(L2,$S$1:$V$12,3,FALSE)</f>
        <v>Depois de 1983</v>
      </c>
      <c r="Q2" s="25" t="str">
        <f t="shared" ref="Q2:Q3" si="2">VLOOKUP(L2,$S$1:$V$12,4,FALSE)</f>
        <v>Betão Armado</v>
      </c>
      <c r="S2" s="18">
        <v>0</v>
      </c>
      <c r="T2" s="21"/>
      <c r="U2" s="21"/>
      <c r="V2" s="21" t="s">
        <v>34</v>
      </c>
      <c r="X2" s="18">
        <f>B2+B8+B12+B15+B20+K2+K12+K19+K24+K29</f>
        <v>506</v>
      </c>
      <c r="Y2" s="21" t="s">
        <v>28</v>
      </c>
      <c r="Z2" s="45">
        <v>646</v>
      </c>
      <c r="AA2" s="28">
        <f>X2/Z2</f>
        <v>0.78328173374613008</v>
      </c>
    </row>
    <row r="3" spans="1:27" ht="20" customHeight="1" x14ac:dyDescent="0.35">
      <c r="A3" s="48"/>
      <c r="B3" s="18">
        <v>1</v>
      </c>
      <c r="C3" s="18">
        <v>4</v>
      </c>
      <c r="D3" s="21" t="str">
        <f>COUNTIF(F3,$F$2)+COUNTIF(G3,$G$2)+COUNTIF(H3,$H$2)&amp;" ("&amp; IF(F3=$F$2,"Estrutura, ","") &amp; IF(G3=$G$2,"Ano, ","") &amp;IF(H3=$H$2,"Material","") &amp; IF(OR(F3=$F$2,G3=$G$2,H3=$H$2),"","Nenhuma") &amp;")"</f>
        <v>0 (Nenhuma)</v>
      </c>
      <c r="E3" s="19" t="str">
        <f>ROUND(B3/SUM($B$2:$B$6)*100,0) &amp;"%"</f>
        <v>8%</v>
      </c>
      <c r="F3" s="26" t="str">
        <f t="shared" ref="F3:F6" si="3">VLOOKUP(C3,$S$1:$V$12,2,FALSE)</f>
        <v>Arco</v>
      </c>
      <c r="G3" s="26" t="str">
        <f t="shared" ref="G3:G6" si="4">VLOOKUP(C3,$S$1:$V$12,3,FALSE)</f>
        <v>Depois de 1983</v>
      </c>
      <c r="H3" s="26" t="str">
        <f t="shared" ref="H3:H6" si="5">VLOOKUP(C3,$S$1:$V$12,4,FALSE)</f>
        <v>Betão Armado</v>
      </c>
      <c r="J3" s="48"/>
      <c r="K3" s="18">
        <v>1</v>
      </c>
      <c r="L3" s="18">
        <v>0</v>
      </c>
      <c r="M3" s="21" t="str">
        <f>COUNTIF(O3,$O$2)+COUNTIF(P3,$P$2)+COUNTIF(Q3,$Q$2)&amp;" ("&amp; IF(O3=$O$2,"Estrutura, ","") &amp; IF(P3=$P$2,"Ano, ","") &amp;IF(Q3=$Q$2,"Material","") &amp; IF(OR(O3=$O$2,P3=$P$2,Q3=$Q$2),"","Nenhuma") &amp;")"</f>
        <v>0 (Nenhuma)</v>
      </c>
      <c r="N3" s="62">
        <f>K3/SUM($K$2:$K$10)</f>
        <v>9.2592592592592587E-3</v>
      </c>
      <c r="O3" s="26">
        <f t="shared" si="0"/>
        <v>0</v>
      </c>
      <c r="P3" s="26">
        <f t="shared" si="1"/>
        <v>0</v>
      </c>
      <c r="Q3" s="26" t="str">
        <f t="shared" si="2"/>
        <v>Alvenaria</v>
      </c>
      <c r="S3" s="18">
        <v>1</v>
      </c>
      <c r="T3" s="21"/>
      <c r="U3" s="21" t="s">
        <v>35</v>
      </c>
      <c r="V3" s="21" t="s">
        <v>26</v>
      </c>
      <c r="X3" s="18">
        <f>COUNTIF($D:$D,Y3)+COUNTIF($M:$M,Y3)</f>
        <v>8</v>
      </c>
      <c r="Y3" s="21" t="s">
        <v>42</v>
      </c>
      <c r="Z3" s="42">
        <f>X3/$X$10</f>
        <v>0.21621621621621623</v>
      </c>
    </row>
    <row r="4" spans="1:27" ht="20" customHeight="1" x14ac:dyDescent="0.35">
      <c r="A4" s="48"/>
      <c r="B4" s="18">
        <v>1</v>
      </c>
      <c r="C4" s="18">
        <v>7</v>
      </c>
      <c r="D4" s="21" t="str">
        <f t="shared" ref="D4:D6" si="6">COUNTIF(F4,$F$2)+COUNTIF(G4,$G$2)+COUNTIF(H4,$H$2)&amp;" ("&amp; IF(F4=$F$2,"Estrutura, ","") &amp; IF(G4=$G$2,"Ano, ","") &amp;IF(H4=$H$2,"Material","") &amp; IF(OR(F4=$F$2,G4=$G$2,H4=$H$2),"","Nenhuma") &amp;")"</f>
        <v>0 (Nenhuma)</v>
      </c>
      <c r="E4" s="19" t="str">
        <f t="shared" ref="E4:E6" si="7">ROUND(B4/SUM($B$2:$B$6)*100,0) &amp;"%"</f>
        <v>8%</v>
      </c>
      <c r="F4" s="26" t="str">
        <f t="shared" si="3"/>
        <v>Tabuleiro simples/apoiado</v>
      </c>
      <c r="G4" s="26" t="str">
        <f t="shared" si="4"/>
        <v>Antes de 1983</v>
      </c>
      <c r="H4" s="26" t="str">
        <f t="shared" si="5"/>
        <v>Betão Armado</v>
      </c>
      <c r="J4" s="48"/>
      <c r="K4" s="18">
        <v>4</v>
      </c>
      <c r="L4" s="18">
        <v>2</v>
      </c>
      <c r="M4" s="21" t="str">
        <f t="shared" ref="M4:M10" si="8">COUNTIF(O4,$O$2)+COUNTIF(P4,$P$2)+COUNTIF(Q4,$Q$2)&amp;" ("&amp; IF(O4=$O$2,"Estrutura, ","") &amp; IF(P4=$P$2,"Ano, ","") &amp;IF(Q4=$Q$2,"Material","") &amp; IF(OR(O4=$O$2,P4=$P$2,Q4=$Q$2),"","Nenhuma") &amp;")"</f>
        <v>1 (Ano, )</v>
      </c>
      <c r="N4" s="62">
        <f t="shared" ref="N4:N10" si="9">K4/SUM($K$2:$K$10)</f>
        <v>3.7037037037037035E-2</v>
      </c>
      <c r="O4" s="26">
        <f t="shared" ref="O4:O10" si="10">VLOOKUP(L4,$S$1:$V$12,2,FALSE)</f>
        <v>0</v>
      </c>
      <c r="P4" s="26" t="str">
        <f t="shared" ref="P4:P10" si="11">VLOOKUP(L4,$S$1:$V$12,3,FALSE)</f>
        <v>Depois de 1983</v>
      </c>
      <c r="Q4" s="26" t="str">
        <f t="shared" ref="Q4:Q10" si="12">VLOOKUP(L4,$S$1:$V$12,4,FALSE)</f>
        <v>Aço</v>
      </c>
      <c r="S4" s="18">
        <v>2</v>
      </c>
      <c r="T4" s="21"/>
      <c r="U4" s="21" t="s">
        <v>36</v>
      </c>
      <c r="V4" s="21" t="s">
        <v>26</v>
      </c>
      <c r="X4" s="18">
        <f>COUNTIF($D:$D,Y4)+COUNTIF($M:$M,Y4)</f>
        <v>0</v>
      </c>
      <c r="Y4" s="21" t="s">
        <v>50</v>
      </c>
      <c r="Z4" s="42">
        <f t="shared" ref="Z4:Z9" si="13">X4/$X$10</f>
        <v>0</v>
      </c>
    </row>
    <row r="5" spans="1:27" ht="20" customHeight="1" x14ac:dyDescent="0.35">
      <c r="A5" s="48"/>
      <c r="B5" s="18">
        <v>2</v>
      </c>
      <c r="C5" s="18">
        <v>9</v>
      </c>
      <c r="D5" s="21" t="str">
        <f t="shared" si="6"/>
        <v>0 (Nenhuma)</v>
      </c>
      <c r="E5" s="19" t="str">
        <f t="shared" si="7"/>
        <v>15%</v>
      </c>
      <c r="F5" s="26" t="str">
        <f t="shared" si="3"/>
        <v>Vãos Multiplos</v>
      </c>
      <c r="G5" s="26" t="str">
        <f t="shared" si="4"/>
        <v>Antes de 1983</v>
      </c>
      <c r="H5" s="26" t="str">
        <f t="shared" si="5"/>
        <v>Betão Armado</v>
      </c>
      <c r="J5" s="48"/>
      <c r="K5" s="18">
        <v>2</v>
      </c>
      <c r="L5" s="18">
        <v>4</v>
      </c>
      <c r="M5" s="21" t="str">
        <f t="shared" si="8"/>
        <v>2 (Ano, Material)</v>
      </c>
      <c r="N5" s="62">
        <f t="shared" si="9"/>
        <v>1.8518518518518517E-2</v>
      </c>
      <c r="O5" s="26" t="str">
        <f t="shared" si="10"/>
        <v>Arco</v>
      </c>
      <c r="P5" s="26" t="str">
        <f t="shared" si="11"/>
        <v>Depois de 1983</v>
      </c>
      <c r="Q5" s="26" t="str">
        <f t="shared" si="12"/>
        <v>Betão Armado</v>
      </c>
      <c r="S5" s="18">
        <v>3</v>
      </c>
      <c r="T5" s="21" t="s">
        <v>46</v>
      </c>
      <c r="U5" s="21" t="s">
        <v>35</v>
      </c>
      <c r="V5" s="21" t="s">
        <v>25</v>
      </c>
      <c r="X5" s="18">
        <f>COUNTIF($D:$D,Y5)+COUNTIF($M:$M,Y5)</f>
        <v>4</v>
      </c>
      <c r="Y5" s="21" t="s">
        <v>39</v>
      </c>
      <c r="Z5" s="42">
        <f t="shared" si="13"/>
        <v>0.10810810810810811</v>
      </c>
    </row>
    <row r="6" spans="1:27" ht="20" customHeight="1" x14ac:dyDescent="0.35">
      <c r="A6" s="48"/>
      <c r="B6" s="18">
        <v>2</v>
      </c>
      <c r="C6" s="18">
        <v>10</v>
      </c>
      <c r="D6" s="21" t="str">
        <f t="shared" si="6"/>
        <v>0 (Nenhuma)</v>
      </c>
      <c r="E6" s="19" t="str">
        <f t="shared" si="7"/>
        <v>15%</v>
      </c>
      <c r="F6" s="26" t="str">
        <f t="shared" si="3"/>
        <v>Vãos Multiplos</v>
      </c>
      <c r="G6" s="26" t="str">
        <f t="shared" si="4"/>
        <v>Depois de 1983</v>
      </c>
      <c r="H6" s="26" t="str">
        <f t="shared" si="5"/>
        <v>Betão Armado</v>
      </c>
      <c r="J6" s="48"/>
      <c r="K6" s="18">
        <v>2</v>
      </c>
      <c r="L6" s="18">
        <v>5</v>
      </c>
      <c r="M6" s="21" t="str">
        <f t="shared" si="8"/>
        <v>2 (Estrutura, Material)</v>
      </c>
      <c r="N6" s="62">
        <f t="shared" si="9"/>
        <v>1.8518518518518517E-2</v>
      </c>
      <c r="O6" s="26" t="str">
        <f t="shared" si="10"/>
        <v>Pórtico</v>
      </c>
      <c r="P6" s="26" t="str">
        <f t="shared" si="11"/>
        <v>Antes de 1983</v>
      </c>
      <c r="Q6" s="26" t="str">
        <f t="shared" si="12"/>
        <v>Betão Armado</v>
      </c>
      <c r="S6" s="18">
        <v>4</v>
      </c>
      <c r="T6" s="21" t="s">
        <v>46</v>
      </c>
      <c r="U6" s="21" t="s">
        <v>36</v>
      </c>
      <c r="V6" s="21" t="s">
        <v>25</v>
      </c>
      <c r="X6" s="18">
        <f>COUNTIF($D:$D,Y6)+COUNTIF($M:$M,Y6)</f>
        <v>8</v>
      </c>
      <c r="Y6" s="21" t="s">
        <v>51</v>
      </c>
      <c r="Z6" s="42">
        <f t="shared" si="13"/>
        <v>0.21621621621621623</v>
      </c>
    </row>
    <row r="7" spans="1:27" ht="20" customHeight="1" x14ac:dyDescent="0.35">
      <c r="B7" s="11"/>
      <c r="C7" s="11"/>
      <c r="D7" s="11"/>
      <c r="E7" s="11"/>
      <c r="F7" s="24"/>
      <c r="G7" s="24"/>
      <c r="J7" s="48"/>
      <c r="K7" s="18">
        <v>8</v>
      </c>
      <c r="L7" s="18">
        <v>7</v>
      </c>
      <c r="M7" s="21" t="str">
        <f t="shared" si="8"/>
        <v>1 (Material)</v>
      </c>
      <c r="N7" s="62">
        <f t="shared" si="9"/>
        <v>7.407407407407407E-2</v>
      </c>
      <c r="O7" s="26" t="str">
        <f t="shared" si="10"/>
        <v>Tabuleiro simples/apoiado</v>
      </c>
      <c r="P7" s="26" t="str">
        <f t="shared" si="11"/>
        <v>Antes de 1983</v>
      </c>
      <c r="Q7" s="26" t="str">
        <f t="shared" si="12"/>
        <v>Betão Armado</v>
      </c>
      <c r="S7" s="18">
        <v>5</v>
      </c>
      <c r="T7" s="21" t="s">
        <v>47</v>
      </c>
      <c r="U7" s="21" t="s">
        <v>35</v>
      </c>
      <c r="V7" s="21" t="s">
        <v>25</v>
      </c>
      <c r="X7" s="18">
        <f>COUNTIF($D:$D,Y7)+COUNTIF($M:$M,Y7)</f>
        <v>0</v>
      </c>
      <c r="Y7" s="21" t="s">
        <v>52</v>
      </c>
      <c r="Z7" s="42">
        <f t="shared" si="13"/>
        <v>0</v>
      </c>
    </row>
    <row r="8" spans="1:27" ht="20" customHeight="1" x14ac:dyDescent="0.35">
      <c r="A8" s="49" t="s">
        <v>31</v>
      </c>
      <c r="B8" s="22">
        <v>1</v>
      </c>
      <c r="C8" s="22">
        <v>1</v>
      </c>
      <c r="D8" s="23">
        <f>B8/SUM(B8:B10)</f>
        <v>0.2</v>
      </c>
      <c r="E8" s="40"/>
      <c r="F8" s="25" t="s">
        <v>55</v>
      </c>
      <c r="G8" s="25" t="str">
        <f>VLOOKUP(C8,$S$1:$V$12,3,FALSE)</f>
        <v>Antes de 1983</v>
      </c>
      <c r="H8" s="25" t="str">
        <f>VLOOKUP(C8,$S$1:$V$12,4,FALSE)</f>
        <v>Aço</v>
      </c>
      <c r="J8" s="48"/>
      <c r="K8" s="18">
        <v>6</v>
      </c>
      <c r="L8" s="18">
        <v>8</v>
      </c>
      <c r="M8" s="21" t="str">
        <f t="shared" si="8"/>
        <v>2 (Ano, Material)</v>
      </c>
      <c r="N8" s="62">
        <f t="shared" si="9"/>
        <v>5.5555555555555552E-2</v>
      </c>
      <c r="O8" s="26" t="str">
        <f t="shared" si="10"/>
        <v>Tabuleiro simples/apoiado</v>
      </c>
      <c r="P8" s="26" t="str">
        <f t="shared" si="11"/>
        <v>Depois de 1983</v>
      </c>
      <c r="Q8" s="26" t="str">
        <f t="shared" si="12"/>
        <v>Betão Armado</v>
      </c>
      <c r="S8" s="18">
        <v>6</v>
      </c>
      <c r="T8" s="21" t="s">
        <v>47</v>
      </c>
      <c r="U8" s="21" t="s">
        <v>36</v>
      </c>
      <c r="V8" s="21" t="s">
        <v>25</v>
      </c>
      <c r="X8" s="18">
        <f>COUNTIF($D:$D,Y8)+COUNTIF($M:$M,Y8)</f>
        <v>6</v>
      </c>
      <c r="Y8" s="21" t="s">
        <v>53</v>
      </c>
      <c r="Z8" s="42">
        <f t="shared" si="13"/>
        <v>0.16216216216216217</v>
      </c>
    </row>
    <row r="9" spans="1:27" ht="20" customHeight="1" x14ac:dyDescent="0.35">
      <c r="A9" s="50"/>
      <c r="B9" s="18">
        <v>1</v>
      </c>
      <c r="C9" s="18">
        <v>7</v>
      </c>
      <c r="D9" s="21" t="str">
        <f>COUNTIF(F9,$F$8)+COUNTIF(G9,$G$8)+COUNTIF(H9,$H$8)&amp;" ("&amp; IF(F9=$F$8,"Estrutura, ","") &amp; IF(G9=$G$8,"Ano, ","") &amp;IF(H9=$H$8,"Material","") &amp; IF(OR(F9=$F$8,G9=$G$8,H9=$H$8),"","Nenhuma") &amp;")"</f>
        <v>1 (Ano, )</v>
      </c>
      <c r="E9" s="19" t="str">
        <f>ROUND(B9/SUM($B$8:$B$10)*100,0) &amp;"%"</f>
        <v>20%</v>
      </c>
      <c r="F9" s="26" t="str">
        <f>VLOOKUP(C9,$S$1:$V$12,2,FALSE)</f>
        <v>Tabuleiro simples/apoiado</v>
      </c>
      <c r="G9" s="26" t="str">
        <f>VLOOKUP(C9,$S$1:$V$12,3,FALSE)</f>
        <v>Antes de 1983</v>
      </c>
      <c r="H9" s="26" t="str">
        <f>VLOOKUP(C9,$S$1:$V$12,4,FALSE)</f>
        <v>Betão Armado</v>
      </c>
      <c r="J9" s="48"/>
      <c r="K9" s="18">
        <v>1</v>
      </c>
      <c r="L9" s="18">
        <v>9</v>
      </c>
      <c r="M9" s="21" t="str">
        <f t="shared" si="8"/>
        <v>1 (Material)</v>
      </c>
      <c r="N9" s="62">
        <f t="shared" si="9"/>
        <v>9.2592592592592587E-3</v>
      </c>
      <c r="O9" s="26" t="str">
        <f t="shared" si="10"/>
        <v>Vãos Multiplos</v>
      </c>
      <c r="P9" s="26" t="str">
        <f t="shared" si="11"/>
        <v>Antes de 1983</v>
      </c>
      <c r="Q9" s="26" t="str">
        <f t="shared" si="12"/>
        <v>Betão Armado</v>
      </c>
      <c r="S9" s="18">
        <v>7</v>
      </c>
      <c r="T9" s="21" t="s">
        <v>48</v>
      </c>
      <c r="U9" s="21" t="s">
        <v>35</v>
      </c>
      <c r="V9" s="21" t="s">
        <v>25</v>
      </c>
      <c r="X9" s="18">
        <f>COUNTIF($D:$D,Y9)+COUNTIF($M:$M,Y9)</f>
        <v>11</v>
      </c>
      <c r="Y9" s="21" t="s">
        <v>54</v>
      </c>
      <c r="Z9" s="42">
        <f t="shared" si="13"/>
        <v>0.29729729729729731</v>
      </c>
    </row>
    <row r="10" spans="1:27" ht="20" customHeight="1" x14ac:dyDescent="0.35">
      <c r="A10" s="51"/>
      <c r="B10" s="18">
        <v>3</v>
      </c>
      <c r="C10" s="18">
        <v>10</v>
      </c>
      <c r="D10" s="21" t="str">
        <f>COUNTIF(F10,$F$8)+COUNTIF(G10,$G$8)+COUNTIF(H10,$H$8)&amp;" ("&amp; IF(F10=$F$8,"Estrutura, ","") &amp; IF(G10=$G$8,"Ano, ","") &amp;IF(H10=$H$8,"Material","") &amp; IF(OR(F10=$F$8,G10=$G$8,H10=$H$8),"","Nenhuma") &amp;")"</f>
        <v>0 (Nenhuma)</v>
      </c>
      <c r="E10" s="19" t="str">
        <f>ROUND(B10/SUM($B$8:$B$10)*100,0) &amp;"%"</f>
        <v>60%</v>
      </c>
      <c r="F10" s="26" t="str">
        <f>VLOOKUP(C10,$S$1:$V$12,2,FALSE)</f>
        <v>Vãos Multiplos</v>
      </c>
      <c r="G10" s="26" t="str">
        <f>VLOOKUP(C10,$S$1:$V$12,3,FALSE)</f>
        <v>Depois de 1983</v>
      </c>
      <c r="H10" s="26" t="str">
        <f>VLOOKUP(C10,$S$1:$V$12,4,FALSE)</f>
        <v>Betão Armado</v>
      </c>
      <c r="J10" s="48"/>
      <c r="K10" s="18">
        <v>7</v>
      </c>
      <c r="L10" s="18">
        <v>10</v>
      </c>
      <c r="M10" s="21" t="str">
        <f t="shared" si="8"/>
        <v>2 (Ano, Material)</v>
      </c>
      <c r="N10" s="62">
        <f t="shared" si="9"/>
        <v>6.4814814814814811E-2</v>
      </c>
      <c r="O10" s="26" t="str">
        <f t="shared" si="10"/>
        <v>Vãos Multiplos</v>
      </c>
      <c r="P10" s="26" t="str">
        <f t="shared" si="11"/>
        <v>Depois de 1983</v>
      </c>
      <c r="Q10" s="26" t="str">
        <f t="shared" si="12"/>
        <v>Betão Armado</v>
      </c>
      <c r="S10" s="18">
        <v>8</v>
      </c>
      <c r="T10" s="21" t="s">
        <v>48</v>
      </c>
      <c r="U10" s="21" t="s">
        <v>36</v>
      </c>
      <c r="V10" s="21" t="s">
        <v>25</v>
      </c>
      <c r="X10" s="9">
        <f>SUM(X3:X9)</f>
        <v>37</v>
      </c>
    </row>
    <row r="11" spans="1:27" ht="20" customHeight="1" x14ac:dyDescent="0.35">
      <c r="S11" s="18">
        <v>9</v>
      </c>
      <c r="T11" s="21" t="s">
        <v>49</v>
      </c>
      <c r="U11" s="21" t="s">
        <v>35</v>
      </c>
      <c r="V11" s="21" t="s">
        <v>25</v>
      </c>
    </row>
    <row r="12" spans="1:27" ht="20" customHeight="1" x14ac:dyDescent="0.35">
      <c r="A12" s="55" t="s">
        <v>32</v>
      </c>
      <c r="B12" s="22">
        <v>6</v>
      </c>
      <c r="C12" s="22">
        <v>2</v>
      </c>
      <c r="D12" s="23">
        <f>B12/SUM(B12:B13)</f>
        <v>0.75</v>
      </c>
      <c r="E12" s="40"/>
      <c r="F12" s="25" t="s">
        <v>55</v>
      </c>
      <c r="G12" s="25" t="str">
        <f>VLOOKUP(C12,$S$1:$V$12,3,FALSE)</f>
        <v>Depois de 1983</v>
      </c>
      <c r="H12" s="25" t="str">
        <f>VLOOKUP(C12,$S$1:$V$12,4,FALSE)</f>
        <v>Aço</v>
      </c>
      <c r="J12" s="49" t="s">
        <v>58</v>
      </c>
      <c r="K12" s="22">
        <v>5</v>
      </c>
      <c r="L12" s="22">
        <v>7</v>
      </c>
      <c r="M12" s="23">
        <f>K12/SUM(K12:K17)</f>
        <v>0.25</v>
      </c>
      <c r="N12" s="40"/>
      <c r="O12" s="25" t="str">
        <f t="shared" ref="O12:O17" si="14">VLOOKUP(L12,$S$1:$V$12,2,FALSE)</f>
        <v>Tabuleiro simples/apoiado</v>
      </c>
      <c r="P12" s="25" t="str">
        <f t="shared" ref="P12:P17" si="15">VLOOKUP(L12,$S$1:$V$12,3,FALSE)</f>
        <v>Antes de 1983</v>
      </c>
      <c r="Q12" s="25" t="str">
        <f t="shared" ref="Q12:Q17" si="16">VLOOKUP(L12,$S$1:$V$12,4,FALSE)</f>
        <v>Betão Armado</v>
      </c>
      <c r="S12" s="18">
        <v>10</v>
      </c>
      <c r="T12" s="21" t="s">
        <v>49</v>
      </c>
      <c r="U12" s="21" t="s">
        <v>36</v>
      </c>
      <c r="V12" s="21" t="s">
        <v>25</v>
      </c>
    </row>
    <row r="13" spans="1:27" ht="20" customHeight="1" x14ac:dyDescent="0.35">
      <c r="A13" s="57"/>
      <c r="B13" s="18">
        <v>2</v>
      </c>
      <c r="C13" s="18">
        <v>4</v>
      </c>
      <c r="D13" s="21" t="str">
        <f>COUNTIF(F13,$F$12)+COUNTIF(G13,$G$12)+COUNTIF(H13,$H$12)&amp;" ("&amp; IF(F13=$F$12,"Estrutura, ","") &amp; IF(G13=$G$12,"Ano, ","") &amp;IF(H13=$H$12,"Material","") &amp; IF(OR(F13=$F$12,G13=$G$12,H13=$H$12),"","Nenhuma") &amp;")"</f>
        <v>1 (Ano, )</v>
      </c>
      <c r="E13" s="19" t="str">
        <f>ROUND(B13/SUM($B$12:$B$13)*100,0) &amp;"%"</f>
        <v>25%</v>
      </c>
      <c r="F13" s="26" t="str">
        <f>VLOOKUP(C13,$S$1:$V$12,2,FALSE)</f>
        <v>Arco</v>
      </c>
      <c r="G13" s="26" t="str">
        <f>VLOOKUP(C13,$S$1:$V$12,3,FALSE)</f>
        <v>Depois de 1983</v>
      </c>
      <c r="H13" s="26" t="str">
        <f>VLOOKUP(C13,$S$1:$V$12,4,FALSE)</f>
        <v>Betão Armado</v>
      </c>
      <c r="J13" s="50"/>
      <c r="K13" s="18">
        <v>2</v>
      </c>
      <c r="L13" s="18">
        <v>0</v>
      </c>
      <c r="M13" s="21" t="str">
        <f>COUNTIF(O13,$O$12)+COUNTIF(P13,$P$12)+COUNTIF(Q13,$Q$12)&amp;" ("&amp; IF(O13=$O$12,"Estrutura, ","") &amp; IF(P13=$P$12,"Ano, ","") &amp;IF(Q13=$Q$12,"Material","") &amp; IF(OR(O13=$O$12,P13=$P$12,Q13=$Q$12),"","Nenhuma") &amp;")"</f>
        <v>0 (Nenhuma)</v>
      </c>
      <c r="N13" s="19" t="str">
        <f>ROUND(K13/SUM($K$12:$K$17)*100,0) &amp;"%"</f>
        <v>10%</v>
      </c>
      <c r="O13" s="26">
        <f t="shared" si="14"/>
        <v>0</v>
      </c>
      <c r="P13" s="26">
        <f t="shared" si="15"/>
        <v>0</v>
      </c>
      <c r="Q13" s="26" t="str">
        <f t="shared" si="16"/>
        <v>Alvenaria</v>
      </c>
    </row>
    <row r="14" spans="1:27" ht="20" customHeight="1" x14ac:dyDescent="0.35">
      <c r="J14" s="50"/>
      <c r="K14" s="18">
        <v>3</v>
      </c>
      <c r="L14" s="18">
        <v>6</v>
      </c>
      <c r="M14" s="21" t="str">
        <f>COUNTIF(O14,$O$12)+COUNTIF(P14,$P$12)+COUNTIF(Q14,$Q$12)&amp;" ("&amp; IF(O14=$O$12,"Estrutura, ","") &amp; IF(P14=$P$12,"Ano, ","") &amp;IF(Q14=$Q$12,"Material","") &amp; IF(OR(O14=$O$12,P14=$P$12,Q14=$Q$12),"","Nenhuma") &amp;")"</f>
        <v>1 (Material)</v>
      </c>
      <c r="N14" s="19" t="str">
        <f>ROUND(K14/SUM($K$12:$K$17)*100,0) &amp;"%"</f>
        <v>15%</v>
      </c>
      <c r="O14" s="26" t="str">
        <f t="shared" si="14"/>
        <v>Pórtico</v>
      </c>
      <c r="P14" s="26" t="str">
        <f t="shared" si="15"/>
        <v>Depois de 1983</v>
      </c>
      <c r="Q14" s="26" t="str">
        <f t="shared" si="16"/>
        <v>Betão Armado</v>
      </c>
    </row>
    <row r="15" spans="1:27" ht="20" customHeight="1" x14ac:dyDescent="0.35">
      <c r="A15" s="49" t="s">
        <v>37</v>
      </c>
      <c r="B15" s="22">
        <v>0</v>
      </c>
      <c r="C15" s="22">
        <v>3</v>
      </c>
      <c r="D15" s="23">
        <f>B15/SUM(B15:B18)</f>
        <v>0</v>
      </c>
      <c r="E15" s="40"/>
      <c r="F15" s="25" t="str">
        <f>VLOOKUP(C15,$S$1:$V$12,2,FALSE)</f>
        <v>Arco</v>
      </c>
      <c r="G15" s="25" t="str">
        <f>VLOOKUP(C15,$S$1:$V$12,3,FALSE)</f>
        <v>Antes de 1983</v>
      </c>
      <c r="H15" s="25" t="str">
        <f>VLOOKUP(C15,$S$1:$V$12,4,FALSE)</f>
        <v>Betão Armado</v>
      </c>
      <c r="J15" s="50"/>
      <c r="K15" s="18">
        <v>4</v>
      </c>
      <c r="L15" s="18">
        <v>8</v>
      </c>
      <c r="M15" s="21" t="str">
        <f>COUNTIF(O15,$O$12)+COUNTIF(P15,$P$12)+COUNTIF(Q15,$Q$12)&amp;" ("&amp; IF(O15=$O$12,"Estrutura, ","") &amp; IF(P15=$P$12,"Ano, ","") &amp;IF(Q15=$Q$12,"Material","") &amp; IF(OR(O15=$O$12,P15=$P$12,Q15=$Q$12),"","Nenhuma") &amp;")"</f>
        <v>2 (Estrutura, Material)</v>
      </c>
      <c r="N15" s="19" t="str">
        <f>ROUND(K15/SUM($K$12:$K$17)*100,0) &amp;"%"</f>
        <v>20%</v>
      </c>
      <c r="O15" s="26" t="str">
        <f t="shared" si="14"/>
        <v>Tabuleiro simples/apoiado</v>
      </c>
      <c r="P15" s="26" t="str">
        <f t="shared" si="15"/>
        <v>Depois de 1983</v>
      </c>
      <c r="Q15" s="26" t="str">
        <f t="shared" si="16"/>
        <v>Betão Armado</v>
      </c>
    </row>
    <row r="16" spans="1:27" ht="20" customHeight="1" x14ac:dyDescent="0.35">
      <c r="A16" s="50"/>
      <c r="B16" s="18">
        <v>2</v>
      </c>
      <c r="C16" s="18">
        <v>0</v>
      </c>
      <c r="D16" s="21" t="str">
        <f>COUNTIF(F16,$F$15)+COUNTIF(G16,$G$15)+COUNTIF(H16,$H$15)&amp;" ("&amp; IF(F16=$F$15,"Estrutura, ","") &amp; IF(G16=$G$15,"Ano, ","") &amp;IF(H16=$H$15,"Material","") &amp; IF(OR(F16=$F$15,G16=$G$15,H16=$H$15),"","Nenhuma") &amp;")"</f>
        <v>0 (Nenhuma)</v>
      </c>
      <c r="E16" s="19" t="str">
        <f>ROUND(B16/SUM($B$15:$B$18)*100,0) &amp;"%"</f>
        <v>40%</v>
      </c>
      <c r="F16" s="26">
        <f>VLOOKUP(C16,$S$1:$V$12,2,FALSE)</f>
        <v>0</v>
      </c>
      <c r="G16" s="26">
        <f>VLOOKUP(C16,$S$1:$V$12,3,FALSE)</f>
        <v>0</v>
      </c>
      <c r="H16" s="26" t="str">
        <f>VLOOKUP(C16,$S$1:$V$12,4,FALSE)</f>
        <v>Alvenaria</v>
      </c>
      <c r="J16" s="50"/>
      <c r="K16" s="18">
        <v>2</v>
      </c>
      <c r="L16" s="18">
        <v>9</v>
      </c>
      <c r="M16" s="21" t="str">
        <f>COUNTIF(O16,$O$12)+COUNTIF(P16,$P$12)+COUNTIF(Q16,$Q$12)&amp;" ("&amp; IF(O16=$O$12,"Estrutura, ","") &amp; IF(P16=$P$12,"Ano, ","") &amp;IF(Q16=$Q$12,"Material","") &amp; IF(OR(O16=$O$12,P16=$P$12,Q16=$Q$12),"","Nenhuma") &amp;")"</f>
        <v>2 (Ano, Material)</v>
      </c>
      <c r="N16" s="19" t="str">
        <f>ROUND(K16/SUM($K$12:$K$17)*100,0) &amp;"%"</f>
        <v>10%</v>
      </c>
      <c r="O16" s="26" t="str">
        <f t="shared" si="14"/>
        <v>Vãos Multiplos</v>
      </c>
      <c r="P16" s="26" t="str">
        <f t="shared" si="15"/>
        <v>Antes de 1983</v>
      </c>
      <c r="Q16" s="26" t="str">
        <f t="shared" si="16"/>
        <v>Betão Armado</v>
      </c>
    </row>
    <row r="17" spans="1:17" ht="20" customHeight="1" x14ac:dyDescent="0.35">
      <c r="A17" s="50"/>
      <c r="B17" s="18">
        <v>1</v>
      </c>
      <c r="C17" s="18">
        <v>9</v>
      </c>
      <c r="D17" s="21" t="str">
        <f>COUNTIF(F17,$F$15)+COUNTIF(G17,$G$15)+COUNTIF(H17,$H$15)&amp;" ("&amp; IF(F17=$F$15,"Estrutura, ","") &amp; IF(G17=$G$15,"Ano, ","") &amp;IF(H17=$H$15,"Material","") &amp; IF(OR(F17=$F$15,G17=$G$15,H17=$H$15),"","Nenhuma") &amp;")"</f>
        <v>2 (Ano, Material)</v>
      </c>
      <c r="E17" s="19" t="str">
        <f>ROUND(B17/SUM($B$15:$B$18)*100,0) &amp;"%"</f>
        <v>20%</v>
      </c>
      <c r="F17" s="26" t="str">
        <f>VLOOKUP(C17,$S$1:$V$12,2,FALSE)</f>
        <v>Vãos Multiplos</v>
      </c>
      <c r="G17" s="26" t="str">
        <f>VLOOKUP(C17,$S$1:$V$12,3,FALSE)</f>
        <v>Antes de 1983</v>
      </c>
      <c r="H17" s="26" t="str">
        <f>VLOOKUP(C17,$S$1:$V$12,4,FALSE)</f>
        <v>Betão Armado</v>
      </c>
      <c r="J17" s="51"/>
      <c r="K17" s="18">
        <v>4</v>
      </c>
      <c r="L17" s="18">
        <v>10</v>
      </c>
      <c r="M17" s="21" t="str">
        <f>COUNTIF(O17,$O$12)+COUNTIF(P17,$P$12)+COUNTIF(Q17,$Q$12)&amp;" ("&amp; IF(O17=$O$12,"Estrutura, ","") &amp; IF(P17=$P$12,"Ano, ","") &amp;IF(Q17=$Q$12,"Material","") &amp; IF(OR(O17=$O$12,P17=$P$12,Q17=$Q$12),"","Nenhuma") &amp;")"</f>
        <v>1 (Material)</v>
      </c>
      <c r="N17" s="19" t="str">
        <f>ROUND(K17/SUM($K$12:$K$17)*100,0) &amp;"%"</f>
        <v>20%</v>
      </c>
      <c r="O17" s="26" t="str">
        <f t="shared" si="14"/>
        <v>Vãos Multiplos</v>
      </c>
      <c r="P17" s="26" t="str">
        <f t="shared" si="15"/>
        <v>Depois de 1983</v>
      </c>
      <c r="Q17" s="26" t="str">
        <f t="shared" si="16"/>
        <v>Betão Armado</v>
      </c>
    </row>
    <row r="18" spans="1:17" ht="20" customHeight="1" x14ac:dyDescent="0.35">
      <c r="A18" s="51"/>
      <c r="B18" s="18">
        <v>2</v>
      </c>
      <c r="C18" s="18">
        <v>10</v>
      </c>
      <c r="D18" s="21" t="str">
        <f>COUNTIF(F18,$F$15)+COUNTIF(G18,$G$15)+COUNTIF(H18,$H$15)&amp;" ("&amp; IF(F18=$F$15,"Estrutura, ","") &amp; IF(G18=$G$15,"Ano, ","") &amp;IF(H18=$H$15,"Material","") &amp; IF(OR(F18=$F$15,G18=$G$15,H18=$H$15),"","Nenhuma") &amp;")"</f>
        <v>1 (Material)</v>
      </c>
      <c r="E18" s="19" t="str">
        <f>ROUND(B18/SUM($B$15:$B$18)*100,0) &amp;"%"</f>
        <v>40%</v>
      </c>
      <c r="F18" s="26" t="str">
        <f>VLOOKUP(C18,$S$1:$V$12,2,FALSE)</f>
        <v>Vãos Multiplos</v>
      </c>
      <c r="G18" s="26" t="str">
        <f>VLOOKUP(C18,$S$1:$V$12,3,FALSE)</f>
        <v>Depois de 1983</v>
      </c>
      <c r="H18" s="26" t="str">
        <f>VLOOKUP(C18,$S$1:$V$12,4,FALSE)</f>
        <v>Betão Armado</v>
      </c>
    </row>
    <row r="19" spans="1:17" ht="20" customHeight="1" x14ac:dyDescent="0.35">
      <c r="J19" s="48" t="s">
        <v>59</v>
      </c>
      <c r="K19" s="22">
        <v>12</v>
      </c>
      <c r="L19" s="22">
        <v>8</v>
      </c>
      <c r="M19" s="41">
        <f>K19/SUM(K19:K22)</f>
        <v>0.36363636363636365</v>
      </c>
      <c r="N19" s="40"/>
      <c r="O19" s="25" t="str">
        <f>VLOOKUP(L19,$S$1:$V$12,2,FALSE)</f>
        <v>Tabuleiro simples/apoiado</v>
      </c>
      <c r="P19" s="25" t="str">
        <f t="shared" ref="P19:P22" si="17">VLOOKUP(L19,$S$1:$V$12,3,FALSE)</f>
        <v>Depois de 1983</v>
      </c>
      <c r="Q19" s="25" t="str">
        <f t="shared" ref="Q19:Q22" si="18">VLOOKUP(L19,$S$1:$V$12,4,FALSE)</f>
        <v>Betão Armado</v>
      </c>
    </row>
    <row r="20" spans="1:17" ht="20" customHeight="1" x14ac:dyDescent="0.35">
      <c r="A20" s="56" t="s">
        <v>38</v>
      </c>
      <c r="B20" s="22">
        <v>7</v>
      </c>
      <c r="C20" s="22">
        <v>4</v>
      </c>
      <c r="D20" s="41">
        <f>B20/SUM(B20:B21)</f>
        <v>0.875</v>
      </c>
      <c r="E20" s="40"/>
      <c r="F20" s="25" t="str">
        <f>VLOOKUP(C20,$S$1:$V$12,2,FALSE)</f>
        <v>Arco</v>
      </c>
      <c r="G20" s="25" t="str">
        <f>VLOOKUP(C20,$S$1:$V$12,3,FALSE)</f>
        <v>Depois de 1983</v>
      </c>
      <c r="H20" s="25" t="str">
        <f>VLOOKUP(C20,$S$1:$V$12,4,FALSE)</f>
        <v>Betão Armado</v>
      </c>
      <c r="J20" s="48"/>
      <c r="K20" s="18">
        <v>4</v>
      </c>
      <c r="L20" s="18">
        <v>6</v>
      </c>
      <c r="M20" s="21" t="str">
        <f>COUNTIF(O20,$O$19)+COUNTIF(P20,$P$19)+COUNTIF(Q20,$Q$19)&amp;" ("&amp; IF(O20=$O$19,"Estrutura, ","") &amp; IF(P20=$P$19,"Ano, ","") &amp;IF(Q20=$Q$19,"Material","") &amp; IF(OR(O20=$O$19,P20=$P$19,Q20=$Q$19),"","Nenhuma") &amp;")"</f>
        <v>2 (Ano, Material)</v>
      </c>
      <c r="N20" s="19" t="str">
        <f>ROUND(K20/SUM($K$19:$K$22)*100,1) &amp;"%"</f>
        <v>12,1%</v>
      </c>
      <c r="O20" s="26" t="str">
        <f>VLOOKUP(L20,$S$1:$V$12,2,FALSE)</f>
        <v>Pórtico</v>
      </c>
      <c r="P20" s="26" t="str">
        <f t="shared" si="17"/>
        <v>Depois de 1983</v>
      </c>
      <c r="Q20" s="26" t="str">
        <f t="shared" si="18"/>
        <v>Betão Armado</v>
      </c>
    </row>
    <row r="21" spans="1:17" ht="20" customHeight="1" x14ac:dyDescent="0.35">
      <c r="A21" s="58"/>
      <c r="B21" s="61">
        <v>1</v>
      </c>
      <c r="C21" s="61">
        <v>2</v>
      </c>
      <c r="D21" s="21" t="str">
        <f>COUNTIF(F21,$F$20)+COUNTIF(G21,$G$20)+COUNTIF(H21,$H$20)&amp;" ("&amp; IF(F21=$F$20,"Estrutura, ","") &amp; IF(G21=$G$20,"Ano, ","") &amp;IF(H21=$H$20,"Material","") &amp; IF(OR(F21=$F$20,G21=$G$20,H21=$H$20),"","Nenhuma") &amp;")"</f>
        <v>1 (Ano, )</v>
      </c>
      <c r="E21" s="60">
        <f>B21/SUM(B20:B21)</f>
        <v>0.125</v>
      </c>
      <c r="F21" s="59">
        <f>VLOOKUP(C21,$S$1:$V$12,2,FALSE)</f>
        <v>0</v>
      </c>
      <c r="G21" s="59" t="str">
        <f>VLOOKUP(C21,$S$1:$V$12,3,FALSE)</f>
        <v>Depois de 1983</v>
      </c>
      <c r="H21" s="59" t="str">
        <f>VLOOKUP(C21,$S$1:$V$12,4,FALSE)</f>
        <v>Aço</v>
      </c>
      <c r="J21" s="48"/>
      <c r="K21" s="18">
        <v>5</v>
      </c>
      <c r="L21" s="18">
        <v>7</v>
      </c>
      <c r="M21" s="21" t="str">
        <f>COUNTIF(O21,$O$19)+COUNTIF(P21,$P$19)+COUNTIF(Q21,$Q$19)&amp;" ("&amp; IF(O21=$O$19,"Estrutura, ","") &amp; IF(P21=$P$19,"Ano, ","") &amp;IF(Q21=$Q$19,"Material","") &amp; IF(OR(O21=$O$19,P21=$P$19,Q21=$Q$19),"","Nenhuma") &amp;")"</f>
        <v>2 (Estrutura, Material)</v>
      </c>
      <c r="N21" s="19" t="str">
        <f>ROUND(K21/SUM($K$19:$K$22)*100,1) &amp;"%"</f>
        <v>15,2%</v>
      </c>
      <c r="O21" s="26" t="str">
        <f t="shared" ref="O21:O22" si="19">VLOOKUP(L21,$S$1:$V$12,2,FALSE)</f>
        <v>Tabuleiro simples/apoiado</v>
      </c>
      <c r="P21" s="26" t="str">
        <f t="shared" si="17"/>
        <v>Antes de 1983</v>
      </c>
      <c r="Q21" s="26" t="str">
        <f t="shared" si="18"/>
        <v>Betão Armado</v>
      </c>
    </row>
    <row r="22" spans="1:17" ht="20" customHeight="1" x14ac:dyDescent="0.35">
      <c r="J22" s="48"/>
      <c r="K22" s="18">
        <v>12</v>
      </c>
      <c r="L22" s="18">
        <v>10</v>
      </c>
      <c r="M22" s="21" t="str">
        <f>COUNTIF(O22,$O$19)+COUNTIF(P22,$P$19)+COUNTIF(Q22,$Q$19)&amp;" ("&amp; IF(O22=$O$19,"Estrutura, ","") &amp; IF(P22=$P$19,"Ano, ","") &amp;IF(Q22=$Q$19,"Material","") &amp; IF(OR(O22=$O$19,P22=$P$19,Q22=$Q$19),"","Nenhuma") &amp;")"</f>
        <v>2 (Ano, Material)</v>
      </c>
      <c r="N22" s="19" t="str">
        <f>ROUND(K22/SUM($K$19:$K$22)*100,1) &amp;"%"</f>
        <v>36,4%</v>
      </c>
      <c r="O22" s="26" t="str">
        <f t="shared" si="19"/>
        <v>Vãos Multiplos</v>
      </c>
      <c r="P22" s="26" t="str">
        <f t="shared" si="17"/>
        <v>Depois de 1983</v>
      </c>
      <c r="Q22" s="26" t="str">
        <f t="shared" si="18"/>
        <v>Betão Armado</v>
      </c>
    </row>
    <row r="23" spans="1:17" ht="20" customHeight="1" x14ac:dyDescent="0.35">
      <c r="A23" s="49" t="s">
        <v>56</v>
      </c>
      <c r="B23" s="22">
        <v>1</v>
      </c>
      <c r="C23" s="22">
        <v>5</v>
      </c>
      <c r="D23" s="23">
        <f>B23/SUM(B23:B26)</f>
        <v>9.0909090909090912E-2</v>
      </c>
      <c r="E23" s="40"/>
      <c r="F23" s="25" t="str">
        <f t="shared" ref="F23:F26" si="20">VLOOKUP(C23,$S$1:$V$12,2,FALSE)</f>
        <v>Pórtico</v>
      </c>
      <c r="G23" s="25" t="str">
        <f t="shared" ref="G23:G26" si="21">VLOOKUP(C23,$S$1:$V$12,3,FALSE)</f>
        <v>Antes de 1983</v>
      </c>
      <c r="H23" s="25" t="str">
        <f t="shared" ref="H23:H26" si="22">VLOOKUP(C23,$S$1:$V$12,4,FALSE)</f>
        <v>Betão Armado</v>
      </c>
    </row>
    <row r="24" spans="1:17" ht="20" customHeight="1" x14ac:dyDescent="0.35">
      <c r="A24" s="50"/>
      <c r="B24" s="18">
        <v>7</v>
      </c>
      <c r="C24" s="18">
        <v>6</v>
      </c>
      <c r="D24" s="21" t="str">
        <f>COUNTIF(F24,$F$23)+COUNTIF(G24,$G$23)+COUNTIF(H24,$H$23)&amp;" ("&amp; IF(F24=$F$23,"Estrutura, ","") &amp; IF(G24=$G$23,"Ano, ","") &amp;IF(H24=$H$23,"Material","") &amp; IF(OR(F24=$F$23,G24=$G$23,H24=$H$23),"","Nenhuma") &amp;")"</f>
        <v>2 (Estrutura, Material)</v>
      </c>
      <c r="E24" s="19" t="str">
        <f>ROUND(B24/SUM($B$23:$B$26)*100,0) &amp;"%"</f>
        <v>64%</v>
      </c>
      <c r="F24" s="26" t="str">
        <f t="shared" si="20"/>
        <v>Pórtico</v>
      </c>
      <c r="G24" s="26" t="str">
        <f t="shared" si="21"/>
        <v>Depois de 1983</v>
      </c>
      <c r="H24" s="26" t="str">
        <f t="shared" si="22"/>
        <v>Betão Armado</v>
      </c>
      <c r="J24" s="49" t="s">
        <v>60</v>
      </c>
      <c r="K24" s="22">
        <v>3</v>
      </c>
      <c r="L24" s="22">
        <v>9</v>
      </c>
      <c r="M24" s="41">
        <f>K24/SUM(K24:K27)</f>
        <v>8.1081081081081086E-2</v>
      </c>
      <c r="N24" s="40"/>
      <c r="O24" s="25" t="str">
        <f>VLOOKUP(L24,$S$1:$V$12,2,FALSE)</f>
        <v>Vãos Multiplos</v>
      </c>
      <c r="P24" s="25" t="str">
        <f t="shared" ref="P24:P27" si="23">VLOOKUP(L24,$S$1:$V$12,3,FALSE)</f>
        <v>Antes de 1983</v>
      </c>
      <c r="Q24" s="25" t="str">
        <f t="shared" ref="Q24:Q27" si="24">VLOOKUP(L24,$S$1:$V$12,4,FALSE)</f>
        <v>Betão Armado</v>
      </c>
    </row>
    <row r="25" spans="1:17" ht="20" customHeight="1" x14ac:dyDescent="0.35">
      <c r="A25" s="50"/>
      <c r="B25" s="18">
        <v>1</v>
      </c>
      <c r="C25" s="18">
        <v>9</v>
      </c>
      <c r="D25" s="21" t="str">
        <f>COUNTIF(F25,$F$23)+COUNTIF(G25,$G$23)+COUNTIF(H25,$H$23)&amp;" ("&amp; IF(F25=$F$23,"Estrutura, ","") &amp; IF(G25=$G$23,"Ano, ","") &amp;IF(H25=$H$23,"Material","") &amp; IF(OR(F25=$F$23,G25=$G$23,H25=$H$23),"","Nenhuma") &amp;")"</f>
        <v>2 (Ano, Material)</v>
      </c>
      <c r="E25" s="19" t="str">
        <f>ROUND(B25/SUM($B$23:$B$26)*100,0) &amp;"%"</f>
        <v>9%</v>
      </c>
      <c r="F25" s="26" t="str">
        <f t="shared" si="20"/>
        <v>Vãos Multiplos</v>
      </c>
      <c r="G25" s="26" t="str">
        <f t="shared" si="21"/>
        <v>Antes de 1983</v>
      </c>
      <c r="H25" s="26" t="str">
        <f t="shared" si="22"/>
        <v>Betão Armado</v>
      </c>
      <c r="J25" s="50"/>
      <c r="K25" s="18">
        <v>1</v>
      </c>
      <c r="L25" s="18">
        <v>6</v>
      </c>
      <c r="M25" s="21" t="str">
        <f>COUNTIF(O25,$O$24)+COUNTIF(P25,$P$24)+COUNTIF(Q25,$Q$24)&amp;" ("&amp; IF(O25=$O$24,"Estrutura, ","") &amp; IF(P25=$P$24,"Ano, ","") &amp;IF(Q25=$Q$24,"Material","") &amp; IF(OR(O25=$O$24,P25=$P$24,Q25=$Q$24),"","Nenhuma") &amp;")"</f>
        <v>1 (Material)</v>
      </c>
      <c r="N25" s="19" t="str">
        <f>ROUND(K25/SUM($K$24:$K$27)*100,1) &amp;"%"</f>
        <v>2,7%</v>
      </c>
      <c r="O25" s="26" t="str">
        <f>VLOOKUP(L25,$S$1:$V$12,2,FALSE)</f>
        <v>Pórtico</v>
      </c>
      <c r="P25" s="26" t="str">
        <f t="shared" si="23"/>
        <v>Depois de 1983</v>
      </c>
      <c r="Q25" s="26" t="str">
        <f t="shared" si="24"/>
        <v>Betão Armado</v>
      </c>
    </row>
    <row r="26" spans="1:17" ht="20" customHeight="1" x14ac:dyDescent="0.35">
      <c r="A26" s="51"/>
      <c r="B26" s="18">
        <v>2</v>
      </c>
      <c r="C26" s="18">
        <v>10</v>
      </c>
      <c r="D26" s="21" t="str">
        <f>COUNTIF(F26,$F$23)+COUNTIF(G26,$G$23)+COUNTIF(H26,$H$23)&amp;" ("&amp; IF(F26=$F$23,"Estrutura, ","") &amp; IF(G26=$G$23,"Ano, ","") &amp;IF(H26=$H$23,"Material","") &amp; IF(OR(F26=$F$23,G26=$G$23,H26=$H$23),"","Nenhuma") &amp;")"</f>
        <v>1 (Material)</v>
      </c>
      <c r="E26" s="19" t="str">
        <f>ROUND(B26/SUM($B$23:$B$26)*100,0) &amp;"%"</f>
        <v>18%</v>
      </c>
      <c r="F26" s="26" t="str">
        <f t="shared" si="20"/>
        <v>Vãos Multiplos</v>
      </c>
      <c r="G26" s="26" t="str">
        <f t="shared" si="21"/>
        <v>Depois de 1983</v>
      </c>
      <c r="H26" s="26" t="str">
        <f t="shared" si="22"/>
        <v>Betão Armado</v>
      </c>
      <c r="J26" s="50"/>
      <c r="K26" s="18">
        <v>2</v>
      </c>
      <c r="L26" s="18">
        <v>7</v>
      </c>
      <c r="M26" s="21" t="str">
        <f>COUNTIF(O26,$O$24)+COUNTIF(P26,$P$24)+COUNTIF(Q26,$Q$24)&amp;" ("&amp; IF(O26=$O$24,"Estrutura, ","") &amp; IF(P26=$P$24,"Ano, ","") &amp;IF(Q26=$Q$24,"Material","") &amp; IF(OR(O26=$O$24,P26=$P$24,Q26=$Q$24),"","Nenhuma") &amp;")"</f>
        <v>2 (Ano, Material)</v>
      </c>
      <c r="N26" s="19" t="str">
        <f>ROUND(K26/SUM($K$24:$K$27)*100,1) &amp;"%"</f>
        <v>5,4%</v>
      </c>
      <c r="O26" s="26" t="str">
        <f t="shared" ref="O26:O27" si="25">VLOOKUP(L26,$S$1:$V$12,2,FALSE)</f>
        <v>Tabuleiro simples/apoiado</v>
      </c>
      <c r="P26" s="26" t="str">
        <f t="shared" si="23"/>
        <v>Antes de 1983</v>
      </c>
      <c r="Q26" s="26" t="str">
        <f t="shared" si="24"/>
        <v>Betão Armado</v>
      </c>
    </row>
    <row r="27" spans="1:17" ht="20" customHeight="1" x14ac:dyDescent="0.35">
      <c r="J27" s="51"/>
      <c r="K27" s="18">
        <v>31</v>
      </c>
      <c r="L27" s="18">
        <v>10</v>
      </c>
      <c r="M27" s="21" t="str">
        <f>COUNTIF(O27,$O$24)+COUNTIF(P27,$P$24)+COUNTIF(Q27,$Q$24)&amp;" ("&amp; IF(O27=$O$24,"Estrutura, ","") &amp; IF(P27=$P$24,"Ano, ","") &amp;IF(Q27=$Q$24,"Material","") &amp; IF(OR(O27=$O$24,P27=$P$24,Q27=$Q$24),"","Nenhuma") &amp;")"</f>
        <v>2 (Estrutura, Material)</v>
      </c>
      <c r="N27" s="19" t="str">
        <f>ROUND(K27/SUM($K$24:$K$27)*100,1) &amp;"%"</f>
        <v>83,8%</v>
      </c>
      <c r="O27" s="26" t="str">
        <f t="shared" si="25"/>
        <v>Vãos Multiplos</v>
      </c>
      <c r="P27" s="26" t="str">
        <f t="shared" si="23"/>
        <v>Depois de 1983</v>
      </c>
      <c r="Q27" s="26" t="str">
        <f t="shared" si="24"/>
        <v>Betão Armado</v>
      </c>
    </row>
    <row r="29" spans="1:17" ht="20" customHeight="1" x14ac:dyDescent="0.35">
      <c r="J29" s="49" t="s">
        <v>61</v>
      </c>
      <c r="K29" s="22">
        <v>388</v>
      </c>
      <c r="L29" s="22">
        <v>10</v>
      </c>
      <c r="M29" s="41">
        <f>K29/SUM(K29:K33)</f>
        <v>0.97487437185929648</v>
      </c>
      <c r="N29" s="40"/>
      <c r="O29" s="25" t="str">
        <f>VLOOKUP(L29,$S$1:$V$12,2,FALSE)</f>
        <v>Vãos Multiplos</v>
      </c>
      <c r="P29" s="25" t="str">
        <f t="shared" ref="P29:P33" si="26">VLOOKUP(L29,$S$1:$V$12,3,FALSE)</f>
        <v>Depois de 1983</v>
      </c>
      <c r="Q29" s="25" t="str">
        <f t="shared" ref="Q29:Q33" si="27">VLOOKUP(L29,$S$1:$V$12,4,FALSE)</f>
        <v>Betão Armado</v>
      </c>
    </row>
    <row r="30" spans="1:17" ht="20" customHeight="1" x14ac:dyDescent="0.35">
      <c r="J30" s="50"/>
      <c r="K30" s="18">
        <v>2</v>
      </c>
      <c r="L30" s="18">
        <v>6</v>
      </c>
      <c r="M30" s="21" t="str">
        <f>COUNTIF(O30,$O$29)+COUNTIF(P30,$P$29)+COUNTIF(Q30,$Q$29)&amp;" ("&amp; IF(O30=$O$29,"Estrutura, ","") &amp; IF(P30=$P$29,"Ano, ","") &amp;IF(Q30=$Q$29,"Material","") &amp; IF(OR(O30=$O$29,P30=$P$29,Q30=$Q$29),"","Nenhuma") &amp;")"</f>
        <v>2 (Ano, Material)</v>
      </c>
      <c r="N30" s="19" t="str">
        <f>ROUND(K30/SUM($K$29:$K$33)*100,1) &amp;"%"</f>
        <v>0,5%</v>
      </c>
      <c r="O30" s="26" t="str">
        <f>VLOOKUP(L30,$S$1:$V$12,2,FALSE)</f>
        <v>Pórtico</v>
      </c>
      <c r="P30" s="26" t="str">
        <f t="shared" si="26"/>
        <v>Depois de 1983</v>
      </c>
      <c r="Q30" s="26" t="str">
        <f t="shared" si="27"/>
        <v>Betão Armado</v>
      </c>
    </row>
    <row r="31" spans="1:17" ht="20" customHeight="1" x14ac:dyDescent="0.35">
      <c r="J31" s="50"/>
      <c r="K31" s="18">
        <v>3</v>
      </c>
      <c r="L31" s="18">
        <v>7</v>
      </c>
      <c r="M31" s="21" t="str">
        <f>COUNTIF(O31,$O$29)+COUNTIF(P31,$P$29)+COUNTIF(Q31,$Q$29)&amp;" ("&amp; IF(O31=$O$29,"Estrutura, ","") &amp; IF(P31=$P$29,"Ano, ","") &amp;IF(Q31=$Q$29,"Material","") &amp; IF(OR(O31=$O$29,P31=$P$29,Q31=$Q$29),"","Nenhuma") &amp;")"</f>
        <v>1 (Material)</v>
      </c>
      <c r="N31" s="19" t="str">
        <f>ROUND(K31/SUM($K$29:$K$33)*100,1) &amp;"%"</f>
        <v>0,8%</v>
      </c>
      <c r="O31" s="26" t="str">
        <f t="shared" ref="O31:O33" si="28">VLOOKUP(L31,$S$1:$V$12,2,FALSE)</f>
        <v>Tabuleiro simples/apoiado</v>
      </c>
      <c r="P31" s="26" t="str">
        <f t="shared" si="26"/>
        <v>Antes de 1983</v>
      </c>
      <c r="Q31" s="26" t="str">
        <f t="shared" si="27"/>
        <v>Betão Armado</v>
      </c>
    </row>
    <row r="32" spans="1:17" ht="20" customHeight="1" x14ac:dyDescent="0.35">
      <c r="J32" s="50"/>
      <c r="K32" s="18">
        <v>1</v>
      </c>
      <c r="L32" s="18">
        <v>8</v>
      </c>
      <c r="M32" s="21" t="str">
        <f>COUNTIF(O32,$O$29)+COUNTIF(P32,$P$29)+COUNTIF(Q32,$Q$29)&amp;" ("&amp; IF(O32=$O$29,"Estrutura, ","") &amp; IF(P32=$P$29,"Ano, ","") &amp;IF(Q32=$Q$29,"Material","") &amp; IF(OR(O32=$O$29,P32=$P$29,Q32=$Q$29),"","Nenhuma") &amp;")"</f>
        <v>2 (Ano, Material)</v>
      </c>
      <c r="N32" s="19" t="str">
        <f>ROUND(K32/SUM($K$29:$K$33)*100,1) &amp;"%"</f>
        <v>0,3%</v>
      </c>
      <c r="O32" s="26" t="str">
        <f t="shared" si="28"/>
        <v>Tabuleiro simples/apoiado</v>
      </c>
      <c r="P32" s="26" t="str">
        <f t="shared" si="26"/>
        <v>Depois de 1983</v>
      </c>
      <c r="Q32" s="26" t="str">
        <f t="shared" si="27"/>
        <v>Betão Armado</v>
      </c>
    </row>
    <row r="33" spans="10:17" ht="20" customHeight="1" x14ac:dyDescent="0.35">
      <c r="J33" s="51"/>
      <c r="K33" s="18">
        <v>4</v>
      </c>
      <c r="L33" s="18">
        <v>9</v>
      </c>
      <c r="M33" s="21" t="str">
        <f>COUNTIF(O33,$O$29)+COUNTIF(P33,$P$29)+COUNTIF(Q33,$Q$29)&amp;" ("&amp; IF(O33=$O$29,"Estrutura, ","") &amp; IF(P33=$P$29,"Ano, ","") &amp;IF(Q33=$Q$29,"Material","") &amp; IF(OR(O33=$O$29,P33=$P$29,Q33=$Q$29),"","Nenhuma") &amp;")"</f>
        <v>2 (Estrutura, Material)</v>
      </c>
      <c r="N33" s="19" t="str">
        <f>ROUND(K33/SUM($K$29:$K$33)*100,1) &amp;"%"</f>
        <v>1%</v>
      </c>
      <c r="O33" s="26" t="str">
        <f t="shared" si="28"/>
        <v>Vãos Multiplos</v>
      </c>
      <c r="P33" s="26" t="str">
        <f t="shared" si="26"/>
        <v>Antes de 1983</v>
      </c>
      <c r="Q33" s="26" t="str">
        <f t="shared" si="27"/>
        <v>Betão Armado</v>
      </c>
    </row>
  </sheetData>
  <mergeCells count="12">
    <mergeCell ref="J12:J17"/>
    <mergeCell ref="J19:J22"/>
    <mergeCell ref="J24:J27"/>
    <mergeCell ref="J29:J33"/>
    <mergeCell ref="X1:AA1"/>
    <mergeCell ref="A2:A6"/>
    <mergeCell ref="A8:A10"/>
    <mergeCell ref="A12:A13"/>
    <mergeCell ref="A15:A18"/>
    <mergeCell ref="A20:A21"/>
    <mergeCell ref="A23:A26"/>
    <mergeCell ref="J2:J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FDBD-7C69-45E8-9D25-BDE932A4141A}">
  <sheetPr codeName="Folha7"/>
  <dimension ref="A1:K19"/>
  <sheetViews>
    <sheetView workbookViewId="0">
      <pane xSplit="1" topLeftCell="B1" activePane="topRight" state="frozen"/>
      <selection pane="topRight" activeCell="D10" sqref="D10"/>
    </sheetView>
  </sheetViews>
  <sheetFormatPr defaultRowHeight="14.5" x14ac:dyDescent="0.35"/>
  <cols>
    <col min="1" max="1" width="10.7265625" style="14" bestFit="1" customWidth="1"/>
    <col min="2" max="2" width="12.81640625" bestFit="1" customWidth="1"/>
    <col min="3" max="3" width="13.1796875" bestFit="1" customWidth="1"/>
    <col min="4" max="4" width="11.81640625" bestFit="1" customWidth="1"/>
    <col min="5" max="5" width="12.36328125" bestFit="1" customWidth="1"/>
    <col min="6" max="6" width="8.54296875" style="31" customWidth="1"/>
    <col min="7" max="7" width="12.6328125" bestFit="1" customWidth="1"/>
    <col min="8" max="8" width="12.54296875" bestFit="1" customWidth="1"/>
    <col min="9" max="9" width="16.1796875" bestFit="1" customWidth="1"/>
    <col min="10" max="10" width="10.7265625" style="9" bestFit="1" customWidth="1"/>
    <col min="11" max="11" width="105.1796875" style="33" bestFit="1" customWidth="1"/>
  </cols>
  <sheetData>
    <row r="1" spans="1:11" x14ac:dyDescent="0.35">
      <c r="A1" s="34" t="s">
        <v>29</v>
      </c>
      <c r="B1" s="35" t="s">
        <v>2</v>
      </c>
      <c r="C1" s="35" t="s">
        <v>5</v>
      </c>
      <c r="D1" s="35" t="s">
        <v>6</v>
      </c>
      <c r="E1" s="35" t="s">
        <v>7</v>
      </c>
      <c r="F1" s="29" t="s">
        <v>16</v>
      </c>
      <c r="G1" s="36" t="s">
        <v>10</v>
      </c>
      <c r="H1" s="36" t="s">
        <v>11</v>
      </c>
      <c r="I1" s="36" t="s">
        <v>12</v>
      </c>
      <c r="J1" s="17" t="s">
        <v>13</v>
      </c>
      <c r="K1"/>
    </row>
    <row r="2" spans="1:11" x14ac:dyDescent="0.35">
      <c r="A2" s="15">
        <v>0</v>
      </c>
      <c r="B2" s="54">
        <v>0.98297213622291024</v>
      </c>
      <c r="C2" s="54">
        <v>0.58333333333333337</v>
      </c>
      <c r="D2" s="2">
        <v>0.53846153846153844</v>
      </c>
      <c r="E2" s="2">
        <v>0.55999999999999994</v>
      </c>
      <c r="F2" s="30">
        <f>'Matriz Confusão 2'!N3</f>
        <v>13</v>
      </c>
      <c r="G2" s="10" t="str" cm="1">
        <f t="array" ref="G2">_xlfn.IFS(AND(B2&lt;=1,B2&gt;=0.95),"Muito Alta",AND(B2&lt;0.95,B2&gt;=0.9),"Alta",AND(B2&lt;0.9,B2&gt;=0.7),"Boa",AND(B2&lt;0.7,B2&gt;=0.5),"Médio",AND(B2&lt;0.5,B2&gt;=0.25),"Baixo",AND(B2&lt;0.25,B2&gt;0),"Muito Baixo",B2=0,"Zero")</f>
        <v>Muito Alta</v>
      </c>
      <c r="H2" s="10" t="str" cm="1">
        <f t="array" ref="H2">_xlfn.IFS(AND(C2&lt;=1,C2&gt;=0.95),"Muito Alta",AND(C2&lt;0.95,C2&gt;=0.9),"Alta",AND(C2&lt;0.9,C2&gt;=0.7),"Boa",AND(C2&lt;0.7,C2&gt;=0.5),"Médio",AND(C2&lt;0.5,C2&gt;=0.25),"Baixo",AND(C2&lt;0.25,C2&gt;0),"Muito Baixo",C2=0,"Zero")</f>
        <v>Médio</v>
      </c>
      <c r="I2" s="10" t="str" cm="1">
        <f t="array" ref="I2">_xlfn.IFS(AND(D2&lt;=1,D2&gt;=0.95),"Muito Alta",AND(D2&lt;0.95,D2&gt;=0.9),"Alta",AND(D2&lt;0.9,D2&gt;=0.7),"Boa",AND(D2&lt;0.7,D2&gt;=0.5),"Médio",AND(D2&lt;0.5,D2&gt;=0.25),"Baixo",AND(D2&lt;0.25,D2&gt;0),"Muito Baixo",D2=0,"Zero")</f>
        <v>Médio</v>
      </c>
      <c r="J2" s="16" t="str" cm="1">
        <f t="array" ref="J2">_xlfn.IFS(AND(E2&lt;=1,E2&gt;=0.95),"Muito Alta",AND(E2&lt;0.95,E2&gt;=0.9),"Alta",AND(E2&lt;0.9,E2&gt;=0.7),"Boa",AND(E2&lt;0.7,E2&gt;=0.5),"Médio",AND(E2&lt;0.5,E2&gt;=0.25),"Baixo",AND(E2&lt;0.25,E2&gt;0),"Muito Baixo",E2=0,"Zero")</f>
        <v>Médio</v>
      </c>
      <c r="K2"/>
    </row>
    <row r="3" spans="1:11" x14ac:dyDescent="0.35">
      <c r="A3" s="15">
        <v>1</v>
      </c>
      <c r="B3" s="2">
        <v>0.99380804953560375</v>
      </c>
      <c r="C3" s="2">
        <v>1</v>
      </c>
      <c r="D3" s="2">
        <v>0.2</v>
      </c>
      <c r="E3" s="2">
        <v>0.33333333333333343</v>
      </c>
      <c r="F3" s="30">
        <f>'Matriz Confusão 2'!N4</f>
        <v>5</v>
      </c>
      <c r="G3" s="10" t="str" cm="1">
        <f t="array" ref="G3">_xlfn.IFS(AND(B3&lt;=1,B3&gt;=0.95),"Muito Alta",AND(B3&lt;0.95,B3&gt;=0.9),"Alta",AND(B3&lt;0.9,B3&gt;=0.7),"Boa",AND(B3&lt;0.7,B3&gt;=0.5),"Médio",AND(B3&lt;0.5,B3&gt;=0.25),"Baixo",AND(B3&lt;0.25,B3&gt;0),"Muito Baixo",B3=0,"Zero")</f>
        <v>Muito Alta</v>
      </c>
      <c r="H3" s="10" t="str" cm="1">
        <f t="array" ref="H3">_xlfn.IFS(AND(C3&lt;=1,C3&gt;=0.95),"Muito Alta",AND(C3&lt;0.95,C3&gt;=0.9),"Alta",AND(C3&lt;0.9,C3&gt;=0.7),"Boa",AND(C3&lt;0.7,C3&gt;=0.5),"Médio",AND(C3&lt;0.5,C3&gt;=0.25),"Baixo",AND(C3&lt;0.25,C3&gt;0),"Muito Baixo",C3=0,"Zero")</f>
        <v>Muito Alta</v>
      </c>
      <c r="I3" s="10" t="str" cm="1">
        <f t="array" ref="I3">_xlfn.IFS(AND(D3&lt;=1,D3&gt;=0.95),"Muito Alta",AND(D3&lt;0.95,D3&gt;=0.9),"Alta",AND(D3&lt;0.9,D3&gt;=0.7),"Boa",AND(D3&lt;0.7,D3&gt;=0.5),"Médio",AND(D3&lt;0.5,D3&gt;=0.25),"Baixo",AND(D3&lt;0.25,D3&gt;0),"Muito Baixo",D3=0,"Zero")</f>
        <v>Muito Baixo</v>
      </c>
      <c r="J3" s="16" t="str" cm="1">
        <f t="array" ref="J3">_xlfn.IFS(AND(E3&lt;=1,E3&gt;=0.95),"Muito Alta",AND(E3&lt;0.95,E3&gt;=0.9),"Alta",AND(E3&lt;0.9,E3&gt;=0.7),"Boa",AND(E3&lt;0.7,E3&gt;=0.5),"Médio",AND(E3&lt;0.5,E3&gt;=0.25),"Baixo",AND(E3&lt;0.25,E3&gt;0),"Muito Baixo",E3=0,"Zero")</f>
        <v>Baixo</v>
      </c>
      <c r="K3"/>
    </row>
    <row r="4" spans="1:11" x14ac:dyDescent="0.35">
      <c r="A4" s="37">
        <v>2</v>
      </c>
      <c r="B4" s="2">
        <v>0.98916408668730649</v>
      </c>
      <c r="C4" s="2">
        <v>0.54545454545454541</v>
      </c>
      <c r="D4" s="2">
        <v>0.75</v>
      </c>
      <c r="E4" s="2">
        <v>0.63157894736842102</v>
      </c>
      <c r="F4" s="30">
        <f>'Matriz Confusão 2'!N5</f>
        <v>8</v>
      </c>
      <c r="G4" s="10" t="str" cm="1">
        <f t="array" ref="G4">_xlfn.IFS(AND(B4&lt;=1,B4&gt;=0.95),"Muito Alta",AND(B4&lt;0.95,B4&gt;=0.9),"Alta",AND(B4&lt;0.9,B4&gt;=0.7),"Boa",AND(B4&lt;0.7,B4&gt;=0.5),"Médio",AND(B4&lt;0.5,B4&gt;=0.25),"Baixo",AND(B4&lt;0.25,B4&gt;0),"Muito Baixo",B4=0,"Zero")</f>
        <v>Muito Alta</v>
      </c>
      <c r="H4" s="10" t="str" cm="1">
        <f t="array" ref="H4">_xlfn.IFS(AND(C4&lt;=1,C4&gt;=0.95),"Muito Alta",AND(C4&lt;0.95,C4&gt;=0.9),"Alta",AND(C4&lt;0.9,C4&gt;=0.7),"Boa",AND(C4&lt;0.7,C4&gt;=0.5),"Médio",AND(C4&lt;0.5,C4&gt;=0.25),"Baixo",AND(C4&lt;0.25,C4&gt;0),"Muito Baixo",C4=0,"Zero")</f>
        <v>Médio</v>
      </c>
      <c r="I4" s="10" t="str" cm="1">
        <f t="array" ref="I4">_xlfn.IFS(AND(D4&lt;=1,D4&gt;=0.95),"Muito Alta",AND(D4&lt;0.95,D4&gt;=0.9),"Alta",AND(D4&lt;0.9,D4&gt;=0.7),"Boa",AND(D4&lt;0.7,D4&gt;=0.5),"Médio",AND(D4&lt;0.5,D4&gt;=0.25),"Baixo",AND(D4&lt;0.25,D4&gt;0),"Muito Baixo",D4=0,"Zero")</f>
        <v>Boa</v>
      </c>
      <c r="J4" s="16" t="str" cm="1">
        <f t="array" ref="J4">_xlfn.IFS(AND(E4&lt;=1,E4&gt;=0.95),"Muito Alta",AND(E4&lt;0.95,E4&gt;=0.9),"Alta",AND(E4&lt;0.9,E4&gt;=0.7),"Boa",AND(E4&lt;0.7,E4&gt;=0.5),"Médio",AND(E4&lt;0.5,E4&gt;=0.25),"Baixo",AND(E4&lt;0.25,E4&gt;0),"Muito Baixo",E4=0,"Zero")</f>
        <v>Médio</v>
      </c>
      <c r="K4"/>
    </row>
    <row r="5" spans="1:11" x14ac:dyDescent="0.35">
      <c r="A5" s="38">
        <v>3</v>
      </c>
      <c r="B5" s="2">
        <v>0.99226006191950467</v>
      </c>
      <c r="C5" s="53">
        <v>0</v>
      </c>
      <c r="D5" s="53">
        <v>0</v>
      </c>
      <c r="E5" s="53">
        <v>0</v>
      </c>
      <c r="F5" s="30">
        <f>'Matriz Confusão 2'!N6</f>
        <v>5</v>
      </c>
      <c r="G5" s="18" t="str" cm="1">
        <f t="array" ref="G5">_xlfn.IFS(AND(B5&lt;=1,B5&gt;=0.95),"Muito Alta",AND(B5&lt;0.95,B5&gt;=0.9),"Alta",AND(B5&lt;0.9,B5&gt;=0.7),"Boa",AND(B5&lt;0.7,B5&gt;=0.5),"Médio",AND(B5&lt;0.5,B5&gt;=0.25),"Baixo",AND(B5&lt;0.25,B5&gt;0),"Muito Baixo",B5=0,"Zero")</f>
        <v>Muito Alta</v>
      </c>
      <c r="H5" s="18" t="str" cm="1">
        <f t="array" ref="H5">_xlfn.IFS(AND(C5&lt;=1,C5&gt;=0.95),"Muito Alta",AND(C5&lt;0.95,C5&gt;=0.9),"Alta",AND(C5&lt;0.9,C5&gt;=0.7),"Boa",AND(C5&lt;0.7,C5&gt;=0.5),"Médio",AND(C5&lt;0.5,C5&gt;=0.25),"Baixo",AND(C5&lt;0.25,C5&gt;0),"Muito Baixo",C5=0,"Zero")</f>
        <v>Zero</v>
      </c>
      <c r="I5" s="18" t="str" cm="1">
        <f t="array" ref="I5">_xlfn.IFS(AND(D5&lt;=1,D5&gt;=0.95),"Muito Alta",AND(D5&lt;0.95,D5&gt;=0.9),"Alta",AND(D5&lt;0.9,D5&gt;=0.7),"Boa",AND(D5&lt;0.7,D5&gt;=0.5),"Médio",AND(D5&lt;0.5,D5&gt;=0.25),"Baixo",AND(D5&lt;0.25,D5&gt;0),"Muito Baixo",D5=0,"Zero")</f>
        <v>Zero</v>
      </c>
      <c r="J5" s="18" t="str" cm="1">
        <f t="array" ref="J5">_xlfn.IFS(AND(E5&lt;=1,E5&gt;=0.95),"Muito Alta",AND(E5&lt;0.95,E5&gt;=0.9),"Alta",AND(E5&lt;0.9,E5&gt;=0.7),"Boa",AND(E5&lt;0.7,E5&gt;=0.5),"Médio",AND(E5&lt;0.5,E5&gt;=0.25),"Baixo",AND(E5&lt;0.25,E5&gt;0),"Muito Baixo",E5=0,"Zero")</f>
        <v>Zero</v>
      </c>
      <c r="K5"/>
    </row>
    <row r="6" spans="1:11" x14ac:dyDescent="0.35">
      <c r="A6" s="15">
        <v>4</v>
      </c>
      <c r="B6" s="2">
        <v>0.99071207430340558</v>
      </c>
      <c r="C6" s="2">
        <v>0.58333333333333337</v>
      </c>
      <c r="D6" s="2">
        <v>0.875</v>
      </c>
      <c r="E6" s="2">
        <v>0.70000000000000007</v>
      </c>
      <c r="F6" s="30">
        <f>'Matriz Confusão 2'!N7</f>
        <v>8</v>
      </c>
      <c r="G6" s="10" t="str" cm="1">
        <f t="array" ref="G6">_xlfn.IFS(AND(B6&lt;=1,B6&gt;=0.95),"Muito Alta",AND(B6&lt;0.95,B6&gt;=0.9),"Alta",AND(B6&lt;0.9,B6&gt;=0.7),"Boa",AND(B6&lt;0.7,B6&gt;=0.5),"Médio",AND(B6&lt;0.5,B6&gt;=0.25),"Baixo",AND(B6&lt;0.25,B6&gt;0),"Muito Baixo",B6=0,"Zero")</f>
        <v>Muito Alta</v>
      </c>
      <c r="H6" s="10" t="str" cm="1">
        <f t="array" ref="H6">_xlfn.IFS(AND(C6&lt;=1,C6&gt;=0.95),"Muito Alta",AND(C6&lt;0.95,C6&gt;=0.9),"Alta",AND(C6&lt;0.9,C6&gt;=0.7),"Boa",AND(C6&lt;0.7,C6&gt;=0.5),"Médio",AND(C6&lt;0.5,C6&gt;=0.25),"Baixo",AND(C6&lt;0.25,C6&gt;0),"Muito Baixo",C6=0,"Zero")</f>
        <v>Médio</v>
      </c>
      <c r="I6" s="10" t="str" cm="1">
        <f t="array" ref="I6">_xlfn.IFS(AND(D6&lt;=1,D6&gt;=0.95),"Muito Alta",AND(D6&lt;0.95,D6&gt;=0.9),"Alta",AND(D6&lt;0.9,D6&gt;=0.7),"Boa",AND(D6&lt;0.7,D6&gt;=0.5),"Médio",AND(D6&lt;0.5,D6&gt;=0.25),"Baixo",AND(D6&lt;0.25,D6&gt;0),"Muito Baixo",D6=0,"Zero")</f>
        <v>Boa</v>
      </c>
      <c r="J6" s="16" t="str" cm="1">
        <f t="array" ref="J6">_xlfn.IFS(AND(E6&lt;=1,E6&gt;=0.95),"Muito Alta",AND(E6&lt;0.95,E6&gt;=0.9),"Alta",AND(E6&lt;0.9,E6&gt;=0.7),"Boa",AND(E6&lt;0.7,E6&gt;=0.5),"Médio",AND(E6&lt;0.5,E6&gt;=0.25),"Baixo",AND(E6&lt;0.25,E6&gt;0),"Muito Baixo",E6=0,"Zero")</f>
        <v>Boa</v>
      </c>
      <c r="K6"/>
    </row>
    <row r="7" spans="1:11" x14ac:dyDescent="0.35">
      <c r="A7" s="15">
        <v>5</v>
      </c>
      <c r="B7" s="2">
        <v>0.98142414860681115</v>
      </c>
      <c r="C7" s="2">
        <v>0.33333333333333331</v>
      </c>
      <c r="D7" s="2">
        <v>9.0909090909090912E-2</v>
      </c>
      <c r="E7" s="2">
        <v>0.1428571428571429</v>
      </c>
      <c r="F7" s="30">
        <f>'Matriz Confusão 2'!N8</f>
        <v>11</v>
      </c>
      <c r="G7" s="10" t="str" cm="1">
        <f t="array" ref="G7">_xlfn.IFS(AND(B7&lt;=1,B7&gt;=0.95),"Muito Alta",AND(B7&lt;0.95,B7&gt;=0.9),"Alta",AND(B7&lt;0.9,B7&gt;=0.7),"Boa",AND(B7&lt;0.7,B7&gt;=0.5),"Médio",AND(B7&lt;0.5,B7&gt;=0.25),"Baixo",AND(B7&lt;0.25,B7&gt;0),"Muito Baixo",B7=0,"Zero")</f>
        <v>Muito Alta</v>
      </c>
      <c r="H7" s="10" t="str" cm="1">
        <f t="array" ref="H7">_xlfn.IFS(AND(C7&lt;=1,C7&gt;=0.95),"Muito Alta",AND(C7&lt;0.95,C7&gt;=0.9),"Alta",AND(C7&lt;0.9,C7&gt;=0.7),"Boa",AND(C7&lt;0.7,C7&gt;=0.5),"Médio",AND(C7&lt;0.5,C7&gt;=0.25),"Baixo",AND(C7&lt;0.25,C7&gt;0),"Muito Baixo",C7=0,"Zero")</f>
        <v>Baixo</v>
      </c>
      <c r="I7" s="10" t="str" cm="1">
        <f t="array" ref="I7">_xlfn.IFS(AND(D7&lt;=1,D7&gt;=0.95),"Muito Alta",AND(D7&lt;0.95,D7&gt;=0.9),"Alta",AND(D7&lt;0.9,D7&gt;=0.7),"Boa",AND(D7&lt;0.7,D7&gt;=0.5),"Médio",AND(D7&lt;0.5,D7&gt;=0.25),"Baixo",AND(D7&lt;0.25,D7&gt;0),"Muito Baixo",D7=0,"Zero")</f>
        <v>Muito Baixo</v>
      </c>
      <c r="J7" s="16" t="str" cm="1">
        <f t="array" ref="J7">_xlfn.IFS(AND(E7&lt;=1,E7&gt;=0.95),"Muito Alta",AND(E7&lt;0.95,E7&gt;=0.9),"Alta",AND(E7&lt;0.9,E7&gt;=0.7),"Boa",AND(E7&lt;0.7,E7&gt;=0.5),"Médio",AND(E7&lt;0.5,E7&gt;=0.25),"Baixo",AND(E7&lt;0.25,E7&gt;0),"Muito Baixo",E7=0,"Zero")</f>
        <v>Muito Baixo</v>
      </c>
      <c r="K7"/>
    </row>
    <row r="8" spans="1:11" x14ac:dyDescent="0.35">
      <c r="A8" s="15">
        <v>6</v>
      </c>
      <c r="B8" s="2">
        <v>0.92569659442724461</v>
      </c>
      <c r="C8" s="2">
        <v>0.81914893617021278</v>
      </c>
      <c r="D8" s="2">
        <v>0.71296296296296291</v>
      </c>
      <c r="E8" s="2">
        <v>0.76237623762376228</v>
      </c>
      <c r="F8" s="30">
        <f>'Matriz Confusão 2'!N9</f>
        <v>108</v>
      </c>
      <c r="G8" s="10" t="str" cm="1">
        <f t="array" ref="G8">_xlfn.IFS(AND(B8&lt;=1,B8&gt;=0.95),"Muito Alta",AND(B8&lt;0.95,B8&gt;=0.9),"Alta",AND(B8&lt;0.9,B8&gt;=0.7),"Boa",AND(B8&lt;0.7,B8&gt;=0.5),"Médio",AND(B8&lt;0.5,B8&gt;=0.25),"Baixo",AND(B8&lt;0.25,B8&gt;0),"Muito Baixo",B8=0,"Zero")</f>
        <v>Alta</v>
      </c>
      <c r="H8" s="10" t="str" cm="1">
        <f t="array" ref="H8">_xlfn.IFS(AND(C8&lt;=1,C8&gt;=0.95),"Muito Alta",AND(C8&lt;0.95,C8&gt;=0.9),"Alta",AND(C8&lt;0.9,C8&gt;=0.7),"Boa",AND(C8&lt;0.7,C8&gt;=0.5),"Médio",AND(C8&lt;0.5,C8&gt;=0.25),"Baixo",AND(C8&lt;0.25,C8&gt;0),"Muito Baixo",C8=0,"Zero")</f>
        <v>Boa</v>
      </c>
      <c r="I8" s="10" t="str" cm="1">
        <f t="array" ref="I8">_xlfn.IFS(AND(D8&lt;=1,D8&gt;=0.95),"Muito Alta",AND(D8&lt;0.95,D8&gt;=0.9),"Alta",AND(D8&lt;0.9,D8&gt;=0.7),"Boa",AND(D8&lt;0.7,D8&gt;=0.5),"Médio",AND(D8&lt;0.5,D8&gt;=0.25),"Baixo",AND(D8&lt;0.25,D8&gt;0),"Muito Baixo",D8=0,"Zero")</f>
        <v>Boa</v>
      </c>
      <c r="J8" s="16" t="str" cm="1">
        <f t="array" ref="J8">_xlfn.IFS(AND(E8&lt;=1,E8&gt;=0.95),"Muito Alta",AND(E8&lt;0.95,E8&gt;=0.9),"Alta",AND(E8&lt;0.9,E8&gt;=0.7),"Boa",AND(E8&lt;0.7,E8&gt;=0.5),"Médio",AND(E8&lt;0.5,E8&gt;=0.25),"Baixo",AND(E8&lt;0.25,E8&gt;0),"Muito Baixo",E8=0,"Zero")</f>
        <v>Boa</v>
      </c>
      <c r="K8"/>
    </row>
    <row r="9" spans="1:11" x14ac:dyDescent="0.35">
      <c r="A9" s="15">
        <v>7</v>
      </c>
      <c r="B9" s="2">
        <v>0.94582043343653255</v>
      </c>
      <c r="C9" s="2">
        <v>0.2</v>
      </c>
      <c r="D9" s="2">
        <v>0.25</v>
      </c>
      <c r="E9" s="2">
        <v>0.22222222222222221</v>
      </c>
      <c r="F9" s="30">
        <f>'Matriz Confusão 2'!N10</f>
        <v>20</v>
      </c>
      <c r="G9" s="10" t="str" cm="1">
        <f t="array" ref="G9">_xlfn.IFS(AND(B9&lt;=1,B9&gt;=0.95),"Muito Alta",AND(B9&lt;0.95,B9&gt;=0.9),"Alta",AND(B9&lt;0.9,B9&gt;=0.7),"Boa",AND(B9&lt;0.7,B9&gt;=0.5),"Médio",AND(B9&lt;0.5,B9&gt;=0.25),"Baixo",AND(B9&lt;0.25,B9&gt;0),"Muito Baixo",B9=0,"Zero")</f>
        <v>Alta</v>
      </c>
      <c r="H9" s="10" t="str" cm="1">
        <f t="array" ref="H9">_xlfn.IFS(AND(C9&lt;=1,C9&gt;=0.95),"Muito Alta",AND(C9&lt;0.95,C9&gt;=0.9),"Alta",AND(C9&lt;0.9,C9&gt;=0.7),"Boa",AND(C9&lt;0.7,C9&gt;=0.5),"Médio",AND(C9&lt;0.5,C9&gt;=0.25),"Baixo",AND(C9&lt;0.25,C9&gt;0),"Muito Baixo",C9=0,"Zero")</f>
        <v>Muito Baixo</v>
      </c>
      <c r="I9" s="10" t="str" cm="1">
        <f t="array" ref="I9">_xlfn.IFS(AND(D9&lt;=1,D9&gt;=0.95),"Muito Alta",AND(D9&lt;0.95,D9&gt;=0.9),"Alta",AND(D9&lt;0.9,D9&gt;=0.7),"Boa",AND(D9&lt;0.7,D9&gt;=0.5),"Médio",AND(D9&lt;0.5,D9&gt;=0.25),"Baixo",AND(D9&lt;0.25,D9&gt;0),"Muito Baixo",D9=0,"Zero")</f>
        <v>Baixo</v>
      </c>
      <c r="J9" s="16" t="str" cm="1">
        <f t="array" ref="J9">_xlfn.IFS(AND(E9&lt;=1,E9&gt;=0.95),"Muito Alta",AND(E9&lt;0.95,E9&gt;=0.9),"Alta",AND(E9&lt;0.9,E9&gt;=0.7),"Boa",AND(E9&lt;0.7,E9&gt;=0.5),"Médio",AND(E9&lt;0.5,E9&gt;=0.25),"Baixo",AND(E9&lt;0.25,E9&gt;0),"Muito Baixo",E9=0,"Zero")</f>
        <v>Muito Baixo</v>
      </c>
      <c r="K9"/>
    </row>
    <row r="10" spans="1:11" x14ac:dyDescent="0.35">
      <c r="A10" s="15">
        <v>8</v>
      </c>
      <c r="B10" s="2">
        <v>0.9504643962848297</v>
      </c>
      <c r="C10" s="2">
        <v>0.52173913043478259</v>
      </c>
      <c r="D10" s="2">
        <v>0.36363636363636359</v>
      </c>
      <c r="E10" s="2">
        <v>0.42857142857142849</v>
      </c>
      <c r="F10" s="30">
        <f>'Matriz Confusão 2'!N11</f>
        <v>33</v>
      </c>
      <c r="G10" s="10" t="str" cm="1">
        <f t="array" ref="G10">_xlfn.IFS(AND(B10&lt;=1,B10&gt;=0.95),"Muito Alta",AND(B10&lt;0.95,B10&gt;=0.9),"Alta",AND(B10&lt;0.9,B10&gt;=0.7),"Boa",AND(B10&lt;0.7,B10&gt;=0.5),"Médio",AND(B10&lt;0.5,B10&gt;=0.25),"Baixo",AND(B10&lt;0.25,B10&gt;0),"Muito Baixo",B10=0,"Zero")</f>
        <v>Muito Alta</v>
      </c>
      <c r="H10" s="10" t="str" cm="1">
        <f t="array" ref="H10">_xlfn.IFS(AND(C10&lt;=1,C10&gt;=0.95),"Muito Alta",AND(C10&lt;0.95,C10&gt;=0.9),"Alta",AND(C10&lt;0.9,C10&gt;=0.7),"Boa",AND(C10&lt;0.7,C10&gt;=0.5),"Médio",AND(C10&lt;0.5,C10&gt;=0.25),"Baixo",AND(C10&lt;0.25,C10&gt;0),"Muito Baixo",C10=0,"Zero")</f>
        <v>Médio</v>
      </c>
      <c r="I10" s="10" t="str" cm="1">
        <f t="array" ref="I10">_xlfn.IFS(AND(D10&lt;=1,D10&gt;=0.95),"Muito Alta",AND(D10&lt;0.95,D10&gt;=0.9),"Alta",AND(D10&lt;0.9,D10&gt;=0.7),"Boa",AND(D10&lt;0.7,D10&gt;=0.5),"Médio",AND(D10&lt;0.5,D10&gt;=0.25),"Baixo",AND(D10&lt;0.25,D10&gt;0),"Muito Baixo",D10=0,"Zero")</f>
        <v>Baixo</v>
      </c>
      <c r="J10" s="16" t="str" cm="1">
        <f t="array" ref="J10">_xlfn.IFS(AND(E10&lt;=1,E10&gt;=0.95),"Muito Alta",AND(E10&lt;0.95,E10&gt;=0.9),"Alta",AND(E10&lt;0.9,E10&gt;=0.7),"Boa",AND(E10&lt;0.7,E10&gt;=0.5),"Médio",AND(E10&lt;0.5,E10&gt;=0.25),"Baixo",AND(E10&lt;0.25,E10&gt;0),"Muito Baixo",E10=0,"Zero")</f>
        <v>Baixo</v>
      </c>
      <c r="K10"/>
    </row>
    <row r="11" spans="1:11" x14ac:dyDescent="0.35">
      <c r="A11" s="15">
        <v>9</v>
      </c>
      <c r="B11" s="2">
        <v>0.93034055727554177</v>
      </c>
      <c r="C11" s="2">
        <v>0.2142857142857143</v>
      </c>
      <c r="D11" s="2">
        <v>8.1081081081081086E-2</v>
      </c>
      <c r="E11" s="2">
        <v>0.1176470588235294</v>
      </c>
      <c r="F11" s="30">
        <f>'Matriz Confusão 2'!N12</f>
        <v>37</v>
      </c>
      <c r="G11" s="10" t="str" cm="1">
        <f t="array" ref="G11">_xlfn.IFS(AND(B11&lt;=1,B11&gt;=0.95),"Muito Alta",AND(B11&lt;0.95,B11&gt;=0.9),"Alta",AND(B11&lt;0.9,B11&gt;=0.7),"Boa",AND(B11&lt;0.7,B11&gt;=0.5),"Médio",AND(B11&lt;0.5,B11&gt;=0.25),"Baixo",AND(B11&lt;0.25,B11&gt;0),"Muito Baixo",B11=0,"Zero")</f>
        <v>Alta</v>
      </c>
      <c r="H11" s="10" t="str" cm="1">
        <f t="array" ref="H11">_xlfn.IFS(AND(C11&lt;=1,C11&gt;=0.95),"Muito Alta",AND(C11&lt;0.95,C11&gt;=0.9),"Alta",AND(C11&lt;0.9,C11&gt;=0.7),"Boa",AND(C11&lt;0.7,C11&gt;=0.5),"Médio",AND(C11&lt;0.5,C11&gt;=0.25),"Baixo",AND(C11&lt;0.25,C11&gt;0),"Muito Baixo",C11=0,"Zero")</f>
        <v>Muito Baixo</v>
      </c>
      <c r="I11" s="10" t="str" cm="1">
        <f t="array" ref="I11">_xlfn.IFS(AND(D11&lt;=1,D11&gt;=0.95),"Muito Alta",AND(D11&lt;0.95,D11&gt;=0.9),"Alta",AND(D11&lt;0.9,D11&gt;=0.7),"Boa",AND(D11&lt;0.7,D11&gt;=0.5),"Médio",AND(D11&lt;0.5,D11&gt;=0.25),"Baixo",AND(D11&lt;0.25,D11&gt;0),"Muito Baixo",D11=0,"Zero")</f>
        <v>Muito Baixo</v>
      </c>
      <c r="J11" s="16" t="str" cm="1">
        <f t="array" ref="J11">_xlfn.IFS(AND(E11&lt;=1,E11&gt;=0.95),"Muito Alta",AND(E11&lt;0.95,E11&gt;=0.9),"Alta",AND(E11&lt;0.9,E11&gt;=0.7),"Boa",AND(E11&lt;0.7,E11&gt;=0.5),"Médio",AND(E11&lt;0.5,E11&gt;=0.25),"Baixo",AND(E11&lt;0.25,E11&gt;0),"Muito Baixo",E11=0,"Zero")</f>
        <v>Muito Baixo</v>
      </c>
      <c r="K11"/>
    </row>
    <row r="12" spans="1:11" x14ac:dyDescent="0.35">
      <c r="A12" s="15">
        <v>10</v>
      </c>
      <c r="B12" s="53">
        <v>0.88699690402476783</v>
      </c>
      <c r="C12" s="2">
        <v>0.86031042128603108</v>
      </c>
      <c r="D12" s="54">
        <v>0.97487437185929648</v>
      </c>
      <c r="E12" s="54">
        <v>0.91401648998822138</v>
      </c>
      <c r="F12" s="30">
        <f>'Matriz Confusão 2'!N13</f>
        <v>398</v>
      </c>
      <c r="G12" s="10" t="str" cm="1">
        <f t="array" ref="G12">_xlfn.IFS(AND(B12&lt;=1,B12&gt;=0.95),"Muito Alta",AND(B12&lt;0.95,B12&gt;=0.9),"Alta",AND(B12&lt;0.9,B12&gt;=0.7),"Boa",AND(B12&lt;0.7,B12&gt;=0.5),"Médio",AND(B12&lt;0.5,B12&gt;=0.25),"Baixo",AND(B12&lt;0.25,B12&gt;0),"Muito Baixo",B12=0,"Zero")</f>
        <v>Boa</v>
      </c>
      <c r="H12" s="10" t="str" cm="1">
        <f t="array" ref="H12">_xlfn.IFS(AND(C12&lt;=1,C12&gt;=0.95),"Muito Alta",AND(C12&lt;0.95,C12&gt;=0.9),"Alta",AND(C12&lt;0.9,C12&gt;=0.7),"Boa",AND(C12&lt;0.7,C12&gt;=0.5),"Médio",AND(C12&lt;0.5,C12&gt;=0.25),"Baixo",AND(C12&lt;0.25,C12&gt;0),"Muito Baixo",C12=0,"Zero")</f>
        <v>Boa</v>
      </c>
      <c r="I12" s="10" t="str" cm="1">
        <f t="array" ref="I12">_xlfn.IFS(AND(D12&lt;=1,D12&gt;=0.95),"Muito Alta",AND(D12&lt;0.95,D12&gt;=0.9),"Alta",AND(D12&lt;0.9,D12&gt;=0.7),"Boa",AND(D12&lt;0.7,D12&gt;=0.5),"Médio",AND(D12&lt;0.5,D12&gt;=0.25),"Baixo",AND(D12&lt;0.25,D12&gt;0),"Muito Baixo",D12=0,"Zero")</f>
        <v>Muito Alta</v>
      </c>
      <c r="J12" s="16" t="str" cm="1">
        <f t="array" ref="J12">_xlfn.IFS(AND(E12&lt;=1,E12&gt;=0.95),"Muito Alta",AND(E12&lt;0.95,E12&gt;=0.9),"Alta",AND(E12&lt;0.9,E12&gt;=0.7),"Boa",AND(E12&lt;0.7,E12&gt;=0.5),"Médio",AND(E12&lt;0.5,E12&gt;=0.25),"Baixo",AND(E12&lt;0.25,E12&gt;0),"Muito Baixo",E12=0,"Zero")</f>
        <v>Alta</v>
      </c>
      <c r="K12"/>
    </row>
    <row r="13" spans="1:11" x14ac:dyDescent="0.35">
      <c r="A13" s="7" t="s">
        <v>8</v>
      </c>
      <c r="B13" s="5">
        <f>MIN(B2:B12)</f>
        <v>0.88699690402476783</v>
      </c>
      <c r="C13" s="5">
        <f>MIN(C2:C12)</f>
        <v>0</v>
      </c>
      <c r="D13" s="5">
        <f>MIN(D2:D12)</f>
        <v>0</v>
      </c>
      <c r="E13" s="5">
        <f>MIN(E2:E12)</f>
        <v>0</v>
      </c>
      <c r="G13" s="9">
        <f>COUNTIF(G2:G12,$K$13)</f>
        <v>7</v>
      </c>
      <c r="H13" s="9">
        <f>COUNTIF(H2:H12,$K$13)</f>
        <v>1</v>
      </c>
      <c r="I13" s="9">
        <f>COUNTIF(I2:I12,$K$13)</f>
        <v>1</v>
      </c>
      <c r="J13" s="9">
        <f>COUNTIF(J2:J12,$K$13)</f>
        <v>0</v>
      </c>
      <c r="K13" s="33" t="s">
        <v>17</v>
      </c>
    </row>
    <row r="14" spans="1:11" x14ac:dyDescent="0.35">
      <c r="A14" s="8" t="s">
        <v>9</v>
      </c>
      <c r="B14" s="6">
        <f>MAX(B2:B12)</f>
        <v>0.99380804953560375</v>
      </c>
      <c r="C14" s="6">
        <f>MAX(C2:C12)</f>
        <v>1</v>
      </c>
      <c r="D14" s="6">
        <f>MAX(D2:D12)</f>
        <v>0.97487437185929648</v>
      </c>
      <c r="E14" s="6">
        <f>MAX(E2:E12)</f>
        <v>0.91401648998822138</v>
      </c>
      <c r="G14" s="9">
        <f>COUNTIF(G2:G12,$K$14)</f>
        <v>3</v>
      </c>
      <c r="H14" s="9">
        <f>COUNTIF(H2:H12,$K$14)</f>
        <v>0</v>
      </c>
      <c r="I14" s="9">
        <f>COUNTIF(I2:I12,$K$14)</f>
        <v>0</v>
      </c>
      <c r="J14" s="9">
        <f>COUNTIF(J2:J12,$K$14)</f>
        <v>1</v>
      </c>
      <c r="K14" s="33" t="s">
        <v>14</v>
      </c>
    </row>
    <row r="15" spans="1:11" x14ac:dyDescent="0.35">
      <c r="A15" s="11">
        <v>0</v>
      </c>
      <c r="B15">
        <f>COUNTIF(B2:B12,"=0")</f>
        <v>0</v>
      </c>
      <c r="C15">
        <f>COUNTIF(C2:C12,"=0")</f>
        <v>1</v>
      </c>
      <c r="D15">
        <f>COUNTIF(D2:D12,"=0")</f>
        <v>1</v>
      </c>
      <c r="E15">
        <f>COUNTIF(E2:E12,"=0")</f>
        <v>1</v>
      </c>
      <c r="G15" s="9">
        <f>COUNTIF(G2:G12,$K$15)</f>
        <v>1</v>
      </c>
      <c r="H15" s="9">
        <f>COUNTIF(H2:H12,$K$15)</f>
        <v>2</v>
      </c>
      <c r="I15" s="9">
        <f>COUNTIF(I2:I12,$K$15)</f>
        <v>3</v>
      </c>
      <c r="J15" s="9">
        <f>COUNTIF(J2:J12,$K$15)</f>
        <v>2</v>
      </c>
      <c r="K15" s="33" t="s">
        <v>19</v>
      </c>
    </row>
    <row r="16" spans="1:11" x14ac:dyDescent="0.35">
      <c r="A16" s="11">
        <v>1</v>
      </c>
      <c r="B16">
        <f>COUNTIF(B2:B12,"=1")</f>
        <v>0</v>
      </c>
      <c r="C16">
        <f>COUNTIF(C2:C12,"=1")</f>
        <v>1</v>
      </c>
      <c r="D16">
        <f>COUNTIF(D2:D12,"=1")</f>
        <v>0</v>
      </c>
      <c r="E16">
        <f>COUNTIF(E2:E12,"=1")</f>
        <v>0</v>
      </c>
      <c r="G16" s="9">
        <f>COUNTIF(G2:G12,$K$16)</f>
        <v>0</v>
      </c>
      <c r="H16" s="9">
        <f>COUNTIF(H2:H12,$K$16)</f>
        <v>4</v>
      </c>
      <c r="I16" s="9">
        <f>COUNTIF(I2:I12,$K$16)</f>
        <v>1</v>
      </c>
      <c r="J16" s="9">
        <f>COUNTIF(J2:J12,$K$16)</f>
        <v>2</v>
      </c>
      <c r="K16" s="33" t="s">
        <v>15</v>
      </c>
    </row>
    <row r="17" spans="1:11" x14ac:dyDescent="0.35">
      <c r="A17" s="12" t="s">
        <v>8</v>
      </c>
      <c r="B17" s="5">
        <f>INDEX($A$2:$A$12,MATCH(B13,B2:B12,0))</f>
        <v>10</v>
      </c>
      <c r="C17" s="5">
        <f>INDEX($A$2:$A$12,MATCH(C13,C2:C12,0))</f>
        <v>3</v>
      </c>
      <c r="D17" s="5">
        <f>INDEX($A$2:$A$12,MATCH(D13,D2:D12,0))</f>
        <v>3</v>
      </c>
      <c r="E17" s="5">
        <f>INDEX($A$2:$A$12,MATCH(E13,E2:E12,0))</f>
        <v>3</v>
      </c>
      <c r="G17" s="9">
        <f>COUNTIF(G2:G12,$K$17)</f>
        <v>0</v>
      </c>
      <c r="H17" s="9">
        <f>COUNTIF(H2:H12,$K$17)</f>
        <v>1</v>
      </c>
      <c r="I17" s="9">
        <f>COUNTIF(I2:I12,$K$17)</f>
        <v>2</v>
      </c>
      <c r="J17" s="9">
        <f>COUNTIF(J2:J12,$K$17)</f>
        <v>2</v>
      </c>
      <c r="K17" s="33" t="s">
        <v>18</v>
      </c>
    </row>
    <row r="18" spans="1:11" x14ac:dyDescent="0.35">
      <c r="A18" s="13" t="s">
        <v>9</v>
      </c>
      <c r="B18" s="6">
        <f>INDEX($A$2:$A$12,MATCH(B14,B2:B12,0))</f>
        <v>1</v>
      </c>
      <c r="C18" s="6">
        <f>INDEX($A$2:$A$12,MATCH(C14,C2:C12,0))</f>
        <v>1</v>
      </c>
      <c r="D18" s="6">
        <f>INDEX($A$2:$A$12,MATCH(D14,D2:D12,0))</f>
        <v>10</v>
      </c>
      <c r="E18" s="6">
        <f>INDEX($A$2:$A$12,MATCH(E14,E2:E12,0))</f>
        <v>10</v>
      </c>
      <c r="F18" s="32"/>
      <c r="G18" s="9">
        <f>COUNTIF(G2:G12,$K$18)</f>
        <v>0</v>
      </c>
      <c r="H18" s="9">
        <f>COUNTIF(H2:H12,$K$18)</f>
        <v>2</v>
      </c>
      <c r="I18" s="9">
        <f>COUNTIF(I2:I12,$K$18)</f>
        <v>3</v>
      </c>
      <c r="J18" s="9">
        <f>COUNTIF(J2:J12,$K$18)</f>
        <v>3</v>
      </c>
      <c r="K18" s="33" t="s">
        <v>20</v>
      </c>
    </row>
    <row r="19" spans="1:11" x14ac:dyDescent="0.35">
      <c r="A19" s="11"/>
      <c r="G19">
        <f>SUM(G13:G18)+B15</f>
        <v>11</v>
      </c>
      <c r="H19">
        <f t="shared" ref="H19:J19" si="0">SUM(H13:H18)+C15</f>
        <v>11</v>
      </c>
      <c r="I19">
        <f t="shared" si="0"/>
        <v>11</v>
      </c>
      <c r="J19">
        <f t="shared" si="0"/>
        <v>11</v>
      </c>
    </row>
  </sheetData>
  <pageMargins left="0.7" right="0.7" top="0.75" bottom="0.75" header="0.3" footer="0.3"/>
  <ignoredErrors>
    <ignoredError sqref="F2" calculatedColumn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892A-746A-4756-B1A5-BD99F1B0A167}">
  <sheetPr codeName="Folha8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93D5-A41B-4A19-AAAF-B3454343E5FD}">
  <sheetPr codeName="Folha9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B86A4-161E-4DDA-8D69-496C4711E39D}">
  <sheetPr codeName="Folha10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7B362-5EEB-41E6-8690-81A2A7B467B9}">
  <sheetPr codeName="Folha11"/>
  <dimension ref="A1"/>
  <sheetViews>
    <sheetView zoomScale="80" zoomScaleNormal="80" workbookViewId="0"/>
  </sheetViews>
  <sheetFormatPr defaultRowHeight="14.5" x14ac:dyDescent="0.3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30E-4176-4367-AF15-7C01F09A0CE1}">
  <sheetPr codeName="Folha12"/>
  <dimension ref="N1:O44"/>
  <sheetViews>
    <sheetView workbookViewId="0">
      <selection activeCell="O13" sqref="O13"/>
    </sheetView>
  </sheetViews>
  <sheetFormatPr defaultRowHeight="14.5" x14ac:dyDescent="0.35"/>
  <cols>
    <col min="14" max="15" width="8.7265625" style="9"/>
  </cols>
  <sheetData>
    <row r="1" spans="14:15" x14ac:dyDescent="0.35">
      <c r="N1" s="20" t="s">
        <v>29</v>
      </c>
      <c r="O1" s="20" t="s">
        <v>33</v>
      </c>
    </row>
    <row r="2" spans="14:15" x14ac:dyDescent="0.35">
      <c r="N2" s="18">
        <v>0</v>
      </c>
      <c r="O2" s="18">
        <v>0.91</v>
      </c>
    </row>
    <row r="3" spans="14:15" x14ac:dyDescent="0.35">
      <c r="N3" s="18">
        <v>1</v>
      </c>
      <c r="O3" s="18">
        <v>0.79</v>
      </c>
    </row>
    <row r="4" spans="14:15" x14ac:dyDescent="0.35">
      <c r="N4" s="18">
        <v>2</v>
      </c>
      <c r="O4" s="18">
        <v>0.87</v>
      </c>
    </row>
    <row r="5" spans="14:15" x14ac:dyDescent="0.35">
      <c r="N5" s="18">
        <v>3</v>
      </c>
      <c r="O5" s="39">
        <v>0.59</v>
      </c>
    </row>
    <row r="6" spans="14:15" x14ac:dyDescent="0.35">
      <c r="N6" s="18">
        <v>4</v>
      </c>
      <c r="O6" s="39">
        <v>1</v>
      </c>
    </row>
    <row r="7" spans="14:15" x14ac:dyDescent="0.35">
      <c r="N7" s="18">
        <v>5</v>
      </c>
      <c r="O7" s="39">
        <v>0.69</v>
      </c>
    </row>
    <row r="8" spans="14:15" x14ac:dyDescent="0.35">
      <c r="N8" s="18">
        <v>6</v>
      </c>
      <c r="O8" s="39">
        <v>0.97</v>
      </c>
    </row>
    <row r="9" spans="14:15" x14ac:dyDescent="0.35">
      <c r="N9" s="18">
        <v>7</v>
      </c>
      <c r="O9" s="39">
        <v>0.82</v>
      </c>
    </row>
    <row r="10" spans="14:15" x14ac:dyDescent="0.35">
      <c r="N10" s="18">
        <v>8</v>
      </c>
      <c r="O10" s="39">
        <v>0.81</v>
      </c>
    </row>
    <row r="11" spans="14:15" x14ac:dyDescent="0.35">
      <c r="N11" s="18">
        <v>9</v>
      </c>
      <c r="O11" s="39">
        <v>0.66</v>
      </c>
    </row>
    <row r="12" spans="14:15" x14ac:dyDescent="0.35">
      <c r="N12" s="18">
        <v>10</v>
      </c>
      <c r="O12" s="39">
        <v>0.88</v>
      </c>
    </row>
    <row r="13" spans="14:15" x14ac:dyDescent="0.35">
      <c r="N13"/>
      <c r="O13"/>
    </row>
    <row r="14" spans="14:15" x14ac:dyDescent="0.35">
      <c r="N14"/>
      <c r="O14"/>
    </row>
    <row r="15" spans="14:15" x14ac:dyDescent="0.35">
      <c r="N15"/>
      <c r="O15"/>
    </row>
    <row r="16" spans="14:15" x14ac:dyDescent="0.35">
      <c r="N16"/>
      <c r="O16"/>
    </row>
    <row r="17" spans="14:15" x14ac:dyDescent="0.35">
      <c r="N17"/>
      <c r="O17"/>
    </row>
    <row r="18" spans="14:15" x14ac:dyDescent="0.35">
      <c r="N18"/>
      <c r="O18"/>
    </row>
    <row r="19" spans="14:15" x14ac:dyDescent="0.35">
      <c r="N19"/>
      <c r="O19"/>
    </row>
    <row r="20" spans="14:15" x14ac:dyDescent="0.35">
      <c r="N20"/>
      <c r="O20"/>
    </row>
    <row r="21" spans="14:15" x14ac:dyDescent="0.35">
      <c r="N21"/>
      <c r="O21"/>
    </row>
    <row r="22" spans="14:15" x14ac:dyDescent="0.35">
      <c r="N22"/>
      <c r="O22"/>
    </row>
    <row r="23" spans="14:15" x14ac:dyDescent="0.35">
      <c r="N23"/>
      <c r="O23"/>
    </row>
    <row r="24" spans="14:15" x14ac:dyDescent="0.35">
      <c r="N24"/>
      <c r="O24"/>
    </row>
    <row r="25" spans="14:15" x14ac:dyDescent="0.35">
      <c r="N25"/>
      <c r="O25"/>
    </row>
    <row r="26" spans="14:15" x14ac:dyDescent="0.35">
      <c r="N26"/>
      <c r="O26"/>
    </row>
    <row r="27" spans="14:15" x14ac:dyDescent="0.35">
      <c r="N27"/>
      <c r="O27"/>
    </row>
    <row r="28" spans="14:15" x14ac:dyDescent="0.35">
      <c r="N28"/>
      <c r="O28"/>
    </row>
    <row r="29" spans="14:15" x14ac:dyDescent="0.35">
      <c r="N29"/>
      <c r="O29"/>
    </row>
    <row r="30" spans="14:15" x14ac:dyDescent="0.35">
      <c r="N30"/>
      <c r="O30"/>
    </row>
    <row r="31" spans="14:15" x14ac:dyDescent="0.35">
      <c r="N31"/>
      <c r="O31"/>
    </row>
    <row r="32" spans="14:15" x14ac:dyDescent="0.35">
      <c r="N32"/>
      <c r="O32"/>
    </row>
    <row r="33" spans="14:15" x14ac:dyDescent="0.35">
      <c r="N33"/>
      <c r="O33"/>
    </row>
    <row r="34" spans="14:15" x14ac:dyDescent="0.35">
      <c r="N34"/>
      <c r="O34"/>
    </row>
    <row r="35" spans="14:15" x14ac:dyDescent="0.35">
      <c r="N35"/>
      <c r="O35"/>
    </row>
    <row r="36" spans="14:15" x14ac:dyDescent="0.35">
      <c r="N36"/>
      <c r="O36"/>
    </row>
    <row r="37" spans="14:15" x14ac:dyDescent="0.35">
      <c r="N37"/>
      <c r="O37"/>
    </row>
    <row r="38" spans="14:15" x14ac:dyDescent="0.35">
      <c r="N38"/>
      <c r="O38"/>
    </row>
    <row r="39" spans="14:15" x14ac:dyDescent="0.35">
      <c r="N39"/>
      <c r="O39"/>
    </row>
    <row r="40" spans="14:15" x14ac:dyDescent="0.35">
      <c r="N40"/>
      <c r="O40"/>
    </row>
    <row r="41" spans="14:15" x14ac:dyDescent="0.35">
      <c r="N41"/>
      <c r="O41"/>
    </row>
    <row r="42" spans="14:15" x14ac:dyDescent="0.35">
      <c r="N42"/>
      <c r="O42"/>
    </row>
    <row r="43" spans="14:15" x14ac:dyDescent="0.35">
      <c r="N43"/>
      <c r="O43"/>
    </row>
    <row r="44" spans="14:15" x14ac:dyDescent="0.35">
      <c r="N44"/>
      <c r="O4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11</vt:i4>
      </vt:variant>
    </vt:vector>
  </HeadingPairs>
  <TitlesOfParts>
    <vt:vector size="11" baseType="lpstr">
      <vt:lpstr>Geral</vt:lpstr>
      <vt:lpstr>Loss e Accuracy</vt:lpstr>
      <vt:lpstr>Matriz Confusão</vt:lpstr>
      <vt:lpstr>Matriz Confusão 2</vt:lpstr>
      <vt:lpstr>Comentários</vt:lpstr>
      <vt:lpstr>Métricas</vt:lpstr>
      <vt:lpstr>Accuracy</vt:lpstr>
      <vt:lpstr>Precision</vt:lpstr>
      <vt:lpstr>Recall</vt:lpstr>
      <vt:lpstr>F1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Neves (1201800)</dc:creator>
  <cp:lastModifiedBy>Beatriz Neves (1201800)</cp:lastModifiedBy>
  <dcterms:created xsi:type="dcterms:W3CDTF">2024-09-27T16:57:25Z</dcterms:created>
  <dcterms:modified xsi:type="dcterms:W3CDTF">2024-12-10T14:06:06Z</dcterms:modified>
</cp:coreProperties>
</file>