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CB416230-E2CC-40D3-B689-304D914433D2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4" l="1"/>
  <c r="X2" i="16"/>
  <c r="X4" i="16"/>
  <c r="X5" i="16"/>
  <c r="X6" i="16"/>
  <c r="X7" i="16"/>
  <c r="X8" i="16"/>
  <c r="X9" i="16"/>
  <c r="X3" i="16"/>
  <c r="N33" i="16"/>
  <c r="N34" i="16"/>
  <c r="N35" i="16"/>
  <c r="N32" i="16"/>
  <c r="M31" i="16"/>
  <c r="N26" i="16"/>
  <c r="N27" i="16"/>
  <c r="N28" i="16"/>
  <c r="N29" i="16"/>
  <c r="N25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33" i="16" s="1"/>
  <c r="M24" i="16"/>
  <c r="O29" i="16"/>
  <c r="M29" i="16" s="1"/>
  <c r="P29" i="16"/>
  <c r="Q29" i="16"/>
  <c r="N20" i="16"/>
  <c r="N21" i="16"/>
  <c r="N22" i="16"/>
  <c r="N19" i="16"/>
  <c r="M28" i="16"/>
  <c r="M25" i="16"/>
  <c r="M20" i="16"/>
  <c r="M21" i="16"/>
  <c r="M22" i="16"/>
  <c r="M1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26" i="16" s="1"/>
  <c r="M18" i="16"/>
  <c r="O19" i="16"/>
  <c r="O18" i="16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32" i="16" l="1"/>
  <c r="M35" i="16"/>
  <c r="M34" i="16"/>
  <c r="M27" i="16"/>
  <c r="N12" i="16" l="1"/>
  <c r="N13" i="16"/>
  <c r="N14" i="16"/>
  <c r="N15" i="16"/>
  <c r="N16" i="16"/>
  <c r="N11" i="16"/>
  <c r="M10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N4" i="16"/>
  <c r="N5" i="16"/>
  <c r="N6" i="16"/>
  <c r="N7" i="16"/>
  <c r="N8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M6" i="16" s="1"/>
  <c r="P2" i="16"/>
  <c r="Q2" i="16"/>
  <c r="O3" i="16"/>
  <c r="H28" i="16"/>
  <c r="G28" i="16"/>
  <c r="F28" i="16"/>
  <c r="E28" i="16"/>
  <c r="H27" i="16"/>
  <c r="G27" i="16"/>
  <c r="F27" i="16"/>
  <c r="E27" i="16"/>
  <c r="H26" i="16"/>
  <c r="G26" i="16"/>
  <c r="F26" i="16"/>
  <c r="E26" i="16"/>
  <c r="H25" i="16"/>
  <c r="G25" i="16"/>
  <c r="F25" i="16"/>
  <c r="E25" i="16"/>
  <c r="H24" i="16"/>
  <c r="G24" i="16"/>
  <c r="F24" i="16"/>
  <c r="D24" i="16"/>
  <c r="F22" i="16"/>
  <c r="G22" i="16"/>
  <c r="H22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F20" i="16"/>
  <c r="G20" i="16"/>
  <c r="H20" i="16"/>
  <c r="G12" i="16"/>
  <c r="H12" i="16"/>
  <c r="F13" i="16"/>
  <c r="G13" i="16"/>
  <c r="H13" i="16"/>
  <c r="F14" i="16"/>
  <c r="G14" i="16"/>
  <c r="H14" i="16"/>
  <c r="G8" i="16"/>
  <c r="H8" i="16"/>
  <c r="D9" i="16" s="1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M4" i="16" l="1"/>
  <c r="M8" i="16"/>
  <c r="M5" i="16"/>
  <c r="M12" i="16"/>
  <c r="D13" i="16"/>
  <c r="M7" i="16"/>
  <c r="D26" i="16"/>
  <c r="D14" i="16"/>
  <c r="M11" i="16"/>
  <c r="M16" i="16"/>
  <c r="M15" i="16"/>
  <c r="M14" i="16"/>
  <c r="M13" i="16"/>
  <c r="D3" i="16"/>
  <c r="D6" i="16"/>
  <c r="D18" i="16"/>
  <c r="D25" i="16"/>
  <c r="D4" i="16"/>
  <c r="D28" i="16"/>
  <c r="D27" i="16"/>
  <c r="D10" i="16"/>
  <c r="D5" i="16"/>
  <c r="D17" i="16"/>
  <c r="D20" i="16"/>
  <c r="D19" i="16"/>
  <c r="F3" i="7"/>
  <c r="F4" i="7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N5" i="9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E18" i="16" l="1"/>
  <c r="E19" i="16"/>
  <c r="E20" i="16"/>
  <c r="E17" i="16"/>
  <c r="E14" i="16"/>
  <c r="E13" i="16"/>
  <c r="E10" i="16"/>
  <c r="E9" i="16"/>
  <c r="E4" i="16"/>
  <c r="E5" i="16"/>
  <c r="E6" i="16"/>
  <c r="E3" i="16"/>
  <c r="D22" i="16"/>
  <c r="D16" i="16"/>
  <c r="D12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10" i="16" l="1"/>
  <c r="Z6" i="16" s="1"/>
  <c r="Z5" i="16" l="1"/>
  <c r="Z9" i="16"/>
  <c r="Z3" i="16"/>
  <c r="Z4" i="16"/>
  <c r="Z7" i="16"/>
  <c r="Z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<sst xmlns="http://schemas.openxmlformats.org/spreadsheetml/2006/main" count="99" uniqueCount="62">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</sst>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0" fillId="2" borderId="1" xfId="0" applyFill="1" applyBorder="1"/>
    <xf numFmtId="0" fontId="0" fillId="3" borderId="1" xfId="0" applyFill="1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33B190-986C-4D8D-EF68-8A3A038EE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539E1B7-541D-9969-CFDA-047B566B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969A8B8-A1E1-F929-1543-19BC9A82B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285657-B0FD-4B60-0619-0560155BF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2E2B07-3F10-D923-53AA-3A996AB7F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86FBC4-4BF9-C274-C263-92E8DFAE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2ED220-61EF-2DCD-B0C3-F512AB30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3" sqref="B13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5">
        <v>19.928085327148441</v>
      </c>
      <c r="C2" s="46">
        <v>0.64960247278213501</v>
      </c>
      <c r="D2" s="2">
        <v>20.77622032165527</v>
      </c>
      <c r="E2" s="46">
        <v>0.53105592727661133</v>
      </c>
    </row>
    <row r="3" spans="1:5" x14ac:dyDescent="0.35">
      <c r="A3" s="2">
        <v>2</v>
      </c>
      <c r="B3" s="2">
        <v>8.9788932800292969</v>
      </c>
      <c r="C3" s="2">
        <v>0.8008531928062439</v>
      </c>
      <c r="D3" s="2">
        <v>13.98666477203369</v>
      </c>
      <c r="E3" s="2">
        <v>0.74378883838653564</v>
      </c>
    </row>
    <row r="4" spans="1:5" x14ac:dyDescent="0.35">
      <c r="A4" s="2">
        <v>3</v>
      </c>
      <c r="B4" s="2">
        <v>3.2536036968231201</v>
      </c>
      <c r="C4" s="2">
        <v>0.87744814157485962</v>
      </c>
      <c r="D4" s="46">
        <v>13.315666198730471</v>
      </c>
      <c r="E4" s="2">
        <v>0.78260868787765503</v>
      </c>
    </row>
    <row r="5" spans="1:5" x14ac:dyDescent="0.35">
      <c r="A5" s="2">
        <v>4</v>
      </c>
      <c r="B5" s="2">
        <v>1.767946600914001</v>
      </c>
      <c r="C5" s="2">
        <v>0.92165988683700562</v>
      </c>
      <c r="D5" s="2">
        <v>18.334390640258789</v>
      </c>
      <c r="E5" s="2">
        <v>0.77639752626419067</v>
      </c>
    </row>
    <row r="6" spans="1:5" x14ac:dyDescent="0.35">
      <c r="A6" s="2">
        <v>5</v>
      </c>
      <c r="B6" s="2">
        <v>1.4899430274963379</v>
      </c>
      <c r="C6" s="2">
        <v>0.93756061792373657</v>
      </c>
      <c r="D6" s="2">
        <v>19.435440063476559</v>
      </c>
      <c r="E6" s="2">
        <v>0.79347825050354004</v>
      </c>
    </row>
    <row r="7" spans="1:5" x14ac:dyDescent="0.35">
      <c r="A7" s="2">
        <v>6</v>
      </c>
      <c r="B7" s="2">
        <v>1.1833246946334841</v>
      </c>
      <c r="C7" s="2">
        <v>0.95132827758789063</v>
      </c>
      <c r="D7" s="45">
        <v>23.008085250854489</v>
      </c>
      <c r="E7" s="2">
        <v>0.77950310707092285</v>
      </c>
    </row>
    <row r="8" spans="1:5" x14ac:dyDescent="0.35">
      <c r="A8" s="2">
        <v>7</v>
      </c>
      <c r="B8" s="2">
        <v>0.53440940380096436</v>
      </c>
      <c r="C8" s="2">
        <v>0.97324025630950928</v>
      </c>
      <c r="D8" s="2">
        <v>14.1613826751709</v>
      </c>
      <c r="E8" s="45">
        <v>0.80590063333511353</v>
      </c>
    </row>
    <row r="9" spans="1:5" x14ac:dyDescent="0.35">
      <c r="A9" s="2">
        <v>8</v>
      </c>
      <c r="B9" s="2">
        <v>0.56064713001251221</v>
      </c>
      <c r="C9" s="2">
        <v>0.96936202049255371</v>
      </c>
      <c r="D9" s="2">
        <v>13.907854080200201</v>
      </c>
      <c r="E9" s="2">
        <v>0.77950310707092285</v>
      </c>
    </row>
    <row r="10" spans="1:5" x14ac:dyDescent="0.35">
      <c r="A10" s="2">
        <v>9</v>
      </c>
      <c r="B10" s="46">
        <v>0.40975356101989802</v>
      </c>
      <c r="C10" s="2">
        <v>0.98022103309631348</v>
      </c>
      <c r="D10" s="2">
        <v>14.20882511138916</v>
      </c>
      <c r="E10" s="2">
        <v>0.7748447060585022</v>
      </c>
    </row>
    <row r="11" spans="1:5" x14ac:dyDescent="0.35">
      <c r="A11" s="2">
        <v>10</v>
      </c>
      <c r="B11" s="2">
        <v>0.44097307324409479</v>
      </c>
      <c r="C11" s="45">
        <v>0.98119062185287476</v>
      </c>
      <c r="D11" s="2">
        <v>15.060158729553221</v>
      </c>
      <c r="E11" s="2">
        <v>0.79503107070922852</v>
      </c>
    </row>
    <row r="12" spans="1:5" x14ac:dyDescent="0.35">
      <c r="A12" s="3" t="s">
        <v>21</v>
      </c>
      <c r="B12" s="50">
        <v>15.499626159667899</v>
      </c>
      <c r="C12" s="50"/>
      <c r="D12" s="50"/>
      <c r="E12" s="50"/>
    </row>
    <row r="13" spans="1:5" x14ac:dyDescent="0.35">
      <c r="A13" s="3" t="s">
        <v>22</v>
      </c>
      <c r="B13" s="50">
        <v>0.78018575906753496</v>
      </c>
      <c r="C13" s="50"/>
      <c r="D13" s="50"/>
      <c r="E13" s="50"/>
    </row>
    <row r="14" spans="1:5" x14ac:dyDescent="0.35">
      <c r="A14" s="4" t="s">
        <v>8</v>
      </c>
      <c r="B14" s="5">
        <f>MIN(B2:B11)</f>
        <v>0.40975356101989802</v>
      </c>
      <c r="C14" s="5">
        <f>MIN(C2:C11)</f>
        <v>0.64960247278213501</v>
      </c>
      <c r="D14" s="5">
        <f>MIN(D2:D11)</f>
        <v>13.315666198730471</v>
      </c>
      <c r="E14" s="5">
        <f>MIN(E2:E11)</f>
        <v>0.53105592727661133</v>
      </c>
    </row>
    <row r="15" spans="1:5" x14ac:dyDescent="0.35">
      <c r="A15" s="4" t="s">
        <v>9</v>
      </c>
      <c r="B15" s="6">
        <f>MAX(B2:B11)</f>
        <v>19.928085327148441</v>
      </c>
      <c r="C15" s="6">
        <f>MAX(C2:C11)</f>
        <v>0.98119062185287476</v>
      </c>
      <c r="D15" s="6">
        <f>MAX(D2:D11)</f>
        <v>23.008085250854489</v>
      </c>
      <c r="E15" s="6">
        <f>MAX(E2:E11)</f>
        <v>0.80590063333511353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3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6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F6" sqref="F6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51" t="s">
        <v>43</v>
      </c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x14ac:dyDescent="0.35">
      <c r="B2"/>
      <c r="C2" s="47">
        <v>0</v>
      </c>
      <c r="D2" s="47">
        <v>1</v>
      </c>
      <c r="E2" s="47">
        <v>2</v>
      </c>
      <c r="F2" s="47">
        <v>3</v>
      </c>
      <c r="G2" s="47">
        <v>4</v>
      </c>
      <c r="H2" s="47">
        <v>5</v>
      </c>
      <c r="I2" s="47">
        <v>6</v>
      </c>
      <c r="J2" s="47">
        <v>7</v>
      </c>
      <c r="K2" s="47">
        <v>8</v>
      </c>
      <c r="L2" s="47">
        <v>9</v>
      </c>
      <c r="M2" s="47">
        <v>10</v>
      </c>
    </row>
    <row r="3" spans="1:14" ht="20" customHeight="1" x14ac:dyDescent="0.35">
      <c r="A3" s="52" t="str">
        <f>"Verdadeiro"</f>
        <v>Verdadeiro</v>
      </c>
      <c r="B3" s="1">
        <v>0</v>
      </c>
      <c r="C3" s="48">
        <v>9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>
        <f>SUM(C3:M3)</f>
        <v>13</v>
      </c>
    </row>
    <row r="4" spans="1:14" ht="20" customHeight="1" x14ac:dyDescent="0.35">
      <c r="A4" s="52"/>
      <c r="B4" s="1">
        <v>1</v>
      </c>
      <c r="C4" s="2">
        <v>1</v>
      </c>
      <c r="D4" s="48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>
        <f t="shared" ref="N4:N13" si="0">SUM(C4:M4)</f>
        <v>5</v>
      </c>
    </row>
    <row r="5" spans="1:14" ht="20" customHeight="1" x14ac:dyDescent="0.35">
      <c r="A5" s="52"/>
      <c r="B5" s="1">
        <v>2</v>
      </c>
      <c r="C5" s="2">
        <v>0</v>
      </c>
      <c r="D5" s="2">
        <v>0</v>
      </c>
      <c r="E5" s="48">
        <v>2</v>
      </c>
      <c r="F5" s="2">
        <v>0</v>
      </c>
      <c r="G5" s="2">
        <v>4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</row>
    <row r="6" spans="1:14" ht="20" customHeight="1" x14ac:dyDescent="0.35">
      <c r="A6" s="52"/>
      <c r="B6" s="1">
        <v>3</v>
      </c>
      <c r="C6" s="2">
        <v>2</v>
      </c>
      <c r="D6" s="2">
        <v>0</v>
      </c>
      <c r="E6" s="2">
        <v>0</v>
      </c>
      <c r="F6" s="48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>
        <f t="shared" si="0"/>
        <v>5</v>
      </c>
    </row>
    <row r="7" spans="1:14" ht="20" customHeight="1" x14ac:dyDescent="0.35">
      <c r="A7" s="52"/>
      <c r="B7" s="1">
        <v>4</v>
      </c>
      <c r="C7" s="2">
        <v>0</v>
      </c>
      <c r="D7" s="2">
        <v>0</v>
      </c>
      <c r="E7" s="2">
        <v>0</v>
      </c>
      <c r="F7" s="2">
        <v>0</v>
      </c>
      <c r="G7" s="48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</row>
    <row r="8" spans="1:14" ht="20" customHeight="1" x14ac:dyDescent="0.35">
      <c r="A8" s="52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8">
        <v>1</v>
      </c>
      <c r="I8" s="2">
        <v>7</v>
      </c>
      <c r="J8" s="2">
        <v>0</v>
      </c>
      <c r="K8" s="2">
        <v>1</v>
      </c>
      <c r="L8" s="2">
        <v>1</v>
      </c>
      <c r="M8" s="2">
        <v>1</v>
      </c>
      <c r="N8">
        <f t="shared" si="0"/>
        <v>11</v>
      </c>
    </row>
    <row r="9" spans="1:14" ht="20" customHeight="1" x14ac:dyDescent="0.35">
      <c r="A9" s="52"/>
      <c r="B9" s="1">
        <v>6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5</v>
      </c>
      <c r="I9" s="48">
        <v>94</v>
      </c>
      <c r="J9" s="2">
        <v>0</v>
      </c>
      <c r="K9" s="2">
        <v>4</v>
      </c>
      <c r="L9" s="2">
        <v>1</v>
      </c>
      <c r="M9" s="2">
        <v>2</v>
      </c>
      <c r="N9">
        <f t="shared" si="0"/>
        <v>108</v>
      </c>
    </row>
    <row r="10" spans="1:14" ht="20" customHeight="1" x14ac:dyDescent="0.35">
      <c r="A10" s="52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7</v>
      </c>
      <c r="J10" s="48">
        <v>3</v>
      </c>
      <c r="K10" s="2">
        <v>2</v>
      </c>
      <c r="L10" s="2">
        <v>2</v>
      </c>
      <c r="M10" s="2">
        <v>4</v>
      </c>
      <c r="N10">
        <f t="shared" si="0"/>
        <v>20</v>
      </c>
    </row>
    <row r="11" spans="1:14" ht="20" customHeight="1" x14ac:dyDescent="0.35">
      <c r="A11" s="52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3</v>
      </c>
      <c r="H11" s="2">
        <v>0</v>
      </c>
      <c r="I11" s="2">
        <v>9</v>
      </c>
      <c r="J11" s="2">
        <v>0</v>
      </c>
      <c r="K11" s="48">
        <v>10</v>
      </c>
      <c r="L11" s="2">
        <v>1</v>
      </c>
      <c r="M11" s="2">
        <v>10</v>
      </c>
      <c r="N11">
        <f t="shared" si="0"/>
        <v>33</v>
      </c>
    </row>
    <row r="12" spans="1:14" ht="20" customHeight="1" x14ac:dyDescent="0.35">
      <c r="A12" s="52"/>
      <c r="B12" s="1">
        <v>9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48">
        <v>3</v>
      </c>
      <c r="M12" s="2">
        <v>30</v>
      </c>
      <c r="N12">
        <f t="shared" si="0"/>
        <v>37</v>
      </c>
    </row>
    <row r="13" spans="1:14" ht="20" customHeight="1" x14ac:dyDescent="0.35">
      <c r="A13" s="52"/>
      <c r="B13" s="1">
        <v>10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11</v>
      </c>
      <c r="J13" s="2">
        <v>0</v>
      </c>
      <c r="K13" s="2">
        <v>7</v>
      </c>
      <c r="L13" s="2">
        <v>6</v>
      </c>
      <c r="M13" s="48">
        <v>372</v>
      </c>
      <c r="N13">
        <f t="shared" si="0"/>
        <v>398</v>
      </c>
    </row>
    <row r="14" spans="1:14" x14ac:dyDescent="0.35">
      <c r="C14">
        <f>SUM(C3:C13)</f>
        <v>13</v>
      </c>
      <c r="D14">
        <f t="shared" ref="D14:M14" si="1">SUM(D3:D13)</f>
        <v>3</v>
      </c>
      <c r="E14">
        <f t="shared" si="1"/>
        <v>2</v>
      </c>
      <c r="F14">
        <f t="shared" si="1"/>
        <v>3</v>
      </c>
      <c r="G14">
        <f t="shared" si="1"/>
        <v>20</v>
      </c>
      <c r="H14">
        <f t="shared" si="1"/>
        <v>6</v>
      </c>
      <c r="I14">
        <f t="shared" si="1"/>
        <v>132</v>
      </c>
      <c r="J14">
        <f t="shared" si="1"/>
        <v>3</v>
      </c>
      <c r="K14">
        <f t="shared" si="1"/>
        <v>26</v>
      </c>
      <c r="L14">
        <f t="shared" si="1"/>
        <v>16</v>
      </c>
      <c r="M14">
        <f t="shared" si="1"/>
        <v>422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5"/>
  <sheetViews>
    <sheetView topLeftCell="O1" workbookViewId="0">
      <pane ySplit="1" topLeftCell="A2" activePane="bottomLeft" state="frozen"/>
      <selection pane="bottomLeft" activeCell="B16" sqref="B16:H2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5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6" t="s">
        <v>27</v>
      </c>
      <c r="Y1" s="56"/>
      <c r="Z1" s="56"/>
      <c r="AA1" s="56"/>
    </row>
    <row r="2" spans="1:27" ht="20" customHeight="1" x14ac:dyDescent="0.35">
      <c r="A2" s="52" t="s">
        <v>30</v>
      </c>
      <c r="B2" s="22">
        <v>9</v>
      </c>
      <c r="C2" s="22">
        <v>0</v>
      </c>
      <c r="D2" s="23">
        <f>B2/SUM(B2:B6)</f>
        <v>0.69230769230769229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2" t="s">
        <v>57</v>
      </c>
      <c r="K2" s="22">
        <v>94</v>
      </c>
      <c r="L2" s="22">
        <v>6</v>
      </c>
      <c r="M2" s="41">
        <f>K2/SUM(K2:K8)</f>
        <v>0.87037037037037035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B2+B8+B12+B16+B22+K2+K10+K18+K24+K31</f>
        <v>503</v>
      </c>
      <c r="Y2" s="21" t="s">
        <v>28</v>
      </c>
      <c r="Z2" s="49">
        <v>646</v>
      </c>
      <c r="AA2" s="28">
        <f>X2/Z2</f>
        <v>0.77863777089783281</v>
      </c>
    </row>
    <row r="3" spans="1:27" ht="20" customHeight="1" x14ac:dyDescent="0.35">
      <c r="A3" s="52"/>
      <c r="B3" s="18">
        <v>1</v>
      </c>
      <c r="C3" s="18">
        <v>3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ROUND(B3/SUM($B$2:$B$6)*100,0) &amp;"%"</f>
        <v>8%</v>
      </c>
      <c r="F3" s="26" t="str">
        <f t="shared" ref="F3:F6" si="3">VLOOKUP(C3,$S$1:$V$12,2,FALSE)</f>
        <v>Arco</v>
      </c>
      <c r="G3" s="26" t="str">
        <f t="shared" ref="G3:G6" si="4">VLOOKUP(C3,$S$1:$V$12,3,FALSE)</f>
        <v>Antes de 1983</v>
      </c>
      <c r="H3" s="26" t="str">
        <f t="shared" ref="H3:H6" si="5">VLOOKUP(C3,$S$1:$V$12,4,FALSE)</f>
        <v>Betão Armado</v>
      </c>
      <c r="J3" s="52"/>
      <c r="K3" s="18">
        <v>1</v>
      </c>
      <c r="L3" s="18">
        <v>3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1 (Material)</v>
      </c>
      <c r="N3" s="19" t="str">
        <f>ROUND(K3/SUM($K$2:$K$8)*100,1) &amp;"%"</f>
        <v>0,9%</v>
      </c>
      <c r="O3" s="26" t="str">
        <f t="shared" si="0"/>
        <v>Arco</v>
      </c>
      <c r="P3" s="26" t="str">
        <f t="shared" si="1"/>
        <v>Antes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8</v>
      </c>
      <c r="Y3" s="21" t="s">
        <v>42</v>
      </c>
      <c r="Z3" s="42">
        <f>X3/$X$10</f>
        <v>0.1951219512195122</v>
      </c>
    </row>
    <row r="4" spans="1:27" ht="20" customHeight="1" x14ac:dyDescent="0.35">
      <c r="A4" s="52"/>
      <c r="B4" s="18">
        <v>1</v>
      </c>
      <c r="C4" s="18">
        <v>4</v>
      </c>
      <c r="D4" s="21" t="str">
        <f t="shared" ref="D4:D6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 t="shared" ref="E4:E6" si="7">ROUND(B4/SUM($B$2:$B$6)*100,0) &amp;"%"</f>
        <v>8%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2"/>
      <c r="K4" s="18">
        <v>1</v>
      </c>
      <c r="L4" s="18">
        <v>4</v>
      </c>
      <c r="M4" s="21" t="str">
        <f t="shared" ref="M4:M8" si="8">COUNTIF(O4,$O$2)+COUNTIF(P4,$P$2)+COUNTIF(Q4,$Q$2)&amp;" ("&amp; IF(O4=$O$2,"Estrutura, ","") &amp; IF(P4=$P$2,"Ano, ","") &amp;IF(Q4=$Q$2,"Material","") &amp; IF(OR(O4=$O$2,P4=$P$2,Q4=$Q$2),"","Nenhuma") &amp;")"</f>
        <v>2 (Ano, Material)</v>
      </c>
      <c r="N4" s="19" t="str">
        <f t="shared" ref="N4:N8" si="9">ROUND(K4/SUM($K$2:$K$8)*100,1) &amp;"%"</f>
        <v>0,9%</v>
      </c>
      <c r="O4" s="26" t="str">
        <f t="shared" ref="O4:O8" si="10">VLOOKUP(L4,$S$1:$V$12,2,FALSE)</f>
        <v>Arco</v>
      </c>
      <c r="P4" s="26" t="str">
        <f t="shared" ref="P4:P8" si="11">VLOOKUP(L4,$S$1:$V$12,3,FALSE)</f>
        <v>Depois de 1983</v>
      </c>
      <c r="Q4" s="26" t="str">
        <f t="shared" ref="Q4:Q8" si="12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ref="X4:X9" si="13">COUNTIF($D:$D,Y4)+COUNTIF($M:$M,Y4)</f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52"/>
      <c r="B5" s="18">
        <v>1</v>
      </c>
      <c r="C5" s="18">
        <v>6</v>
      </c>
      <c r="D5" s="21" t="str">
        <f t="shared" si="6"/>
        <v>0 (Nenhuma)</v>
      </c>
      <c r="E5" s="19" t="str">
        <f t="shared" si="7"/>
        <v>8%</v>
      </c>
      <c r="F5" s="26" t="str">
        <f t="shared" si="3"/>
        <v>Pórtico</v>
      </c>
      <c r="G5" s="26" t="str">
        <f t="shared" si="4"/>
        <v>Depois de 1983</v>
      </c>
      <c r="H5" s="26" t="str">
        <f t="shared" si="5"/>
        <v>Betão Armado</v>
      </c>
      <c r="J5" s="52"/>
      <c r="K5" s="18">
        <v>5</v>
      </c>
      <c r="L5" s="18">
        <v>5</v>
      </c>
      <c r="M5" s="21" t="str">
        <f t="shared" si="8"/>
        <v>2 (Estrutura, Material)</v>
      </c>
      <c r="N5" s="19" t="str">
        <f t="shared" si="9"/>
        <v>4,6%</v>
      </c>
      <c r="O5" s="26" t="str">
        <f t="shared" si="10"/>
        <v>Pórtico</v>
      </c>
      <c r="P5" s="26" t="str">
        <f t="shared" si="11"/>
        <v>Antes de 1983</v>
      </c>
      <c r="Q5" s="26" t="str">
        <f t="shared" si="12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13"/>
        <v>3</v>
      </c>
      <c r="Y5" s="21" t="s">
        <v>39</v>
      </c>
      <c r="Z5" s="42">
        <f t="shared" si="14"/>
        <v>7.3170731707317069E-2</v>
      </c>
    </row>
    <row r="6" spans="1:27" ht="20" customHeight="1" x14ac:dyDescent="0.35">
      <c r="A6" s="52"/>
      <c r="B6" s="18">
        <v>1</v>
      </c>
      <c r="C6" s="18">
        <v>9</v>
      </c>
      <c r="D6" s="21" t="str">
        <f t="shared" si="6"/>
        <v>0 (Nenhuma)</v>
      </c>
      <c r="E6" s="19" t="str">
        <f t="shared" si="7"/>
        <v>8%</v>
      </c>
      <c r="F6" s="26" t="str">
        <f t="shared" si="3"/>
        <v>Vãos Multiplos</v>
      </c>
      <c r="G6" s="26" t="str">
        <f t="shared" si="4"/>
        <v>Antes de 1983</v>
      </c>
      <c r="H6" s="26" t="str">
        <f t="shared" si="5"/>
        <v>Betão Armado</v>
      </c>
      <c r="J6" s="52"/>
      <c r="K6" s="18">
        <v>4</v>
      </c>
      <c r="L6" s="18">
        <v>8</v>
      </c>
      <c r="M6" s="21" t="str">
        <f t="shared" si="8"/>
        <v>2 (Ano, Material)</v>
      </c>
      <c r="N6" s="19" t="str">
        <f t="shared" si="9"/>
        <v>3,7%</v>
      </c>
      <c r="O6" s="26" t="str">
        <f t="shared" si="10"/>
        <v>Tabuleiro simples/apoiado</v>
      </c>
      <c r="P6" s="26" t="str">
        <f t="shared" si="11"/>
        <v>Depois de 1983</v>
      </c>
      <c r="Q6" s="26" t="str">
        <f t="shared" si="12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13"/>
        <v>12</v>
      </c>
      <c r="Y6" s="21" t="s">
        <v>51</v>
      </c>
      <c r="Z6" s="42">
        <f t="shared" si="14"/>
        <v>0.29268292682926828</v>
      </c>
    </row>
    <row r="7" spans="1:27" ht="20" customHeight="1" x14ac:dyDescent="0.35">
      <c r="B7" s="11"/>
      <c r="C7" s="11"/>
      <c r="D7" s="11"/>
      <c r="E7" s="11"/>
      <c r="F7" s="24"/>
      <c r="G7" s="24"/>
      <c r="J7" s="52"/>
      <c r="K7" s="18">
        <v>1</v>
      </c>
      <c r="L7" s="18">
        <v>9</v>
      </c>
      <c r="M7" s="21" t="str">
        <f t="shared" si="8"/>
        <v>1 (Material)</v>
      </c>
      <c r="N7" s="19" t="str">
        <f t="shared" si="9"/>
        <v>0,9%</v>
      </c>
      <c r="O7" s="26" t="str">
        <f t="shared" si="10"/>
        <v>Vãos Multiplos</v>
      </c>
      <c r="P7" s="26" t="str">
        <f t="shared" si="11"/>
        <v>Antes de 1983</v>
      </c>
      <c r="Q7" s="26" t="str">
        <f t="shared" si="12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13"/>
        <v>0</v>
      </c>
      <c r="Y7" s="21" t="s">
        <v>52</v>
      </c>
      <c r="Z7" s="42">
        <f t="shared" si="14"/>
        <v>0</v>
      </c>
    </row>
    <row r="8" spans="1:27" ht="20" customHeight="1" x14ac:dyDescent="0.35">
      <c r="A8" s="53" t="s">
        <v>31</v>
      </c>
      <c r="B8" s="22">
        <v>2</v>
      </c>
      <c r="C8" s="22">
        <v>1</v>
      </c>
      <c r="D8" s="23">
        <f>B8/SUM(B8:B10)</f>
        <v>0.4</v>
      </c>
      <c r="E8" s="40"/>
      <c r="F8" s="25" t="s">
        <v>55</v>
      </c>
      <c r="G8" s="25" t="str">
        <f>VLOOKUP(C8,$S$1:$V$12,3,FALSE)</f>
        <v>Antes de 1983</v>
      </c>
      <c r="H8" s="25" t="str">
        <f>VLOOKUP(C8,$S$1:$V$12,4,FALSE)</f>
        <v>Aço</v>
      </c>
      <c r="J8" s="52"/>
      <c r="K8" s="18">
        <v>2</v>
      </c>
      <c r="L8" s="18">
        <v>10</v>
      </c>
      <c r="M8" s="21" t="str">
        <f t="shared" si="8"/>
        <v>2 (Ano, Material)</v>
      </c>
      <c r="N8" s="19" t="str">
        <f t="shared" si="9"/>
        <v>1,9%</v>
      </c>
      <c r="O8" s="26" t="str">
        <f t="shared" si="10"/>
        <v>Vãos Multiplos</v>
      </c>
      <c r="P8" s="26" t="str">
        <f t="shared" si="11"/>
        <v>Depois de 1983</v>
      </c>
      <c r="Q8" s="26" t="str">
        <f t="shared" si="12"/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13"/>
        <v>5</v>
      </c>
      <c r="Y8" s="21" t="s">
        <v>53</v>
      </c>
      <c r="Z8" s="42">
        <f t="shared" si="14"/>
        <v>0.12195121951219512</v>
      </c>
    </row>
    <row r="9" spans="1:27" ht="20" customHeight="1" x14ac:dyDescent="0.35">
      <c r="A9" s="54"/>
      <c r="B9" s="18">
        <v>1</v>
      </c>
      <c r="C9" s="18">
        <v>0</v>
      </c>
      <c r="D9" s="21" t="str">
        <f>COUNTIF(F9,$F$8)+COUNTIF(G9,$G$8)+COUNTIF(H9,$H$8)&amp;" ("&amp; IF(F9=$F$8,"Estrutura, ","") &amp; IF(G9=$G$8,"Ano, ","") &amp;IF(H9=$H$8,"Material","") &amp; IF(OR(F9=$F$8,G9=$G$8,H9=$H$8),"","Nenhuma") &amp;")"</f>
        <v>0 (Nenhuma)</v>
      </c>
      <c r="E9" s="19" t="str">
        <f>ROUND(B9/SUM($B$8:$B$10)*100,0) &amp;"%"</f>
        <v>20%</v>
      </c>
      <c r="H9" s="26" t="str">
        <f>VLOOKUP(C9,$S$1:$V$12,4,FALSE)</f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13"/>
        <v>13</v>
      </c>
      <c r="Y9" s="21" t="s">
        <v>54</v>
      </c>
      <c r="Z9" s="42">
        <f t="shared" si="14"/>
        <v>0.31707317073170732</v>
      </c>
    </row>
    <row r="10" spans="1:27" ht="20" customHeight="1" x14ac:dyDescent="0.35">
      <c r="A10" s="55"/>
      <c r="B10" s="18">
        <v>2</v>
      </c>
      <c r="C10" s="18">
        <v>10</v>
      </c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0 (Nenhuma)</v>
      </c>
      <c r="E10" s="19" t="str">
        <f>ROUND(B10/SUM($B$8:$B$10)*100,0) &amp;"%"</f>
        <v>40%</v>
      </c>
      <c r="F10" s="26" t="str">
        <f>VLOOKUP(C10,$S$1:$V$12,2,FALSE)</f>
        <v>Vãos Multiplos</v>
      </c>
      <c r="G10" s="26" t="str">
        <f>VLOOKUP(C10,$S$1:$V$12,3,FALSE)</f>
        <v>Depois de 1983</v>
      </c>
      <c r="H10" s="26" t="str">
        <f>VLOOKUP(C10,$S$1:$V$12,4,FALSE)</f>
        <v>Betão Armado</v>
      </c>
      <c r="J10" s="52" t="s">
        <v>58</v>
      </c>
      <c r="K10" s="22">
        <v>3</v>
      </c>
      <c r="L10" s="22">
        <v>7</v>
      </c>
      <c r="M10" s="23">
        <f>K10/SUM(K10:K16)</f>
        <v>0.15</v>
      </c>
      <c r="N10" s="40"/>
      <c r="O10" s="25" t="str">
        <f t="shared" ref="O10:O16" si="15">VLOOKUP(L10,$S$1:$V$12,2,FALSE)</f>
        <v>Tabuleiro simples/apoiado</v>
      </c>
      <c r="P10" s="25" t="str">
        <f t="shared" ref="P10:P16" si="16">VLOOKUP(L10,$S$1:$V$12,3,FALSE)</f>
        <v>Antes de 1983</v>
      </c>
      <c r="Q10" s="25" t="str">
        <f t="shared" ref="Q10:Q16" si="17">VLOOKUP(L10,$S$1:$V$12,4,FALSE)</f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41</v>
      </c>
    </row>
    <row r="11" spans="1:27" ht="20" customHeight="1" x14ac:dyDescent="0.35">
      <c r="J11" s="52"/>
      <c r="K11" s="18">
        <v>1</v>
      </c>
      <c r="L11" s="18">
        <v>0</v>
      </c>
      <c r="M11" s="21" t="str">
        <f t="shared" ref="M11:M16" si="18">COUNTIF(O11,$O$10)+COUNTIF(P11,$P$10)+COUNTIF(Q11,$Q$10)&amp;" ("&amp; IF(O11=$O$10,"Estrutura, ","") &amp; IF(P11=$P$10,"Ano, ","") &amp;IF(Q11=$Q$10,"Material","") &amp; IF(OR(O11=$O$10,P11=$P$10,Q11=$Q$10),"","Nenhuma") &amp;")"</f>
        <v>0 (Nenhuma)</v>
      </c>
      <c r="N11" s="19" t="str">
        <f t="shared" ref="N11:N16" si="19">ROUND(K11/SUM($K$10:$K$16)*100,0) &amp;"%"</f>
        <v>5%</v>
      </c>
      <c r="O11" s="26">
        <f t="shared" si="15"/>
        <v>0</v>
      </c>
      <c r="P11" s="26">
        <f t="shared" si="16"/>
        <v>0</v>
      </c>
      <c r="Q11" s="26" t="str">
        <f t="shared" si="17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3" t="s">
        <v>32</v>
      </c>
      <c r="B12" s="22">
        <v>2</v>
      </c>
      <c r="C12" s="22">
        <v>2</v>
      </c>
      <c r="D12" s="23">
        <f>B12/SUM(B12:B14)</f>
        <v>0.25</v>
      </c>
      <c r="E12" s="40"/>
      <c r="F12" s="25" t="s">
        <v>55</v>
      </c>
      <c r="G12" s="25" t="str">
        <f>VLOOKUP(C12,$S$1:$V$12,3,FALSE)</f>
        <v>Depois de 1983</v>
      </c>
      <c r="H12" s="25" t="str">
        <f>VLOOKUP(C12,$S$1:$V$12,4,FALSE)</f>
        <v>Aço</v>
      </c>
      <c r="J12" s="52"/>
      <c r="K12" s="18">
        <v>1</v>
      </c>
      <c r="L12" s="18">
        <v>4</v>
      </c>
      <c r="M12" s="21" t="str">
        <f t="shared" si="18"/>
        <v>1 (Material)</v>
      </c>
      <c r="N12" s="19" t="str">
        <f t="shared" si="19"/>
        <v>5%</v>
      </c>
      <c r="O12" s="26" t="str">
        <f t="shared" si="15"/>
        <v>Arco</v>
      </c>
      <c r="P12" s="26" t="str">
        <f t="shared" si="16"/>
        <v>Depois de 1983</v>
      </c>
      <c r="Q12" s="26" t="str">
        <f t="shared" si="17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4"/>
      <c r="B13" s="18">
        <v>4</v>
      </c>
      <c r="C13" s="18">
        <v>4</v>
      </c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1 (Ano, )</v>
      </c>
      <c r="E13" s="19" t="str">
        <f>ROUND(B13/SUM($B$12:$B$14)*100,0) &amp;"%"</f>
        <v>50%</v>
      </c>
      <c r="F13" s="26" t="str">
        <f>VLOOKUP(C13,$S$1:$V$12,2,FALSE)</f>
        <v>Arco</v>
      </c>
      <c r="G13" s="26" t="str">
        <f>VLOOKUP(C13,$S$1:$V$12,3,FALSE)</f>
        <v>Depois de 1983</v>
      </c>
      <c r="H13" s="26" t="str">
        <f>VLOOKUP(C13,$S$1:$V$12,4,FALSE)</f>
        <v>Betão Armado</v>
      </c>
      <c r="J13" s="52"/>
      <c r="K13" s="18">
        <v>7</v>
      </c>
      <c r="L13" s="18">
        <v>6</v>
      </c>
      <c r="M13" s="21" t="str">
        <f t="shared" si="18"/>
        <v>1 (Material)</v>
      </c>
      <c r="N13" s="19" t="str">
        <f t="shared" si="19"/>
        <v>35%</v>
      </c>
      <c r="O13" s="26" t="str">
        <f t="shared" si="15"/>
        <v>Pórtico</v>
      </c>
      <c r="P13" s="26" t="str">
        <f t="shared" si="16"/>
        <v>Depois de 1983</v>
      </c>
      <c r="Q13" s="26" t="str">
        <f t="shared" si="17"/>
        <v>Betão Armado</v>
      </c>
    </row>
    <row r="14" spans="1:27" ht="20" customHeight="1" x14ac:dyDescent="0.35">
      <c r="A14" s="55"/>
      <c r="B14" s="18">
        <v>2</v>
      </c>
      <c r="C14" s="18">
        <v>6</v>
      </c>
      <c r="D14" s="21" t="str">
        <f>COUNTIF(F14,$F$12)+COUNTIF(G14,$G$12)+COUNTIF(H14,$H$12)&amp;" ("&amp; IF(F14=$F$12,"Estrutura, ","") &amp; IF(G14=$G$12,"Ano, ","") &amp;IF(H14=$H$12,"Material","") &amp; IF(OR(F14=$F$12,G14=$G$12,H14=$H$12),"","Nenhuma") &amp;")"</f>
        <v>1 (Ano, )</v>
      </c>
      <c r="E14" s="19" t="str">
        <f>ROUND(B14/SUM($B$12:$B$14)*100,0) &amp;"%"</f>
        <v>25%</v>
      </c>
      <c r="F14" s="26" t="str">
        <f>VLOOKUP(C14,$S$1:$V$12,2,FALSE)</f>
        <v>Pórtico</v>
      </c>
      <c r="G14" s="26" t="str">
        <f>VLOOKUP(C14,$S$1:$V$12,3,FALSE)</f>
        <v>Depois de 1983</v>
      </c>
      <c r="H14" s="26" t="str">
        <f>VLOOKUP(C14,$S$1:$V$12,4,FALSE)</f>
        <v>Betão Armado</v>
      </c>
      <c r="J14" s="52"/>
      <c r="K14" s="18">
        <v>2</v>
      </c>
      <c r="L14" s="18">
        <v>8</v>
      </c>
      <c r="M14" s="21" t="str">
        <f t="shared" si="18"/>
        <v>2 (Estrutura, Material)</v>
      </c>
      <c r="N14" s="19" t="str">
        <f t="shared" si="19"/>
        <v>10%</v>
      </c>
      <c r="O14" s="26" t="str">
        <f t="shared" si="15"/>
        <v>Tabuleiro simples/apoiado</v>
      </c>
      <c r="P14" s="26" t="str">
        <f t="shared" si="16"/>
        <v>Depois de 1983</v>
      </c>
      <c r="Q14" s="26" t="str">
        <f t="shared" si="17"/>
        <v>Betão Armado</v>
      </c>
    </row>
    <row r="15" spans="1:27" ht="20" customHeight="1" x14ac:dyDescent="0.35">
      <c r="J15" s="52"/>
      <c r="K15" s="18">
        <v>2</v>
      </c>
      <c r="L15" s="18">
        <v>9</v>
      </c>
      <c r="M15" s="21" t="str">
        <f t="shared" si="18"/>
        <v>2 (Ano, Material)</v>
      </c>
      <c r="N15" s="19" t="str">
        <f t="shared" si="19"/>
        <v>10%</v>
      </c>
      <c r="O15" s="26" t="str">
        <f t="shared" si="15"/>
        <v>Vãos Multiplos</v>
      </c>
      <c r="P15" s="26" t="str">
        <f t="shared" si="16"/>
        <v>Antes de 1983</v>
      </c>
      <c r="Q15" s="26" t="str">
        <f t="shared" si="17"/>
        <v>Betão Armado</v>
      </c>
    </row>
    <row r="16" spans="1:27" ht="20" customHeight="1" x14ac:dyDescent="0.35">
      <c r="A16" s="52" t="s">
        <v>37</v>
      </c>
      <c r="B16" s="22">
        <v>0</v>
      </c>
      <c r="C16" s="22">
        <v>3</v>
      </c>
      <c r="D16" s="23">
        <f>B16/SUM(B16:B20)</f>
        <v>0</v>
      </c>
      <c r="E16" s="40"/>
      <c r="F16" s="25" t="str">
        <f>VLOOKUP(C16,$S$1:$V$12,2,FALSE)</f>
        <v>Arco</v>
      </c>
      <c r="G16" s="25" t="str">
        <f>VLOOKUP(C16,$S$1:$V$12,3,FALSE)</f>
        <v>Antes de 1983</v>
      </c>
      <c r="H16" s="25" t="str">
        <f>VLOOKUP(C16,$S$1:$V$12,4,FALSE)</f>
        <v>Betão Armado</v>
      </c>
      <c r="J16" s="52"/>
      <c r="K16" s="18">
        <v>4</v>
      </c>
      <c r="L16" s="18">
        <v>10</v>
      </c>
      <c r="M16" s="21" t="str">
        <f t="shared" si="18"/>
        <v>1 (Material)</v>
      </c>
      <c r="N16" s="19" t="str">
        <f t="shared" si="19"/>
        <v>20%</v>
      </c>
      <c r="O16" s="26" t="str">
        <f t="shared" si="15"/>
        <v>Vãos Multiplos</v>
      </c>
      <c r="P16" s="26" t="str">
        <f t="shared" si="16"/>
        <v>Depois de 1983</v>
      </c>
      <c r="Q16" s="26" t="str">
        <f t="shared" si="17"/>
        <v>Betão Armado</v>
      </c>
    </row>
    <row r="17" spans="1:17" ht="20" customHeight="1" x14ac:dyDescent="0.35">
      <c r="A17" s="52"/>
      <c r="B17" s="18">
        <v>2</v>
      </c>
      <c r="C17" s="18">
        <v>0</v>
      </c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19" t="str">
        <f>ROUND(B17/SUM($B$16:$B$20)*100,0) &amp;"%"</f>
        <v>40%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2"/>
      <c r="B18" s="18">
        <v>1</v>
      </c>
      <c r="C18" s="18">
        <v>8</v>
      </c>
      <c r="D18" s="21" t="str">
        <f t="shared" ref="D18:D20" si="20">COUNTIF(F18,$F$16)+COUNTIF(G18,$G$16)+COUNTIF(H18,$H$16)&amp;" ("&amp; IF(F18=$F$16,"Estrutura, ","") &amp; IF(G18=$G$16,"Ano, ","") &amp;IF(H18=$H$16,"Material","") &amp; IF(OR(F18=$F$16,G18=$G$16,H18=$H$16),"","Nenhuma") &amp;")"</f>
        <v>1 (Material)</v>
      </c>
      <c r="E18" s="19" t="str">
        <f>ROUND(B18/SUM($B$16:$B$20)*100,0) &amp;"%"</f>
        <v>20%</v>
      </c>
      <c r="F18" s="26" t="str">
        <f>VLOOKUP(C18,$S$1:$V$12,2,FALSE)</f>
        <v>Tabuleiro simples/apoiado</v>
      </c>
      <c r="G18" s="26" t="str">
        <f>VLOOKUP(C18,$S$1:$V$12,3,FALSE)</f>
        <v>Depois de 1983</v>
      </c>
      <c r="H18" s="26" t="str">
        <f>VLOOKUP(C18,$S$1:$V$12,4,FALSE)</f>
        <v>Betão Armado</v>
      </c>
      <c r="J18" s="53" t="s">
        <v>59</v>
      </c>
      <c r="K18" s="22">
        <v>10</v>
      </c>
      <c r="L18" s="22">
        <v>8</v>
      </c>
      <c r="M18" s="41">
        <f>K18/SUM(K18:K22)</f>
        <v>0.30303030303030304</v>
      </c>
      <c r="N18" s="40"/>
      <c r="O18" s="25" t="str">
        <f>VLOOKUP(L18,$S$1:$V$12,2,FALSE)</f>
        <v>Tabuleiro simples/apoiado</v>
      </c>
      <c r="P18" s="25" t="str">
        <f t="shared" ref="P18:P22" si="21">VLOOKUP(L18,$S$1:$V$12,3,FALSE)</f>
        <v>Depois de 1983</v>
      </c>
      <c r="Q18" s="25" t="str">
        <f t="shared" ref="Q18:Q22" si="22">VLOOKUP(L18,$S$1:$V$12,4,FALSE)</f>
        <v>Betão Armado</v>
      </c>
    </row>
    <row r="19" spans="1:17" ht="20" customHeight="1" x14ac:dyDescent="0.35">
      <c r="A19" s="52"/>
      <c r="B19" s="18">
        <v>1</v>
      </c>
      <c r="C19" s="18">
        <v>9</v>
      </c>
      <c r="D19" s="21" t="str">
        <f t="shared" si="20"/>
        <v>2 (Ano, Material)</v>
      </c>
      <c r="E19" s="19" t="str">
        <f>ROUND(B19/SUM($B$16:$B$20)*100,0) &amp;"%"</f>
        <v>20%</v>
      </c>
      <c r="F19" s="26" t="str">
        <f>VLOOKUP(C19,$S$1:$V$12,2,FALSE)</f>
        <v>Vãos Multiplos</v>
      </c>
      <c r="G19" s="26" t="str">
        <f>VLOOKUP(C19,$S$1:$V$12,3,FALSE)</f>
        <v>Antes de 1983</v>
      </c>
      <c r="H19" s="26" t="str">
        <f>VLOOKUP(C19,$S$1:$V$12,4,FALSE)</f>
        <v>Betão Armado</v>
      </c>
      <c r="J19" s="54"/>
      <c r="K19" s="18">
        <v>3</v>
      </c>
      <c r="L19" s="18">
        <v>4</v>
      </c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2 (Ano, Material)</v>
      </c>
      <c r="N19" s="19" t="str">
        <f>ROUND(K19/SUM($K$18:$K$22)*100,1) &amp;"%"</f>
        <v>9,1%</v>
      </c>
      <c r="O19" s="26" t="str">
        <f>VLOOKUP(L19,$S$1:$V$12,2,FALSE)</f>
        <v>Arco</v>
      </c>
      <c r="P19" s="26" t="str">
        <f t="shared" si="21"/>
        <v>Depois de 1983</v>
      </c>
      <c r="Q19" s="26" t="str">
        <f t="shared" si="22"/>
        <v>Betão Armado</v>
      </c>
    </row>
    <row r="20" spans="1:17" ht="20" customHeight="1" x14ac:dyDescent="0.35">
      <c r="A20" s="52"/>
      <c r="B20" s="18">
        <v>1</v>
      </c>
      <c r="C20" s="18">
        <v>10</v>
      </c>
      <c r="D20" s="21" t="str">
        <f t="shared" si="20"/>
        <v>1 (Material)</v>
      </c>
      <c r="E20" s="19" t="str">
        <f>ROUND(B20/SUM($B$16:$B$20)*100,0) &amp;"%"</f>
        <v>20%</v>
      </c>
      <c r="F20" s="26" t="str">
        <f>VLOOKUP(C20,$S$1:$V$12,2,FALSE)</f>
        <v>Vãos Multiplos</v>
      </c>
      <c r="G20" s="26" t="str">
        <f>VLOOKUP(C20,$S$1:$V$12,3,FALSE)</f>
        <v>Depois de 1983</v>
      </c>
      <c r="H20" s="26" t="str">
        <f>VLOOKUP(C20,$S$1:$V$12,4,FALSE)</f>
        <v>Betão Armado</v>
      </c>
      <c r="J20" s="54"/>
      <c r="K20" s="18">
        <v>9</v>
      </c>
      <c r="L20" s="18">
        <v>6</v>
      </c>
      <c r="M20" s="21" t="str">
        <f t="shared" ref="M20:M22" si="23">COUNTIF(O20,$O$18)+COUNTIF(P20,$P$18)+COUNTIF(Q20,$Q$18)&amp;" ("&amp; IF(O20=$O$18,"Estrutura, ","") &amp; IF(P20=$P$18,"Ano, ","") &amp;IF(Q20=$Q$18,"Material","") &amp; IF(OR(O20=$O$18,P20=$P$18,Q20=$Q$18),"","Nenhuma") &amp;")"</f>
        <v>2 (Ano, Material)</v>
      </c>
      <c r="N20" s="19" t="str">
        <f t="shared" ref="N20:N22" si="24">ROUND(K20/SUM($K$18:$K$22)*100,1) &amp;"%"</f>
        <v>27,3%</v>
      </c>
      <c r="O20" s="26" t="str">
        <f t="shared" ref="O20:O22" si="25">VLOOKUP(L20,$S$1:$V$12,2,FALSE)</f>
        <v>Pórtico</v>
      </c>
      <c r="P20" s="26" t="str">
        <f t="shared" si="21"/>
        <v>Depois de 1983</v>
      </c>
      <c r="Q20" s="26" t="str">
        <f t="shared" si="22"/>
        <v>Betão Armado</v>
      </c>
    </row>
    <row r="21" spans="1:17" ht="20" customHeight="1" x14ac:dyDescent="0.35">
      <c r="J21" s="54"/>
      <c r="K21" s="18">
        <v>1</v>
      </c>
      <c r="L21" s="18">
        <v>9</v>
      </c>
      <c r="M21" s="21" t="str">
        <f t="shared" si="23"/>
        <v>1 (Material)</v>
      </c>
      <c r="N21" s="19" t="str">
        <f t="shared" si="24"/>
        <v>3%</v>
      </c>
      <c r="O21" s="26" t="str">
        <f t="shared" si="25"/>
        <v>Vãos Multiplos</v>
      </c>
      <c r="P21" s="26" t="str">
        <f t="shared" si="21"/>
        <v>Antes de 1983</v>
      </c>
      <c r="Q21" s="26" t="str">
        <f t="shared" si="22"/>
        <v>Betão Armado</v>
      </c>
    </row>
    <row r="22" spans="1:17" ht="20" customHeight="1" x14ac:dyDescent="0.35">
      <c r="A22" s="44" t="s">
        <v>38</v>
      </c>
      <c r="B22" s="22">
        <v>8</v>
      </c>
      <c r="C22" s="22">
        <v>4</v>
      </c>
      <c r="D22" s="41">
        <f>B22/SUM(B22:B22)</f>
        <v>1</v>
      </c>
      <c r="E22" s="40"/>
      <c r="F22" s="25" t="str">
        <f>VLOOKUP(C22,$S$1:$V$12,2,FALSE)</f>
        <v>Arco</v>
      </c>
      <c r="G22" s="25" t="str">
        <f>VLOOKUP(C22,$S$1:$V$12,3,FALSE)</f>
        <v>Depois de 1983</v>
      </c>
      <c r="H22" s="25" t="str">
        <f>VLOOKUP(C22,$S$1:$V$12,4,FALSE)</f>
        <v>Betão Armado</v>
      </c>
      <c r="J22" s="55"/>
      <c r="K22" s="18">
        <v>10</v>
      </c>
      <c r="L22" s="18">
        <v>10</v>
      </c>
      <c r="M22" s="21" t="str">
        <f t="shared" si="23"/>
        <v>2 (Ano, Material)</v>
      </c>
      <c r="N22" s="19" t="str">
        <f t="shared" si="24"/>
        <v>30,3%</v>
      </c>
      <c r="O22" s="26" t="str">
        <f t="shared" si="25"/>
        <v>Vãos Multiplos</v>
      </c>
      <c r="P22" s="26" t="str">
        <f t="shared" si="21"/>
        <v>Depois de 1983</v>
      </c>
      <c r="Q22" s="26" t="str">
        <f t="shared" si="22"/>
        <v>Betão Armado</v>
      </c>
    </row>
    <row r="24" spans="1:17" ht="20" customHeight="1" x14ac:dyDescent="0.35">
      <c r="A24" s="52" t="s">
        <v>56</v>
      </c>
      <c r="B24" s="22">
        <v>1</v>
      </c>
      <c r="C24" s="22">
        <v>5</v>
      </c>
      <c r="D24" s="23">
        <f>B24/SUM(B24:B28)</f>
        <v>9.0909090909090912E-2</v>
      </c>
      <c r="E24" s="40"/>
      <c r="F24" s="25" t="str">
        <f t="shared" ref="F24:F28" si="26">VLOOKUP(C24,$S$1:$V$12,2,FALSE)</f>
        <v>Pórtico</v>
      </c>
      <c r="G24" s="25" t="str">
        <f t="shared" ref="G24:G28" si="27">VLOOKUP(C24,$S$1:$V$12,3,FALSE)</f>
        <v>Antes de 1983</v>
      </c>
      <c r="H24" s="25" t="str">
        <f t="shared" ref="H24:H28" si="28">VLOOKUP(C24,$S$1:$V$12,4,FALSE)</f>
        <v>Betão Armado</v>
      </c>
      <c r="J24" s="52" t="s">
        <v>60</v>
      </c>
      <c r="K24" s="22">
        <v>3</v>
      </c>
      <c r="L24" s="22">
        <v>9</v>
      </c>
      <c r="M24" s="41">
        <f>K24/SUM(K24:K29)</f>
        <v>8.1081081081081086E-2</v>
      </c>
      <c r="N24" s="40"/>
      <c r="O24" s="25" t="str">
        <f>VLOOKUP(L24,$S$1:$V$12,2,FALSE)</f>
        <v>Vãos Multiplos</v>
      </c>
      <c r="P24" s="25" t="str">
        <f t="shared" ref="P24:P29" si="29">VLOOKUP(L24,$S$1:$V$12,3,FALSE)</f>
        <v>Antes de 1983</v>
      </c>
      <c r="Q24" s="25" t="str">
        <f t="shared" ref="Q24:Q29" si="30">VLOOKUP(L24,$S$1:$V$12,4,FALSE)</f>
        <v>Betão Armado</v>
      </c>
    </row>
    <row r="25" spans="1:17" ht="20" customHeight="1" x14ac:dyDescent="0.35">
      <c r="A25" s="52"/>
      <c r="B25" s="18">
        <v>7</v>
      </c>
      <c r="C25" s="18">
        <v>6</v>
      </c>
      <c r="D25" s="21" t="str">
        <f>COUNTIF(F25,$F$24)+COUNTIF(G25,$G$24)+COUNTIF(H25,$H$24)&amp;" ("&amp; IF(F25=$F$24,"Estrutura, ","") &amp; IF(G25=$G$24,"Ano, ","") &amp;IF(H25=$H$24,"Material","") &amp; IF(OR(F25=$F$24,G25=$G$24,H25=$H$24),"","Nenhuma") &amp;")"</f>
        <v>2 (Estrutura, Material)</v>
      </c>
      <c r="E25" s="19" t="str">
        <f>ROUND(B25/SUM($B$16:$B$20)*100,0) &amp;"%"</f>
        <v>140%</v>
      </c>
      <c r="F25" s="26" t="str">
        <f t="shared" si="26"/>
        <v>Pórtico</v>
      </c>
      <c r="G25" s="26" t="str">
        <f t="shared" si="27"/>
        <v>Depois de 1983</v>
      </c>
      <c r="H25" s="26" t="str">
        <f t="shared" si="28"/>
        <v>Betão Armado</v>
      </c>
      <c r="J25" s="52"/>
      <c r="K25" s="18">
        <v>1</v>
      </c>
      <c r="L25" s="18">
        <v>1</v>
      </c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1 (Ano, )</v>
      </c>
      <c r="N25" s="19" t="str">
        <f>ROUND(K25/SUM($K$24:$K$29)*100,1) &amp;"%"</f>
        <v>2,7%</v>
      </c>
      <c r="O25" s="26">
        <f>VLOOKUP(L25,$S$1:$V$12,2,FALSE)</f>
        <v>0</v>
      </c>
      <c r="P25" s="26" t="str">
        <f t="shared" si="29"/>
        <v>Antes de 1983</v>
      </c>
      <c r="Q25" s="26" t="str">
        <f t="shared" si="30"/>
        <v>Aço</v>
      </c>
    </row>
    <row r="26" spans="1:17" ht="20" customHeight="1" x14ac:dyDescent="0.35">
      <c r="A26" s="52"/>
      <c r="B26" s="18">
        <v>1</v>
      </c>
      <c r="C26" s="18">
        <v>8</v>
      </c>
      <c r="D26" s="21" t="str">
        <f t="shared" ref="D26:D28" si="31">COUNTIF(F26,$F$24)+COUNTIF(G26,$G$24)+COUNTIF(H26,$H$24)&amp;" ("&amp; IF(F26=$F$24,"Estrutura, ","") &amp; IF(G26=$G$24,"Ano, ","") &amp;IF(H26=$H$24,"Material","") &amp; IF(OR(F26=$F$24,G26=$G$24,H26=$H$24),"","Nenhuma") &amp;")"</f>
        <v>1 (Material)</v>
      </c>
      <c r="E26" s="19" t="str">
        <f>ROUND(B26/SUM($B$16:$B$20)*100,0) &amp;"%"</f>
        <v>20%</v>
      </c>
      <c r="F26" s="26" t="str">
        <f t="shared" si="26"/>
        <v>Tabuleiro simples/apoiado</v>
      </c>
      <c r="G26" s="26" t="str">
        <f t="shared" si="27"/>
        <v>Depois de 1983</v>
      </c>
      <c r="H26" s="26" t="str">
        <f t="shared" si="28"/>
        <v>Betão Armado</v>
      </c>
      <c r="J26" s="52"/>
      <c r="K26" s="18">
        <v>1</v>
      </c>
      <c r="L26" s="18">
        <v>3</v>
      </c>
      <c r="M26" s="21" t="str">
        <f t="shared" ref="M26:M29" si="32">COUNTIF(O26,$O$24)+COUNTIF(P26,$P$24)+COUNTIF(Q26,$Q$24)&amp;" ("&amp; IF(O26=$O$24,"Estrutura, ","") &amp; IF(P26=$P$24,"Ano, ","") &amp;IF(Q26=$Q$24,"Material","") &amp; IF(OR(O26=$O$24,P26=$P$24,Q26=$Q$24),"","Nenhuma") &amp;")"</f>
        <v>2 (Ano, Material)</v>
      </c>
      <c r="N26" s="19" t="str">
        <f t="shared" ref="N26:N29" si="33">ROUND(K26/SUM($K$24:$K$29)*100,1) &amp;"%"</f>
        <v>2,7%</v>
      </c>
      <c r="O26" s="26" t="str">
        <f t="shared" ref="O26:O29" si="34">VLOOKUP(L26,$S$1:$V$12,2,FALSE)</f>
        <v>Arco</v>
      </c>
      <c r="P26" s="26" t="str">
        <f t="shared" si="29"/>
        <v>Antes de 1983</v>
      </c>
      <c r="Q26" s="26" t="str">
        <f t="shared" si="30"/>
        <v>Betão Armado</v>
      </c>
    </row>
    <row r="27" spans="1:17" ht="20" customHeight="1" x14ac:dyDescent="0.35">
      <c r="A27" s="52"/>
      <c r="B27" s="18">
        <v>1</v>
      </c>
      <c r="C27" s="18">
        <v>9</v>
      </c>
      <c r="D27" s="21" t="str">
        <f t="shared" si="31"/>
        <v>2 (Ano, Material)</v>
      </c>
      <c r="E27" s="19" t="str">
        <f>ROUND(B27/SUM($B$16:$B$20)*100,0) &amp;"%"</f>
        <v>20%</v>
      </c>
      <c r="F27" s="26" t="str">
        <f t="shared" si="26"/>
        <v>Vãos Multiplos</v>
      </c>
      <c r="G27" s="26" t="str">
        <f t="shared" si="27"/>
        <v>Antes de 1983</v>
      </c>
      <c r="H27" s="26" t="str">
        <f t="shared" si="28"/>
        <v>Betão Armado</v>
      </c>
      <c r="J27" s="52"/>
      <c r="K27" s="18">
        <v>1</v>
      </c>
      <c r="L27" s="18">
        <v>6</v>
      </c>
      <c r="M27" s="21" t="str">
        <f t="shared" si="32"/>
        <v>1 (Material)</v>
      </c>
      <c r="N27" s="19" t="str">
        <f t="shared" si="33"/>
        <v>2,7%</v>
      </c>
      <c r="O27" s="26" t="str">
        <f t="shared" si="34"/>
        <v>Pórtico</v>
      </c>
      <c r="P27" s="26" t="str">
        <f t="shared" si="29"/>
        <v>Depois de 1983</v>
      </c>
      <c r="Q27" s="26" t="str">
        <f t="shared" si="30"/>
        <v>Betão Armado</v>
      </c>
    </row>
    <row r="28" spans="1:17" ht="20" customHeight="1" x14ac:dyDescent="0.35">
      <c r="A28" s="52"/>
      <c r="B28" s="18">
        <v>1</v>
      </c>
      <c r="C28" s="18">
        <v>10</v>
      </c>
      <c r="D28" s="21" t="str">
        <f t="shared" si="31"/>
        <v>1 (Material)</v>
      </c>
      <c r="E28" s="19" t="str">
        <f>ROUND(B28/SUM($B$16:$B$20)*100,0) &amp;"%"</f>
        <v>20%</v>
      </c>
      <c r="F28" s="26" t="str">
        <f t="shared" si="26"/>
        <v>Vãos Multiplos</v>
      </c>
      <c r="G28" s="26" t="str">
        <f t="shared" si="27"/>
        <v>Depois de 1983</v>
      </c>
      <c r="H28" s="26" t="str">
        <f t="shared" si="28"/>
        <v>Betão Armado</v>
      </c>
      <c r="J28" s="52"/>
      <c r="K28" s="18">
        <v>1</v>
      </c>
      <c r="L28" s="18">
        <v>8</v>
      </c>
      <c r="M28" s="21" t="str">
        <f t="shared" si="32"/>
        <v>1 (Material)</v>
      </c>
      <c r="N28" s="19" t="str">
        <f t="shared" si="33"/>
        <v>2,7%</v>
      </c>
      <c r="O28" s="26" t="str">
        <f t="shared" si="34"/>
        <v>Tabuleiro simples/apoiado</v>
      </c>
      <c r="P28" s="26" t="str">
        <f t="shared" si="29"/>
        <v>Depois de 1983</v>
      </c>
      <c r="Q28" s="26" t="str">
        <f t="shared" si="30"/>
        <v>Betão Armado</v>
      </c>
    </row>
    <row r="29" spans="1:17" ht="20" customHeight="1" x14ac:dyDescent="0.35">
      <c r="J29" s="52"/>
      <c r="K29" s="18">
        <v>30</v>
      </c>
      <c r="L29" s="18">
        <v>10</v>
      </c>
      <c r="M29" s="21" t="str">
        <f t="shared" si="32"/>
        <v>2 (Estrutura, Material)</v>
      </c>
      <c r="N29" s="19" t="str">
        <f t="shared" si="33"/>
        <v>81,1%</v>
      </c>
      <c r="O29" s="26" t="str">
        <f t="shared" si="34"/>
        <v>Vãos Multiplos</v>
      </c>
      <c r="P29" s="26" t="str">
        <f t="shared" si="29"/>
        <v>Depois de 1983</v>
      </c>
      <c r="Q29" s="26" t="str">
        <f t="shared" si="30"/>
        <v>Betão Armado</v>
      </c>
    </row>
    <row r="31" spans="1:17" ht="20" customHeight="1" x14ac:dyDescent="0.35">
      <c r="J31" s="53" t="s">
        <v>61</v>
      </c>
      <c r="K31" s="22">
        <v>372</v>
      </c>
      <c r="L31" s="22">
        <v>10</v>
      </c>
      <c r="M31" s="41">
        <f>K31/SUM(K31:K35)</f>
        <v>0.9346733668341709</v>
      </c>
      <c r="N31" s="40"/>
      <c r="O31" s="25" t="str">
        <f>VLOOKUP(L31,$S$1:$V$12,2,FALSE)</f>
        <v>Vãos Multiplos</v>
      </c>
      <c r="P31" s="25" t="str">
        <f t="shared" ref="P31:P35" si="35">VLOOKUP(L31,$S$1:$V$12,3,FALSE)</f>
        <v>Depois de 1983</v>
      </c>
      <c r="Q31" s="25" t="str">
        <f t="shared" ref="Q31:Q35" si="36">VLOOKUP(L31,$S$1:$V$12,4,FALSE)</f>
        <v>Betão Armado</v>
      </c>
    </row>
    <row r="32" spans="1:17" ht="20" customHeight="1" x14ac:dyDescent="0.35">
      <c r="J32" s="54"/>
      <c r="K32" s="18">
        <v>2</v>
      </c>
      <c r="L32" s="18">
        <v>4</v>
      </c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2 (Ano, Material)</v>
      </c>
      <c r="N32" s="19" t="str">
        <f>ROUND(K32/SUM($K$31:$K$35)*100,1) &amp;"%"</f>
        <v>0,5%</v>
      </c>
      <c r="O32" s="26" t="str">
        <f>VLOOKUP(L32,$S$1:$V$12,2,FALSE)</f>
        <v>Arco</v>
      </c>
      <c r="P32" s="26" t="str">
        <f t="shared" si="35"/>
        <v>Depois de 1983</v>
      </c>
      <c r="Q32" s="26" t="str">
        <f t="shared" si="36"/>
        <v>Betão Armado</v>
      </c>
    </row>
    <row r="33" spans="10:17" ht="20" customHeight="1" x14ac:dyDescent="0.35">
      <c r="J33" s="54"/>
      <c r="K33" s="18">
        <v>11</v>
      </c>
      <c r="L33" s="18">
        <v>6</v>
      </c>
      <c r="M33" s="21" t="str">
        <f t="shared" ref="M33:M35" si="37">COUNTIF(O33,$O$31)+COUNTIF(P33,$P$31)+COUNTIF(Q33,$Q$31)&amp;" ("&amp; IF(O33=$O$31,"Estrutura, ","") &amp; IF(P33=$P$31,"Ano, ","") &amp;IF(Q33=$Q$31,"Material","") &amp; IF(OR(O33=$O$31,P33=$P$31,Q33=$Q$31),"","Nenhuma") &amp;")"</f>
        <v>2 (Ano, Material)</v>
      </c>
      <c r="N33" s="19" t="str">
        <f t="shared" ref="N33:N35" si="38">ROUND(K33/SUM($K$31:$K$35)*100,1) &amp;"%"</f>
        <v>2,8%</v>
      </c>
      <c r="O33" s="26" t="str">
        <f t="shared" ref="O33:O35" si="39">VLOOKUP(L33,$S$1:$V$12,2,FALSE)</f>
        <v>Pórtico</v>
      </c>
      <c r="P33" s="26" t="str">
        <f t="shared" si="35"/>
        <v>Depois de 1983</v>
      </c>
      <c r="Q33" s="26" t="str">
        <f t="shared" si="36"/>
        <v>Betão Armado</v>
      </c>
    </row>
    <row r="34" spans="10:17" ht="20" customHeight="1" x14ac:dyDescent="0.35">
      <c r="J34" s="54"/>
      <c r="K34" s="18">
        <v>7</v>
      </c>
      <c r="L34" s="18">
        <v>8</v>
      </c>
      <c r="M34" s="21" t="str">
        <f t="shared" si="37"/>
        <v>2 (Ano, Material)</v>
      </c>
      <c r="N34" s="19" t="str">
        <f t="shared" si="38"/>
        <v>1,8%</v>
      </c>
      <c r="O34" s="26" t="str">
        <f t="shared" si="39"/>
        <v>Tabuleiro simples/apoiado</v>
      </c>
      <c r="P34" s="26" t="str">
        <f t="shared" si="35"/>
        <v>Depois de 1983</v>
      </c>
      <c r="Q34" s="26" t="str">
        <f t="shared" si="36"/>
        <v>Betão Armado</v>
      </c>
    </row>
    <row r="35" spans="10:17" ht="20" customHeight="1" x14ac:dyDescent="0.35">
      <c r="J35" s="55"/>
      <c r="K35" s="18">
        <v>6</v>
      </c>
      <c r="L35" s="18">
        <v>9</v>
      </c>
      <c r="M35" s="21" t="str">
        <f t="shared" si="37"/>
        <v>2 (Estrutura, Material)</v>
      </c>
      <c r="N35" s="19" t="str">
        <f t="shared" si="38"/>
        <v>1,5%</v>
      </c>
      <c r="O35" s="26" t="str">
        <f t="shared" si="39"/>
        <v>Vãos Multiplos</v>
      </c>
      <c r="P35" s="26" t="str">
        <f t="shared" si="35"/>
        <v>Antes de 1983</v>
      </c>
      <c r="Q35" s="26" t="str">
        <f t="shared" si="36"/>
        <v>Betão Armado</v>
      </c>
    </row>
  </sheetData>
  <mergeCells count="11">
    <mergeCell ref="J31:J35"/>
    <mergeCell ref="A24:A28"/>
    <mergeCell ref="J2:J8"/>
    <mergeCell ref="J10:J16"/>
    <mergeCell ref="X1:AA1"/>
    <mergeCell ref="A16:A20"/>
    <mergeCell ref="A2:A6"/>
    <mergeCell ref="A8:A10"/>
    <mergeCell ref="A12:A14"/>
    <mergeCell ref="J18:J22"/>
    <mergeCell ref="J24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5" sqref="B5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0.9876160990712074</v>
      </c>
      <c r="C2" s="2">
        <v>0.69230769230769229</v>
      </c>
      <c r="D2" s="2">
        <v>0.69230769230769196</v>
      </c>
      <c r="E2" s="2">
        <v>0.69230769230769229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0.99380804953560375</v>
      </c>
      <c r="C3" s="2">
        <v>0.66666666666666663</v>
      </c>
      <c r="D3" s="2">
        <v>0.4</v>
      </c>
      <c r="E3" s="2">
        <v>0.5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Médio</v>
      </c>
      <c r="K3"/>
    </row>
    <row r="4" spans="1:11" x14ac:dyDescent="0.35">
      <c r="A4" s="37">
        <v>2</v>
      </c>
      <c r="B4" s="43">
        <v>0.99071207430340602</v>
      </c>
      <c r="C4" s="43">
        <v>1</v>
      </c>
      <c r="D4" s="43">
        <v>0.25</v>
      </c>
      <c r="E4" s="43">
        <v>0.4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x14ac:dyDescent="0.35">
      <c r="A5" s="38">
        <v>3</v>
      </c>
      <c r="B5" s="2">
        <v>0.9876160990712074</v>
      </c>
      <c r="C5" s="2">
        <v>0</v>
      </c>
      <c r="D5" s="2">
        <v>0</v>
      </c>
      <c r="E5" s="2">
        <v>0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>
        <v>0.98142414860681115</v>
      </c>
      <c r="C6" s="2">
        <v>0.4</v>
      </c>
      <c r="D6" s="2">
        <v>1</v>
      </c>
      <c r="E6" s="2">
        <v>0.57142857142857151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Baixo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Médio</v>
      </c>
      <c r="K6"/>
    </row>
    <row r="7" spans="1:11" x14ac:dyDescent="0.35">
      <c r="A7" s="15">
        <v>5</v>
      </c>
      <c r="B7" s="2">
        <v>0.97678018575851389</v>
      </c>
      <c r="C7" s="2">
        <v>0.16666666666666671</v>
      </c>
      <c r="D7" s="2">
        <v>9.0909090909090912E-2</v>
      </c>
      <c r="E7" s="2">
        <v>0.1176470588235294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Muito 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0.91950464396284826</v>
      </c>
      <c r="C8" s="2">
        <v>0.71212121212121215</v>
      </c>
      <c r="D8" s="2">
        <v>0.87037037037037035</v>
      </c>
      <c r="E8" s="2">
        <v>0.78333333333333333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0.97368421052631582</v>
      </c>
      <c r="C9" s="2">
        <v>1</v>
      </c>
      <c r="D9" s="2">
        <v>0.15</v>
      </c>
      <c r="E9" s="2">
        <v>0.2608695652173913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Muito Alta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Muito Baixo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0.93962848297213619</v>
      </c>
      <c r="C10" s="2">
        <v>0.38461538461538458</v>
      </c>
      <c r="D10" s="2">
        <v>0.30303030303030298</v>
      </c>
      <c r="E10" s="2">
        <v>0.33898305084745761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Baixo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0.9272445820433437</v>
      </c>
      <c r="C11" s="2">
        <v>0.1875</v>
      </c>
      <c r="D11" s="2">
        <v>8.1081081081081086E-2</v>
      </c>
      <c r="E11" s="2">
        <v>0.1132075471698113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Muito Baixo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Muito Baixo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Muito Baixo</v>
      </c>
      <c r="K11"/>
    </row>
    <row r="12" spans="1:11" x14ac:dyDescent="0.35">
      <c r="A12" s="15">
        <v>10</v>
      </c>
      <c r="B12" s="2">
        <v>0.88235294117647056</v>
      </c>
      <c r="C12" s="2">
        <v>0.88151658767772512</v>
      </c>
      <c r="D12" s="2">
        <v>0.9346733668341709</v>
      </c>
      <c r="E12" s="2">
        <v>0.90731707317073174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0.88235294117647056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7</v>
      </c>
      <c r="H13" s="9">
        <f>COUNTIF(H2:H12,$K$13)</f>
        <v>2</v>
      </c>
      <c r="I13" s="9">
        <f>COUNTIF(I2:I12,$K$13)</f>
        <v>1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0.90731707317073174</v>
      </c>
      <c r="G14" s="9">
        <f>COUNTIF(G2:G12,$K$14)</f>
        <v>3</v>
      </c>
      <c r="H14" s="9">
        <f>COUNTIF(H2:H12,$K$14)</f>
        <v>0</v>
      </c>
      <c r="I14" s="9">
        <f>COUNTIF(I2:I12,$K$14)</f>
        <v>1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2</v>
      </c>
      <c r="I15" s="9">
        <f>COUNTIF(I2:I12,$K$15)</f>
        <v>1</v>
      </c>
      <c r="J15" s="9">
        <f>COUNTIF(J2:J12,$K$15)</f>
        <v>1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1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3</v>
      </c>
      <c r="D17" s="5">
        <f>INDEX($A$2:$A$12,MATCH(D13,D2:D12,0))</f>
        <v>3</v>
      </c>
      <c r="E17" s="5">
        <f>INDEX($A$2:$A$12,MATCH(E13,E2:E12,0))</f>
        <v>3</v>
      </c>
      <c r="G17" s="9">
        <f>COUNTIF(G2:G12,$K$17)</f>
        <v>0</v>
      </c>
      <c r="H17" s="9">
        <f>COUNTIF(H2:H12,$K$17)</f>
        <v>2</v>
      </c>
      <c r="I17" s="9">
        <f>COUNTIF(I2:I12,$K$17)</f>
        <v>3</v>
      </c>
      <c r="J17" s="9">
        <f>COUNTIF(J2:J12,$K$17)</f>
        <v>3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1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2</v>
      </c>
      <c r="I18" s="9">
        <f>COUNTIF(I2:I12,$K$18)</f>
        <v>3</v>
      </c>
      <c r="J18" s="9">
        <f>COUNTIF(J2:J12,$K$18)</f>
        <v>2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4" sqref="O1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0.79</v>
      </c>
    </row>
    <row r="4" spans="14:15" x14ac:dyDescent="0.35">
      <c r="N4" s="18">
        <v>2</v>
      </c>
      <c r="O4" s="18">
        <v>0.81</v>
      </c>
    </row>
    <row r="5" spans="14:15" x14ac:dyDescent="0.35">
      <c r="N5" s="18">
        <v>3</v>
      </c>
      <c r="O5" s="39">
        <v>0.75</v>
      </c>
    </row>
    <row r="6" spans="14:15" x14ac:dyDescent="0.35">
      <c r="N6" s="18">
        <v>4</v>
      </c>
      <c r="O6" s="39">
        <v>0.99</v>
      </c>
    </row>
    <row r="7" spans="14:15" x14ac:dyDescent="0.35">
      <c r="N7" s="18">
        <v>5</v>
      </c>
      <c r="O7" s="39">
        <v>0.68</v>
      </c>
    </row>
    <row r="8" spans="14:15" x14ac:dyDescent="0.35">
      <c r="N8" s="18">
        <v>6</v>
      </c>
      <c r="O8" s="39">
        <v>0.96</v>
      </c>
    </row>
    <row r="9" spans="14:15" x14ac:dyDescent="0.35">
      <c r="N9" s="18">
        <v>7</v>
      </c>
      <c r="O9" s="39">
        <v>0.76</v>
      </c>
    </row>
    <row r="10" spans="14:15" x14ac:dyDescent="0.35">
      <c r="N10" s="18">
        <v>8</v>
      </c>
      <c r="O10" s="39">
        <v>0.83</v>
      </c>
    </row>
    <row r="11" spans="14:15" x14ac:dyDescent="0.35">
      <c r="N11" s="18">
        <v>9</v>
      </c>
      <c r="O11" s="39">
        <v>0.67</v>
      </c>
    </row>
    <row r="12" spans="14:15" x14ac:dyDescent="0.35">
      <c r="N12" s="18">
        <v>10</v>
      </c>
      <c r="O12" s="39">
        <v>0.89</v>
      </c>
    </row>
    <row r="13" spans="14:15" x14ac:dyDescent="0.35">
      <c r="N13"/>
      <c r="O13">
        <f>COUNTIF(O2:O12,"&gt;=0,9")</f>
        <v>3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2024-12-13T12:44:42Z</dcterms:modified>
</cp:coreProperties>
</file>