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19_VERBUND Ausleitungsstrecke Töging\Ausleitungsstrecke_Töging_intern\200 Data Acquisition\240 Fieldwork\03_Daten\Februar_Maerz_2021\Sieving Analyses\Ering\FC\"/>
    </mc:Choice>
  </mc:AlternateContent>
  <bookViews>
    <workbookView xWindow="0" yWindow="0" windowWidth="23040" windowHeight="9195" tabRatio="887" activeTab="3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Kf_Kozeny-Carman" sheetId="14" r:id="rId6"/>
    <sheet name="geometric_std_dev" sheetId="6" r:id="rId7"/>
    <sheet name="Eintrag_Yu&amp;Stand" sheetId="10" r:id="rId8"/>
    <sheet name="Berechnung_Yu&amp;Stand" sheetId="11" r:id="rId9"/>
    <sheet name="Info" sheetId="12" r:id="rId10"/>
  </sheets>
  <externalReferences>
    <externalReference r:id="rId11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7" i="13" l="1"/>
  <c r="D45" i="13"/>
  <c r="D115" i="13" l="1"/>
  <c r="K112" i="13"/>
  <c r="K111" i="13"/>
  <c r="C101" i="13"/>
  <c r="D93" i="13"/>
  <c r="K90" i="13"/>
  <c r="K89" i="13"/>
  <c r="C79" i="13"/>
  <c r="D71" i="13"/>
  <c r="K69" i="13" s="1"/>
  <c r="K66" i="13"/>
  <c r="K65" i="13"/>
  <c r="K64" i="13"/>
  <c r="K63" i="13"/>
  <c r="K62" i="13"/>
  <c r="K61" i="13"/>
  <c r="K60" i="13"/>
  <c r="K59" i="13"/>
  <c r="K58" i="13"/>
  <c r="K57" i="13"/>
  <c r="C57" i="13"/>
  <c r="K56" i="13"/>
  <c r="K55" i="13"/>
  <c r="K54" i="13"/>
  <c r="K53" i="13"/>
  <c r="K67" i="13" s="1"/>
  <c r="I44" i="13"/>
  <c r="F44" i="13"/>
  <c r="G44" i="13" s="1"/>
  <c r="I43" i="13"/>
  <c r="F43" i="13"/>
  <c r="G43" i="13" s="1"/>
  <c r="I42" i="13"/>
  <c r="J42" i="13" s="1"/>
  <c r="F42" i="13"/>
  <c r="G42" i="13" s="1"/>
  <c r="I41" i="13"/>
  <c r="J41" i="13" s="1"/>
  <c r="K41" i="13" s="1"/>
  <c r="C19" i="13" s="1"/>
  <c r="F41" i="13"/>
  <c r="G41" i="13" s="1"/>
  <c r="I40" i="13"/>
  <c r="F40" i="13"/>
  <c r="G40" i="13" s="1"/>
  <c r="I39" i="13"/>
  <c r="J39" i="13" s="1"/>
  <c r="F39" i="13"/>
  <c r="G39" i="13" s="1"/>
  <c r="I38" i="13"/>
  <c r="J38" i="13" s="1"/>
  <c r="K38" i="13" s="1"/>
  <c r="C16" i="13" s="1"/>
  <c r="F38" i="13"/>
  <c r="G38" i="13" s="1"/>
  <c r="I37" i="13"/>
  <c r="J37" i="13" s="1"/>
  <c r="F37" i="13"/>
  <c r="I36" i="13"/>
  <c r="F36" i="13"/>
  <c r="G36" i="13" s="1"/>
  <c r="I35" i="13"/>
  <c r="F35" i="13"/>
  <c r="G35" i="13" s="1"/>
  <c r="C35" i="13"/>
  <c r="C9" i="13" s="1"/>
  <c r="I34" i="13"/>
  <c r="J34" i="13" s="1"/>
  <c r="F34" i="13"/>
  <c r="G34" i="13" s="1"/>
  <c r="I33" i="13"/>
  <c r="G33" i="13"/>
  <c r="F33" i="13"/>
  <c r="K32" i="13"/>
  <c r="K31" i="13"/>
  <c r="C10" i="13"/>
  <c r="K42" i="13" l="1"/>
  <c r="C20" i="13" s="1"/>
  <c r="K68" i="13"/>
  <c r="K35" i="13"/>
  <c r="C13" i="13" s="1"/>
  <c r="K34" i="13"/>
  <c r="C12" i="13" s="1"/>
  <c r="J33" i="13"/>
  <c r="K33" i="13" s="1"/>
  <c r="J36" i="13"/>
  <c r="K36" i="13" s="1"/>
  <c r="C14" i="13" s="1"/>
  <c r="K39" i="13"/>
  <c r="C17" i="13" s="1"/>
  <c r="J44" i="13"/>
  <c r="K44" i="13" s="1"/>
  <c r="C22" i="13" s="1"/>
  <c r="J35" i="13"/>
  <c r="G37" i="13"/>
  <c r="K37" i="13" s="1"/>
  <c r="C15" i="13" s="1"/>
  <c r="J43" i="13"/>
  <c r="K43" i="13" s="1"/>
  <c r="C21" i="13" s="1"/>
  <c r="J40" i="13"/>
  <c r="K40" i="13" s="1"/>
  <c r="C18" i="13" s="1"/>
  <c r="K45" i="13" l="1"/>
  <c r="K46" i="13" s="1"/>
  <c r="C11" i="13"/>
  <c r="C3" i="2" l="1"/>
  <c r="C4" i="2"/>
  <c r="C5" i="2"/>
  <c r="C6" i="2"/>
  <c r="C7" i="2"/>
  <c r="C9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D26" i="2" s="1"/>
  <c r="D25" i="2" s="1"/>
  <c r="D24" i="2" s="1"/>
  <c r="D23" i="2" l="1"/>
  <c r="D22" i="2" s="1"/>
  <c r="D21" i="2" s="1"/>
  <c r="D20" i="2" s="1"/>
  <c r="D19" i="2" s="1"/>
  <c r="D18" i="2" s="1"/>
  <c r="D17" i="2" s="1"/>
  <c r="D16" i="2" s="1"/>
  <c r="D15" i="2" s="1"/>
  <c r="D14" i="2" s="1"/>
  <c r="D13" i="2" s="1"/>
  <c r="D12" i="2" s="1"/>
  <c r="D11" i="2" s="1"/>
  <c r="E20" i="2" s="1"/>
  <c r="J29" i="14"/>
  <c r="E16" i="2" l="1"/>
  <c r="E15" i="2"/>
  <c r="E13" i="2"/>
  <c r="E14" i="2"/>
  <c r="E23" i="2"/>
  <c r="E22" i="2"/>
  <c r="E25" i="2"/>
  <c r="C8" i="2"/>
  <c r="E12" i="2"/>
  <c r="E19" i="2"/>
  <c r="E18" i="2"/>
  <c r="E21" i="2"/>
  <c r="E24" i="2"/>
  <c r="E17" i="2"/>
  <c r="E26" i="2"/>
  <c r="F26" i="2" s="1"/>
  <c r="E11" i="2"/>
  <c r="I31" i="14"/>
  <c r="J30" i="14"/>
  <c r="C26" i="14"/>
  <c r="C25" i="14"/>
  <c r="I26" i="14" s="1"/>
  <c r="C24" i="14"/>
  <c r="I25" i="14" s="1"/>
  <c r="C23" i="14"/>
  <c r="C22" i="14"/>
  <c r="I23" i="14" s="1"/>
  <c r="C21" i="14"/>
  <c r="C20" i="14"/>
  <c r="C19" i="14"/>
  <c r="C18" i="14"/>
  <c r="C17" i="14"/>
  <c r="I18" i="14" s="1"/>
  <c r="C16" i="14"/>
  <c r="I17" i="14" s="1"/>
  <c r="C15" i="14"/>
  <c r="C14" i="14"/>
  <c r="I15" i="14" s="1"/>
  <c r="C13" i="14"/>
  <c r="I13" i="14" s="1"/>
  <c r="C12" i="14"/>
  <c r="C11" i="14"/>
  <c r="F25" i="2" l="1"/>
  <c r="F24" i="2" s="1"/>
  <c r="F23" i="2" s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I12" i="14"/>
  <c r="I20" i="14"/>
  <c r="I22" i="14"/>
  <c r="I14" i="14"/>
  <c r="I24" i="14"/>
  <c r="I16" i="14"/>
  <c r="I19" i="14"/>
  <c r="I21" i="14"/>
  <c r="T19" i="10" l="1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D7" i="14"/>
  <c r="D6" i="14"/>
  <c r="D5" i="14"/>
  <c r="D4" i="14"/>
  <c r="D3" i="14"/>
  <c r="D23" i="14"/>
  <c r="D26" i="14" l="1"/>
  <c r="D9" i="14"/>
  <c r="D12" i="14"/>
  <c r="D13" i="14"/>
  <c r="D14" i="14"/>
  <c r="D22" i="14"/>
  <c r="D11" i="14"/>
  <c r="D19" i="14"/>
  <c r="D16" i="14"/>
  <c r="D20" i="14"/>
  <c r="D17" i="14"/>
  <c r="D18" i="14"/>
  <c r="D21" i="14"/>
  <c r="D15" i="14"/>
  <c r="F3" i="6"/>
  <c r="A16" i="6"/>
  <c r="E26" i="14" l="1"/>
  <c r="D24" i="14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8" i="6" l="1"/>
  <c r="D25" i="14"/>
  <c r="E25" i="14" s="1"/>
  <c r="E24" i="14" s="1"/>
  <c r="E23" i="14" s="1"/>
  <c r="E22" i="14" s="1"/>
  <c r="E21" i="14" s="1"/>
  <c r="E20" i="14" s="1"/>
  <c r="E19" i="14" s="1"/>
  <c r="E18" i="14" s="1"/>
  <c r="E17" i="14" s="1"/>
  <c r="E16" i="14" s="1"/>
  <c r="E15" i="14" s="1"/>
  <c r="E14" i="14" s="1"/>
  <c r="E13" i="14" s="1"/>
  <c r="E12" i="14" s="1"/>
  <c r="E11" i="14" s="1"/>
  <c r="E17" i="6"/>
  <c r="E15" i="6"/>
  <c r="E11" i="6"/>
  <c r="E7" i="6"/>
  <c r="E13" i="6"/>
  <c r="E14" i="6"/>
  <c r="E10" i="6"/>
  <c r="E6" i="6"/>
  <c r="E9" i="6"/>
  <c r="E16" i="6"/>
  <c r="E12" i="6"/>
  <c r="E8" i="6"/>
  <c r="F25" i="14" l="1"/>
  <c r="J25" i="14" s="1"/>
  <c r="F23" i="14"/>
  <c r="J23" i="14" s="1"/>
  <c r="F19" i="14"/>
  <c r="J19" i="14" s="1"/>
  <c r="F22" i="14"/>
  <c r="J22" i="14" s="1"/>
  <c r="F15" i="14"/>
  <c r="J15" i="14" s="1"/>
  <c r="F21" i="14"/>
  <c r="J21" i="14" s="1"/>
  <c r="F11" i="14"/>
  <c r="F18" i="14"/>
  <c r="J18" i="14" s="1"/>
  <c r="F20" i="14"/>
  <c r="J20" i="14" s="1"/>
  <c r="F14" i="14"/>
  <c r="J14" i="14" s="1"/>
  <c r="F26" i="14"/>
  <c r="G26" i="14" s="1"/>
  <c r="F17" i="14"/>
  <c r="J17" i="14" s="1"/>
  <c r="F12" i="14"/>
  <c r="J12" i="14" s="1"/>
  <c r="F13" i="14"/>
  <c r="J13" i="14" s="1"/>
  <c r="F16" i="14"/>
  <c r="J16" i="14" s="1"/>
  <c r="F24" i="14"/>
  <c r="J24" i="14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AW14" i="11"/>
  <c r="DS84" i="11" s="1"/>
  <c r="DS336" i="11" s="1"/>
  <c r="AV14" i="11"/>
  <c r="AU14" i="11"/>
  <c r="AT14" i="11"/>
  <c r="AS14" i="11"/>
  <c r="DS80" i="11" s="1"/>
  <c r="DS332" i="11" s="1"/>
  <c r="AR14" i="11"/>
  <c r="AQ14" i="1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AK14" i="11"/>
  <c r="AJ14" i="11"/>
  <c r="AI14" i="11"/>
  <c r="AH14" i="11"/>
  <c r="AG14" i="11"/>
  <c r="AF14" i="11"/>
  <c r="AE14" i="11"/>
  <c r="DR66" i="11" s="1"/>
  <c r="DR318" i="11" s="1"/>
  <c r="AD14" i="11"/>
  <c r="AC14" i="11"/>
  <c r="AB14" i="11"/>
  <c r="AA14" i="11"/>
  <c r="Z14" i="11"/>
  <c r="Y14" i="11"/>
  <c r="X14" i="11"/>
  <c r="W14" i="11"/>
  <c r="DR58" i="11" s="1"/>
  <c r="DR310" i="11" s="1"/>
  <c r="V14" i="11"/>
  <c r="U14" i="11"/>
  <c r="T14" i="11"/>
  <c r="S14" i="11"/>
  <c r="R14" i="11"/>
  <c r="Q14" i="11"/>
  <c r="P14" i="11"/>
  <c r="O14" i="11"/>
  <c r="DR50" i="11" s="1"/>
  <c r="N14" i="11"/>
  <c r="M14" i="11"/>
  <c r="L14" i="11"/>
  <c r="K14" i="11"/>
  <c r="J14" i="11"/>
  <c r="I14" i="11"/>
  <c r="H14" i="11"/>
  <c r="G14" i="11"/>
  <c r="DR42" i="11" s="1"/>
  <c r="F14" i="11"/>
  <c r="E14" i="1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G25" i="14" l="1"/>
  <c r="G24" i="14" s="1"/>
  <c r="G23" i="14" s="1"/>
  <c r="G22" i="14" s="1"/>
  <c r="G21" i="14" s="1"/>
  <c r="G20" i="14" s="1"/>
  <c r="G19" i="14" s="1"/>
  <c r="G18" i="14" s="1"/>
  <c r="G17" i="14" s="1"/>
  <c r="G16" i="14" s="1"/>
  <c r="G15" i="14" s="1"/>
  <c r="G14" i="14" s="1"/>
  <c r="G13" i="14" s="1"/>
  <c r="G12" i="14" s="1"/>
  <c r="G11" i="14" s="1"/>
  <c r="DQ82" i="11"/>
  <c r="DQ334" i="11" s="1"/>
  <c r="DT40" i="11"/>
  <c r="DT48" i="11"/>
  <c r="J27" i="14"/>
  <c r="J32" i="14" s="1"/>
  <c r="N12" i="14" s="1"/>
  <c r="DQ45" i="11"/>
  <c r="DQ53" i="11"/>
  <c r="DQ61" i="11"/>
  <c r="DQ313" i="11" s="1"/>
  <c r="DQ69" i="11"/>
  <c r="DQ321" i="11" s="1"/>
  <c r="DO85" i="11"/>
  <c r="DO337" i="11" s="1"/>
  <c r="DR46" i="11"/>
  <c r="DR54" i="11"/>
  <c r="DR62" i="11"/>
  <c r="DR314" i="11" s="1"/>
  <c r="DR70" i="11"/>
  <c r="DR322" i="11" s="1"/>
  <c r="DQ78" i="11"/>
  <c r="DQ330" i="11" s="1"/>
  <c r="DQ41" i="11"/>
  <c r="DQ49" i="11"/>
  <c r="DQ57" i="11"/>
  <c r="DQ309" i="11" s="1"/>
  <c r="DQ65" i="11"/>
  <c r="DQ317" i="11" s="1"/>
  <c r="DQ73" i="11"/>
  <c r="DQ325" i="11" s="1"/>
  <c r="DR81" i="11"/>
  <c r="DR333" i="11" s="1"/>
  <c r="BV32" i="1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D8" i="14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C35" i="2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54" i="2" l="1"/>
  <c r="C52" i="2"/>
  <c r="C31" i="2"/>
  <c r="C33" i="2"/>
  <c r="C47" i="2"/>
  <c r="C50" i="2"/>
  <c r="E42" i="2"/>
  <c r="C51" i="2"/>
  <c r="C48" i="2"/>
  <c r="C34" i="2"/>
  <c r="C36" i="2"/>
  <c r="C37" i="2"/>
  <c r="C30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853" i="1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832" i="11" s="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826" i="11" s="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832" i="11" s="1"/>
  <c r="BR666" i="11"/>
  <c r="BR919" i="11" s="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848" i="11" s="1"/>
  <c r="BR567" i="11"/>
  <c r="BR820" i="11" s="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846" i="11" s="1"/>
  <c r="BB563" i="11"/>
  <c r="BB816" i="11" s="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834" i="11" s="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836" i="11" s="1"/>
  <c r="DE670" i="11"/>
  <c r="DE923" i="11" s="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807" i="11" s="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832" i="11" s="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843" i="11" s="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832" i="1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R1079" i="11" l="1"/>
  <c r="K1079" i="1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R8" i="10" l="1"/>
  <c r="C53" i="2"/>
  <c r="B1101" i="11"/>
  <c r="N11" i="14" l="1"/>
  <c r="N13" i="14" s="1"/>
  <c r="N15" i="14" s="1"/>
</calcChain>
</file>

<file path=xl/sharedStrings.xml><?xml version="1.0" encoding="utf-8"?>
<sst xmlns="http://schemas.openxmlformats.org/spreadsheetml/2006/main" count="396" uniqueCount="226">
  <si>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</si>
  <si>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</si>
  <si>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</si>
  <si>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</si>
  <si>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</si>
  <si>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</si>
  <si>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</si>
  <si>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</si>
  <si>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</si>
  <si>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</si>
  <si>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</si>
  <si>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</si>
  <si>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</si>
  <si>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</si>
  <si>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</si>
  <si>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</si>
  <si>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</si>
  <si>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</si>
  <si>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</si>
  <si>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</si>
  <si>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</si>
  <si>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</si>
  <si>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</si>
  <si>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</si>
  <si>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</si>
  <si>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</si>
  <si>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</si>
  <si>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</si>
  <si>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</si>
  <si>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</si>
  <si>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</si>
  <si>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</si>
  <si>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</si>
  <si>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</si>
  <si>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</si>
  <si>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</si>
  <si>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</si>
  <si>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</si>
  <si>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</si>
  <si>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</si>
  <si>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</si>
  <si>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</si>
  <si>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</si>
  <si>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</si>
  <si>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</si>
  <si>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</si>
  <si>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</si>
  <si>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</si>
  <si>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</si>
  <si>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</si>
  <si>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</si>
  <si>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</si>
  <si>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</si>
  <si>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</si>
  <si>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</si>
  <si>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</si>
  <si>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</si>
  <si>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</si>
  <si>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</si>
  <si>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</si>
  <si>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</si>
  <si>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</si>
  <si>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</si>
  <si>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</si>
  <si>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</si>
  <si>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</si>
  <si>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</si>
  <si>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</si>
  <si>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</si>
  <si>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</si>
  <si>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</si>
  <si>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</si>
  <si>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</si>
  <si>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</si>
  <si>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</si>
  <si>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</si>
  <si>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</si>
  <si>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</si>
  <si>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</si>
  <si>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</si>
  <si>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</si>
  <si>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</si>
  <si>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</si>
  <si>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</si>
  <si>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</si>
  <si>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</si>
  <si>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</si>
  <si>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</si>
  <si>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</si>
  <si>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</si>
  <si>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</si>
  <si>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</si>
  <si>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</si>
  <si>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</si>
  <si>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</si>
  <si>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</si>
  <si>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</si>
  <si>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</si>
  <si>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</si>
  <si>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</si>
  <si>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</si>
  <si>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</si>
  <si>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</si>
  <si>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</si>
  <si>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</si>
  <si>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</si>
  <si>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</si>
  <si>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</si>
  <si>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</si>
  <si>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</si>
  <si>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</si>
  <si>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</si>
  <si>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</si>
  <si>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</si>
  <si>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</si>
  <si>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</si>
  <si>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</si>
  <si>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</si>
  <si>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</si>
  <si>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</si>
  <si>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</si>
  <si>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</si>
  <si>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</si>
  <si>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</si>
  <si>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</si>
  <si>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</si>
  <si>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</si>
  <si>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</si>
  <si>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</si>
  <si>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</si>
  <si>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</si>
  <si>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</si>
  <si>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</si>
  <si>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</si>
  <si>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</si>
  <si>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</si>
  <si>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</si>
  <si>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</si>
  <si>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</si>
  <si>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</si>
  <si>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</si>
  <si>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</si>
  <si>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</si>
  <si>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</si>
  <si>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</si>
  <si>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</si>
  <si>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</si>
  <si>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</si>
  <si>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</si>
  <si>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</si>
  <si>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</si>
  <si>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</si>
  <si>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</si>
  <si>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</si>
  <si>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</si>
  <si>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</si>
  <si>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</si>
  <si>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</si>
  <si>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</si>
  <si>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</si>
  <si>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</si>
  <si>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</si>
  <si>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</si>
  <si>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</si>
  <si>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</si>
  <si>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</si>
  <si>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</si>
  <si>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</si>
  <si>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</si>
  <si>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</si>
  <si>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</si>
  <si>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</si>
  <si>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</si>
  <si>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</si>
  <si>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</si>
  <si>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</si>
  <si>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</si>
  <si>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</si>
  <si>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</si>
  <si>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</si>
  <si>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</si>
  <si>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</si>
  <si>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</si>
  <si>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</si>
  <si>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</si>
  <si>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</si>
  <si>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</si>
  <si>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</si>
  <si>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</si>
  <si>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</si>
  <si>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</si>
  <si>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</si>
  <si>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</si>
  <si>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</si>
  <si>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</si>
  <si>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</si>
  <si>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</si>
  <si>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</si>
  <si>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</si>
  <si>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</si>
  <si>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</si>
  <si>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</si>
  <si>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Hydraulic Conductivity k_f</t>
  </si>
  <si>
    <t>Kozeny-Carman-Equation</t>
  </si>
  <si>
    <t>Grain size [cm]</t>
  </si>
  <si>
    <t>D_ave_i [cm]</t>
  </si>
  <si>
    <t>Deff_i [cm]</t>
  </si>
  <si>
    <t>SF</t>
  </si>
  <si>
    <t>rounded sediments</t>
  </si>
  <si>
    <t>n</t>
  </si>
  <si>
    <t>e</t>
  </si>
  <si>
    <t>kf K-C</t>
  </si>
  <si>
    <t>[m/s]</t>
  </si>
  <si>
    <t>Parameter</t>
  </si>
  <si>
    <t>Forchheimer</t>
  </si>
  <si>
    <t>d_m</t>
  </si>
  <si>
    <t>a</t>
  </si>
  <si>
    <t>--&gt; Kehrwert von hydraulischen Durchlässigkeit</t>
  </si>
  <si>
    <t>b</t>
  </si>
  <si>
    <t>--&gt; Forchheimer Koeffizient</t>
  </si>
  <si>
    <t>b/a</t>
  </si>
  <si>
    <t xml:space="preserve"> --&gt; Parameter für Pythonskript</t>
  </si>
  <si>
    <r>
      <t xml:space="preserve">porosity measurement  </t>
    </r>
    <r>
      <rPr>
        <sz val="10"/>
        <color rgb="FFFF0000"/>
        <rFont val="Arial"/>
        <family val="2"/>
      </rPr>
      <t>(</t>
    </r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Hinweis in Quell-Excel des Wertes!!!)</t>
    </r>
  </si>
  <si>
    <r>
      <rPr>
        <b/>
        <sz val="10"/>
        <color rgb="FFFF0000"/>
        <rFont val="Arial"/>
        <family val="2"/>
      </rPr>
      <t>ACHTUNG</t>
    </r>
    <r>
      <rPr>
        <sz val="10"/>
        <color rgb="FFFF0000"/>
        <rFont val="Arial"/>
        <family val="2"/>
      </rPr>
      <t xml:space="preserve"> (s. u.)</t>
    </r>
  </si>
  <si>
    <t>Nach Spülung:</t>
  </si>
  <si>
    <t>MS3_FC2-2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</si>
</sst>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486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166" fontId="0" fillId="0" borderId="14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5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6" xfId="0" applyNumberFormat="1" applyBorder="1"/>
    <xf numFmtId="169" fontId="0" fillId="0" borderId="13" xfId="0" applyNumberFormat="1" applyFill="1" applyBorder="1" applyAlignment="1">
      <alignment horizontal="center"/>
    </xf>
    <xf numFmtId="165" fontId="0" fillId="0" borderId="13" xfId="0" applyNumberFormat="1" applyFill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1" xfId="0" applyFont="1" applyFill="1" applyBorder="1" applyAlignment="1">
      <alignment horizontal="center"/>
    </xf>
    <xf numFmtId="0" fontId="12" fillId="10" borderId="42" xfId="0" applyFont="1" applyFill="1" applyBorder="1" applyAlignment="1">
      <alignment horizontal="center"/>
    </xf>
    <xf numFmtId="0" fontId="12" fillId="8" borderId="42" xfId="0" applyFont="1" applyFill="1" applyBorder="1" applyAlignment="1">
      <alignment horizontal="center"/>
    </xf>
    <xf numFmtId="0" fontId="16" fillId="10" borderId="42" xfId="0" applyFont="1" applyFill="1" applyBorder="1" applyAlignment="1">
      <alignment horizontal="center"/>
    </xf>
    <xf numFmtId="0" fontId="16" fillId="8" borderId="42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1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2" xfId="2" applyFont="1" applyBorder="1"/>
    <xf numFmtId="0" fontId="23" fillId="0" borderId="42" xfId="2" applyFont="1" applyBorder="1"/>
    <xf numFmtId="0" fontId="23" fillId="0" borderId="42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3" xfId="2" applyFont="1" applyFill="1" applyBorder="1"/>
    <xf numFmtId="0" fontId="9" fillId="12" borderId="28" xfId="2" applyFont="1" applyFill="1" applyBorder="1"/>
    <xf numFmtId="0" fontId="9" fillId="12" borderId="20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5" xfId="2" applyFont="1" applyFill="1" applyBorder="1"/>
    <xf numFmtId="0" fontId="9" fillId="12" borderId="37" xfId="2" applyFont="1" applyFill="1" applyBorder="1"/>
    <xf numFmtId="0" fontId="8" fillId="12" borderId="45" xfId="2" applyFont="1" applyFill="1" applyBorder="1" applyAlignment="1">
      <alignment horizontal="center"/>
    </xf>
    <xf numFmtId="0" fontId="8" fillId="12" borderId="37" xfId="2" applyFont="1" applyFill="1" applyBorder="1" applyAlignment="1">
      <alignment horizontal="center"/>
    </xf>
    <xf numFmtId="0" fontId="8" fillId="12" borderId="46" xfId="2" applyFont="1" applyFill="1" applyBorder="1" applyAlignment="1">
      <alignment horizontal="center"/>
    </xf>
    <xf numFmtId="0" fontId="9" fillId="12" borderId="47" xfId="2" applyFont="1" applyFill="1" applyBorder="1"/>
    <xf numFmtId="0" fontId="9" fillId="12" borderId="0" xfId="2" applyFont="1" applyFill="1" applyBorder="1"/>
    <xf numFmtId="1" fontId="26" fillId="13" borderId="45" xfId="2" applyNumberFormat="1" applyFont="1" applyFill="1" applyBorder="1" applyAlignment="1">
      <alignment horizontal="center"/>
    </xf>
    <xf numFmtId="1" fontId="26" fillId="13" borderId="37" xfId="2" applyNumberFormat="1" applyFont="1" applyFill="1" applyBorder="1" applyAlignment="1">
      <alignment horizontal="center"/>
    </xf>
    <xf numFmtId="167" fontId="26" fillId="13" borderId="37" xfId="2" applyNumberFormat="1" applyFont="1" applyFill="1" applyBorder="1" applyAlignment="1">
      <alignment horizontal="center"/>
    </xf>
    <xf numFmtId="2" fontId="26" fillId="13" borderId="37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0" fontId="8" fillId="13" borderId="46" xfId="2" applyFont="1" applyFill="1" applyBorder="1"/>
    <xf numFmtId="0" fontId="9" fillId="12" borderId="48" xfId="2" applyFont="1" applyFill="1" applyBorder="1"/>
    <xf numFmtId="0" fontId="9" fillId="12" borderId="42" xfId="2" applyFont="1" applyFill="1" applyBorder="1"/>
    <xf numFmtId="2" fontId="8" fillId="13" borderId="48" xfId="2" applyNumberFormat="1" applyFont="1" applyFill="1" applyBorder="1" applyAlignment="1">
      <alignment horizontal="center"/>
    </xf>
    <xf numFmtId="2" fontId="8" fillId="13" borderId="42" xfId="2" applyNumberFormat="1" applyFont="1" applyFill="1" applyBorder="1" applyAlignment="1">
      <alignment horizontal="center"/>
    </xf>
    <xf numFmtId="2" fontId="8" fillId="13" borderId="42" xfId="2" applyNumberFormat="1" applyFont="1" applyFill="1" applyBorder="1"/>
    <xf numFmtId="0" fontId="8" fillId="13" borderId="42" xfId="2" applyFont="1" applyFill="1" applyBorder="1"/>
    <xf numFmtId="0" fontId="8" fillId="13" borderId="49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3" xfId="2" applyFont="1" applyFill="1" applyBorder="1" applyAlignment="1">
      <alignment horizontal="left"/>
    </xf>
    <xf numFmtId="0" fontId="8" fillId="12" borderId="28" xfId="2" applyFont="1" applyFill="1" applyBorder="1" applyAlignment="1">
      <alignment horizontal="center"/>
    </xf>
    <xf numFmtId="0" fontId="8" fillId="12" borderId="20" xfId="2" applyFont="1" applyFill="1" applyBorder="1"/>
    <xf numFmtId="0" fontId="8" fillId="12" borderId="47" xfId="2" applyFont="1" applyFill="1" applyBorder="1"/>
    <xf numFmtId="0" fontId="8" fillId="12" borderId="0" xfId="2" applyFont="1" applyFill="1" applyBorder="1"/>
    <xf numFmtId="0" fontId="8" fillId="0" borderId="45" xfId="2" applyFont="1" applyFill="1" applyBorder="1" applyAlignment="1">
      <alignment horizontal="center"/>
    </xf>
    <xf numFmtId="0" fontId="8" fillId="0" borderId="37" xfId="2" applyFont="1" applyFill="1" applyBorder="1" applyAlignment="1">
      <alignment horizontal="center"/>
    </xf>
    <xf numFmtId="0" fontId="8" fillId="0" borderId="46" xfId="2" applyFont="1" applyFill="1" applyBorder="1" applyAlignment="1">
      <alignment horizontal="center"/>
    </xf>
    <xf numFmtId="0" fontId="8" fillId="0" borderId="47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5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7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5" xfId="2" applyNumberFormat="1" applyFont="1" applyFill="1" applyBorder="1" applyAlignment="1">
      <alignment horizontal="center"/>
    </xf>
    <xf numFmtId="2" fontId="27" fillId="0" borderId="48" xfId="2" applyNumberFormat="1" applyFont="1" applyFill="1" applyBorder="1" applyAlignment="1">
      <alignment horizontal="center"/>
    </xf>
    <xf numFmtId="2" fontId="27" fillId="0" borderId="42" xfId="2" applyNumberFormat="1" applyFont="1" applyFill="1" applyBorder="1" applyAlignment="1">
      <alignment horizontal="center"/>
    </xf>
    <xf numFmtId="2" fontId="8" fillId="0" borderId="42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0" fontId="26" fillId="12" borderId="45" xfId="2" applyFont="1" applyFill="1" applyBorder="1"/>
    <xf numFmtId="0" fontId="26" fillId="12" borderId="37" xfId="2" applyFont="1" applyFill="1" applyBorder="1"/>
    <xf numFmtId="0" fontId="26" fillId="12" borderId="46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5" xfId="2" applyNumberFormat="1" applyFont="1" applyFill="1" applyBorder="1" applyAlignment="1">
      <alignment horizontal="center"/>
    </xf>
    <xf numFmtId="0" fontId="8" fillId="12" borderId="48" xfId="2" applyFont="1" applyFill="1" applyBorder="1"/>
    <xf numFmtId="0" fontId="8" fillId="12" borderId="42" xfId="2" applyFont="1" applyFill="1" applyBorder="1"/>
    <xf numFmtId="0" fontId="8" fillId="12" borderId="49" xfId="2" applyFont="1" applyFill="1" applyBorder="1"/>
    <xf numFmtId="2" fontId="27" fillId="12" borderId="42" xfId="2" applyNumberFormat="1" applyFont="1" applyFill="1" applyBorder="1" applyAlignment="1">
      <alignment horizontal="center"/>
    </xf>
    <xf numFmtId="2" fontId="8" fillId="12" borderId="42" xfId="2" applyNumberFormat="1" applyFont="1" applyFill="1" applyBorder="1" applyAlignment="1">
      <alignment horizontal="center"/>
    </xf>
    <xf numFmtId="2" fontId="27" fillId="12" borderId="49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8" xfId="2" applyNumberFormat="1" applyFont="1" applyFill="1" applyBorder="1" applyAlignment="1">
      <alignment horizontal="center"/>
    </xf>
    <xf numFmtId="0" fontId="8" fillId="12" borderId="28" xfId="2" applyFont="1" applyFill="1" applyBorder="1"/>
    <xf numFmtId="2" fontId="8" fillId="12" borderId="20" xfId="2" applyNumberFormat="1" applyFont="1" applyFill="1" applyBorder="1"/>
    <xf numFmtId="2" fontId="8" fillId="0" borderId="45" xfId="2" applyNumberFormat="1" applyFont="1" applyFill="1" applyBorder="1" applyAlignment="1">
      <alignment horizontal="center"/>
    </xf>
    <xf numFmtId="2" fontId="27" fillId="0" borderId="37" xfId="2" applyNumberFormat="1" applyFont="1" applyFill="1" applyBorder="1" applyAlignment="1">
      <alignment horizontal="center"/>
    </xf>
    <xf numFmtId="2" fontId="27" fillId="0" borderId="46" xfId="2" applyNumberFormat="1" applyFont="1" applyFill="1" applyBorder="1" applyAlignment="1">
      <alignment horizontal="center"/>
    </xf>
    <xf numFmtId="2" fontId="8" fillId="12" borderId="35" xfId="2" applyNumberFormat="1" applyFont="1" applyFill="1" applyBorder="1"/>
    <xf numFmtId="2" fontId="27" fillId="0" borderId="47" xfId="2" applyNumberFormat="1" applyFont="1" applyFill="1" applyBorder="1" applyAlignment="1">
      <alignment horizontal="center"/>
    </xf>
    <xf numFmtId="2" fontId="27" fillId="0" borderId="35" xfId="2" applyNumberFormat="1" applyFont="1" applyFill="1" applyBorder="1" applyAlignment="1">
      <alignment horizontal="center"/>
    </xf>
    <xf numFmtId="0" fontId="8" fillId="12" borderId="47" xfId="2" quotePrefix="1" applyFont="1" applyFill="1" applyBorder="1"/>
    <xf numFmtId="0" fontId="8" fillId="12" borderId="48" xfId="2" quotePrefix="1" applyFont="1" applyFill="1" applyBorder="1"/>
    <xf numFmtId="2" fontId="8" fillId="12" borderId="49" xfId="2" applyNumberFormat="1" applyFont="1" applyFill="1" applyBorder="1"/>
    <xf numFmtId="0" fontId="8" fillId="12" borderId="37" xfId="2" applyFont="1" applyFill="1" applyBorder="1"/>
    <xf numFmtId="0" fontId="8" fillId="12" borderId="46" xfId="2" applyFont="1" applyFill="1" applyBorder="1"/>
    <xf numFmtId="2" fontId="27" fillId="12" borderId="37" xfId="2" applyNumberFormat="1" applyFont="1" applyFill="1" applyBorder="1" applyAlignment="1">
      <alignment horizontal="center"/>
    </xf>
    <xf numFmtId="2" fontId="8" fillId="12" borderId="37" xfId="2" applyNumberFormat="1" applyFont="1" applyFill="1" applyBorder="1" applyAlignment="1">
      <alignment horizontal="center"/>
    </xf>
    <xf numFmtId="2" fontId="27" fillId="12" borderId="46" xfId="2" applyNumberFormat="1" applyFont="1" applyFill="1" applyBorder="1" applyAlignment="1">
      <alignment horizontal="center"/>
    </xf>
    <xf numFmtId="0" fontId="8" fillId="12" borderId="35" xfId="2" applyFont="1" applyFill="1" applyBorder="1"/>
    <xf numFmtId="2" fontId="38" fillId="12" borderId="42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3" xfId="2" applyFont="1" applyFill="1" applyBorder="1"/>
    <xf numFmtId="0" fontId="40" fillId="12" borderId="47" xfId="2" applyFont="1" applyFill="1" applyBorder="1"/>
    <xf numFmtId="1" fontId="8" fillId="0" borderId="45" xfId="2" applyNumberFormat="1" applyFont="1" applyFill="1" applyBorder="1" applyAlignment="1">
      <alignment horizontal="center"/>
    </xf>
    <xf numFmtId="1" fontId="8" fillId="0" borderId="37" xfId="2" applyNumberFormat="1" applyFont="1" applyFill="1" applyBorder="1" applyAlignment="1">
      <alignment horizontal="center"/>
    </xf>
    <xf numFmtId="1" fontId="8" fillId="0" borderId="46" xfId="2" applyNumberFormat="1" applyFont="1" applyFill="1" applyBorder="1" applyAlignment="1">
      <alignment horizontal="center"/>
    </xf>
    <xf numFmtId="2" fontId="40" fillId="12" borderId="48" xfId="2" applyNumberFormat="1" applyFont="1" applyFill="1" applyBorder="1" applyAlignment="1">
      <alignment horizontal="left"/>
    </xf>
    <xf numFmtId="1" fontId="8" fillId="0" borderId="48" xfId="2" applyNumberFormat="1" applyFont="1" applyBorder="1" applyAlignment="1">
      <alignment horizontal="center"/>
    </xf>
    <xf numFmtId="1" fontId="8" fillId="0" borderId="42" xfId="2" applyNumberFormat="1" applyFont="1" applyBorder="1" applyAlignment="1">
      <alignment horizontal="center"/>
    </xf>
    <xf numFmtId="1" fontId="8" fillId="0" borderId="49" xfId="2" applyNumberFormat="1" applyFont="1" applyFill="1" applyBorder="1" applyAlignment="1">
      <alignment horizontal="center"/>
    </xf>
    <xf numFmtId="0" fontId="8" fillId="12" borderId="45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5" xfId="2" applyNumberFormat="1" applyFont="1" applyFill="1" applyBorder="1" applyAlignment="1">
      <alignment horizontal="center"/>
    </xf>
    <xf numFmtId="167" fontId="8" fillId="0" borderId="37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47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5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42" xfId="2" applyNumberFormat="1" applyFont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2" xfId="2" applyFont="1" applyFill="1" applyBorder="1"/>
    <xf numFmtId="2" fontId="38" fillId="12" borderId="48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2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3" xfId="2" applyNumberFormat="1" applyFont="1" applyFill="1" applyBorder="1" applyAlignment="1">
      <alignment horizontal="center"/>
    </xf>
    <xf numFmtId="167" fontId="8" fillId="0" borderId="28" xfId="2" applyNumberFormat="1" applyFont="1" applyFill="1" applyBorder="1" applyAlignment="1">
      <alignment horizontal="center"/>
    </xf>
    <xf numFmtId="167" fontId="8" fillId="0" borderId="20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7" xfId="2" applyNumberFormat="1" applyFont="1" applyFill="1" applyBorder="1" applyAlignment="1">
      <alignment horizontal="center"/>
    </xf>
    <xf numFmtId="167" fontId="8" fillId="13" borderId="22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6" xfId="2" applyNumberFormat="1" applyFont="1" applyFill="1" applyBorder="1"/>
    <xf numFmtId="0" fontId="8" fillId="13" borderId="36" xfId="2" applyFont="1" applyFill="1" applyBorder="1"/>
    <xf numFmtId="167" fontId="8" fillId="12" borderId="42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167" fontId="8" fillId="12" borderId="28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5" xfId="2" applyFont="1" applyFill="1" applyBorder="1"/>
    <xf numFmtId="0" fontId="45" fillId="14" borderId="46" xfId="2" applyFont="1" applyFill="1" applyBorder="1"/>
    <xf numFmtId="2" fontId="45" fillId="14" borderId="47" xfId="2" applyNumberFormat="1" applyFont="1" applyFill="1" applyBorder="1"/>
    <xf numFmtId="0" fontId="45" fillId="14" borderId="35" xfId="2" applyFont="1" applyFill="1" applyBorder="1"/>
    <xf numFmtId="2" fontId="45" fillId="14" borderId="48" xfId="2" applyNumberFormat="1" applyFont="1" applyFill="1" applyBorder="1"/>
    <xf numFmtId="0" fontId="45" fillId="14" borderId="49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7" xfId="2" applyNumberFormat="1" applyFont="1" applyFill="1" applyBorder="1" applyAlignment="1">
      <alignment horizontal="center"/>
    </xf>
    <xf numFmtId="165" fontId="26" fillId="13" borderId="37" xfId="2" applyNumberFormat="1" applyFont="1" applyFill="1" applyBorder="1" applyAlignment="1">
      <alignment horizontal="center"/>
    </xf>
    <xf numFmtId="166" fontId="26" fillId="13" borderId="37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7" xfId="0" applyFont="1" applyFill="1" applyBorder="1" applyAlignment="1">
      <alignment horizontal="center"/>
    </xf>
    <xf numFmtId="0" fontId="6" fillId="0" borderId="19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5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1" xfId="0" applyFont="1" applyFill="1" applyBorder="1" applyAlignment="1">
      <alignment horizontal="center"/>
    </xf>
    <xf numFmtId="167" fontId="0" fillId="8" borderId="42" xfId="0" applyNumberFormat="1" applyFill="1" applyBorder="1" applyAlignment="1">
      <alignment horizontal="center"/>
    </xf>
    <xf numFmtId="167" fontId="0" fillId="8" borderId="28" xfId="0" applyNumberFormat="1" applyFill="1" applyBorder="1" applyAlignment="1">
      <alignment horizontal="center"/>
    </xf>
    <xf numFmtId="167" fontId="0" fillId="9" borderId="28" xfId="0" applyNumberFormat="1" applyFill="1" applyBorder="1" applyAlignment="1">
      <alignment horizontal="center"/>
    </xf>
    <xf numFmtId="165" fontId="0" fillId="8" borderId="28" xfId="0" applyNumberFormat="1" applyFill="1" applyBorder="1" applyAlignment="1">
      <alignment horizontal="center"/>
    </xf>
    <xf numFmtId="165" fontId="0" fillId="9" borderId="28" xfId="0" applyNumberFormat="1" applyFill="1" applyBorder="1" applyAlignment="1">
      <alignment horizontal="center"/>
    </xf>
    <xf numFmtId="166" fontId="0" fillId="9" borderId="28" xfId="0" applyNumberFormat="1" applyFill="1" applyBorder="1" applyAlignment="1">
      <alignment horizontal="center"/>
    </xf>
    <xf numFmtId="169" fontId="0" fillId="8" borderId="34" xfId="0" applyNumberFormat="1" applyFill="1" applyBorder="1" applyAlignment="1">
      <alignment horizontal="center"/>
    </xf>
    <xf numFmtId="0" fontId="6" fillId="10" borderId="15" xfId="0" applyFont="1" applyFill="1" applyBorder="1" applyAlignment="1">
      <alignment horizontal="center" wrapText="1"/>
    </xf>
    <xf numFmtId="0" fontId="6" fillId="11" borderId="26" xfId="0" applyFont="1" applyFill="1" applyBorder="1" applyAlignment="1">
      <alignment horizontal="center" wrapText="1"/>
    </xf>
    <xf numFmtId="0" fontId="6" fillId="10" borderId="26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3" xfId="0" applyNumberFormat="1" applyFill="1" applyBorder="1" applyAlignment="1">
      <alignment horizontal="center" vertical="center"/>
    </xf>
    <xf numFmtId="167" fontId="0" fillId="11" borderId="38" xfId="0" applyNumberFormat="1" applyFill="1" applyBorder="1" applyAlignment="1">
      <alignment horizontal="center" vertical="center"/>
    </xf>
    <xf numFmtId="167" fontId="0" fillId="11" borderId="6" xfId="0" applyNumberFormat="1" applyFill="1" applyBorder="1" applyAlignment="1">
      <alignment horizontal="center" vertical="center"/>
    </xf>
    <xf numFmtId="167" fontId="0" fillId="11" borderId="27" xfId="0" applyNumberFormat="1" applyFill="1" applyBorder="1" applyAlignment="1">
      <alignment horizontal="center" vertical="center"/>
    </xf>
    <xf numFmtId="173" fontId="0" fillId="10" borderId="38" xfId="0" applyNumberFormat="1" applyFill="1" applyBorder="1" applyAlignment="1">
      <alignment horizontal="center" vertical="center"/>
    </xf>
    <xf numFmtId="173" fontId="0" fillId="11" borderId="50" xfId="0" applyNumberFormat="1" applyFill="1" applyBorder="1" applyAlignment="1">
      <alignment horizontal="center" vertical="center"/>
    </xf>
    <xf numFmtId="173" fontId="0" fillId="11" borderId="13" xfId="0" applyNumberFormat="1" applyFill="1" applyBorder="1" applyAlignment="1">
      <alignment horizontal="center" vertical="center"/>
    </xf>
    <xf numFmtId="173" fontId="0" fillId="11" borderId="8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5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4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5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5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4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5" xfId="3" applyNumberFormat="1" applyFont="1" applyFill="1" applyBorder="1" applyAlignment="1">
      <alignment horizontal="center"/>
    </xf>
    <xf numFmtId="169" fontId="8" fillId="5" borderId="25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19" xfId="3" applyFont="1" applyFill="1" applyBorder="1" applyAlignment="1">
      <alignment horizontal="center"/>
    </xf>
    <xf numFmtId="165" fontId="8" fillId="0" borderId="20" xfId="3" applyNumberFormat="1" applyFont="1" applyFill="1" applyBorder="1" applyAlignment="1">
      <alignment horizontal="center"/>
    </xf>
    <xf numFmtId="14" fontId="8" fillId="0" borderId="19" xfId="3" applyNumberFormat="1" applyFont="1" applyFill="1" applyBorder="1" applyAlignment="1">
      <alignment horizontal="center"/>
    </xf>
    <xf numFmtId="0" fontId="8" fillId="0" borderId="21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0" borderId="19" xfId="3" applyFont="1" applyFill="1" applyBorder="1"/>
    <xf numFmtId="0" fontId="8" fillId="0" borderId="43" xfId="3" applyFont="1" applyFill="1" applyBorder="1"/>
    <xf numFmtId="0" fontId="8" fillId="15" borderId="22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2" xfId="10" applyBorder="1"/>
    <xf numFmtId="0" fontId="1" fillId="0" borderId="0" xfId="10" applyBorder="1"/>
    <xf numFmtId="0" fontId="4" fillId="2" borderId="53" xfId="3" applyFont="1" applyFill="1" applyBorder="1" applyAlignment="1">
      <alignment horizontal="right"/>
    </xf>
    <xf numFmtId="0" fontId="4" fillId="0" borderId="0" xfId="3"/>
    <xf numFmtId="0" fontId="5" fillId="5" borderId="1" xfId="3" applyFon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0" borderId="0" xfId="3" applyFont="1" applyFill="1" applyBorder="1" applyAlignment="1">
      <alignment horizontal="center"/>
    </xf>
    <xf numFmtId="0" fontId="5" fillId="5" borderId="21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4" fillId="5" borderId="15" xfId="3" applyFill="1" applyBorder="1" applyAlignment="1">
      <alignment horizontal="center"/>
    </xf>
    <xf numFmtId="0" fontId="4" fillId="5" borderId="32" xfId="3" applyFill="1" applyBorder="1" applyAlignment="1">
      <alignment horizontal="center"/>
    </xf>
    <xf numFmtId="14" fontId="4" fillId="0" borderId="0" xfId="3" applyNumberFormat="1" applyFill="1" applyBorder="1" applyAlignment="1">
      <alignment horizontal="center"/>
    </xf>
    <xf numFmtId="0" fontId="4" fillId="5" borderId="16" xfId="3" applyFill="1" applyBorder="1" applyAlignment="1">
      <alignment horizontal="center"/>
    </xf>
    <xf numFmtId="0" fontId="4" fillId="5" borderId="28" xfId="3" applyFill="1" applyBorder="1" applyAlignment="1">
      <alignment horizontal="center"/>
    </xf>
    <xf numFmtId="168" fontId="4" fillId="0" borderId="0" xfId="3" applyNumberFormat="1" applyFill="1" applyBorder="1" applyAlignment="1">
      <alignment horizontal="center"/>
    </xf>
    <xf numFmtId="0" fontId="4" fillId="0" borderId="0" xfId="3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4" fillId="0" borderId="0" xfId="3" applyNumberFormat="1" applyFill="1" applyBorder="1" applyAlignment="1">
      <alignment horizontal="center"/>
    </xf>
    <xf numFmtId="0" fontId="4" fillId="5" borderId="17" xfId="3" applyFill="1" applyBorder="1" applyAlignment="1">
      <alignment horizontal="center"/>
    </xf>
    <xf numFmtId="0" fontId="4" fillId="5" borderId="37" xfId="3" applyFill="1" applyBorder="1" applyAlignment="1">
      <alignment horizontal="center"/>
    </xf>
    <xf numFmtId="0" fontId="4" fillId="0" borderId="43" xfId="3" applyBorder="1"/>
    <xf numFmtId="0" fontId="4" fillId="0" borderId="43" xfId="3" applyBorder="1" applyAlignment="1">
      <alignment horizontal="center"/>
    </xf>
    <xf numFmtId="0" fontId="4" fillId="0" borderId="44" xfId="3" applyBorder="1" applyAlignment="1">
      <alignment horizontal="center"/>
    </xf>
    <xf numFmtId="0" fontId="4" fillId="10" borderId="54" xfId="3" applyFill="1" applyBorder="1" applyAlignment="1">
      <alignment horizontal="center" wrapText="1"/>
    </xf>
    <xf numFmtId="0" fontId="4" fillId="11" borderId="55" xfId="3" applyFill="1" applyBorder="1" applyAlignment="1">
      <alignment horizontal="center" wrapText="1"/>
    </xf>
    <xf numFmtId="0" fontId="4" fillId="10" borderId="55" xfId="3" applyFill="1" applyBorder="1" applyAlignment="1">
      <alignment horizontal="center" wrapText="1"/>
    </xf>
    <xf numFmtId="0" fontId="4" fillId="11" borderId="56" xfId="3" applyFill="1" applyBorder="1" applyAlignment="1">
      <alignment horizontal="center" wrapText="1"/>
    </xf>
    <xf numFmtId="0" fontId="4" fillId="0" borderId="0" xfId="3" applyFill="1" applyBorder="1" applyAlignment="1">
      <alignment horizontal="center" wrapText="1"/>
    </xf>
    <xf numFmtId="0" fontId="4" fillId="0" borderId="0" xfId="3" applyFill="1" applyAlignment="1">
      <alignment wrapText="1"/>
    </xf>
    <xf numFmtId="167" fontId="4" fillId="8" borderId="31" xfId="3" applyNumberFormat="1" applyFill="1" applyBorder="1" applyAlignment="1">
      <alignment horizontal="center"/>
    </xf>
    <xf numFmtId="167" fontId="4" fillId="8" borderId="9" xfId="3" applyNumberFormat="1" applyFill="1" applyBorder="1" applyAlignment="1">
      <alignment horizontal="center"/>
    </xf>
    <xf numFmtId="167" fontId="4" fillId="10" borderId="49" xfId="3" applyNumberFormat="1" applyFill="1" applyBorder="1" applyAlignment="1">
      <alignment horizontal="center" vertical="center"/>
    </xf>
    <xf numFmtId="167" fontId="4" fillId="11" borderId="38" xfId="3" applyNumberFormat="1" applyFill="1" applyBorder="1" applyAlignment="1">
      <alignment horizontal="center" vertical="center"/>
    </xf>
    <xf numFmtId="10" fontId="4" fillId="10" borderId="38" xfId="1" applyNumberFormat="1" applyFill="1" applyBorder="1" applyAlignment="1">
      <alignment horizontal="center" vertical="center"/>
    </xf>
    <xf numFmtId="10" fontId="4" fillId="11" borderId="50" xfId="1" applyNumberFormat="1" applyFill="1" applyBorder="1" applyAlignment="1">
      <alignment horizontal="center" vertical="center"/>
    </xf>
    <xf numFmtId="2" fontId="4" fillId="0" borderId="0" xfId="3" applyNumberFormat="1" applyFill="1" applyBorder="1" applyAlignment="1">
      <alignment horizontal="center" vertical="center"/>
    </xf>
    <xf numFmtId="166" fontId="4" fillId="0" borderId="0" xfId="3" applyNumberFormat="1"/>
    <xf numFmtId="167" fontId="4" fillId="8" borderId="57" xfId="3" applyNumberFormat="1" applyFill="1" applyBorder="1" applyAlignment="1">
      <alignment horizontal="center"/>
    </xf>
    <xf numFmtId="167" fontId="4" fillId="8" borderId="58" xfId="3" applyNumberFormat="1" applyFill="1" applyBorder="1" applyAlignment="1">
      <alignment horizontal="center"/>
    </xf>
    <xf numFmtId="167" fontId="4" fillId="11" borderId="6" xfId="3" applyNumberFormat="1" applyFill="1" applyBorder="1" applyAlignment="1">
      <alignment horizontal="center" vertical="center"/>
    </xf>
    <xf numFmtId="10" fontId="4" fillId="11" borderId="13" xfId="1" applyNumberFormat="1" applyFill="1" applyBorder="1" applyAlignment="1">
      <alignment horizontal="center" vertical="center"/>
    </xf>
    <xf numFmtId="167" fontId="4" fillId="9" borderId="57" xfId="3" applyNumberFormat="1" applyFill="1" applyBorder="1" applyAlignment="1">
      <alignment horizontal="center"/>
    </xf>
    <xf numFmtId="167" fontId="4" fillId="9" borderId="58" xfId="3" applyNumberFormat="1" applyFill="1" applyBorder="1" applyAlignment="1">
      <alignment horizontal="center"/>
    </xf>
    <xf numFmtId="165" fontId="4" fillId="8" borderId="57" xfId="3" applyNumberFormat="1" applyFill="1" applyBorder="1" applyAlignment="1">
      <alignment horizontal="center"/>
    </xf>
    <xf numFmtId="165" fontId="4" fillId="8" borderId="58" xfId="3" applyNumberFormat="1" applyFill="1" applyBorder="1" applyAlignment="1">
      <alignment horizontal="center"/>
    </xf>
    <xf numFmtId="0" fontId="4" fillId="9" borderId="57" xfId="3" applyFill="1" applyBorder="1" applyAlignment="1">
      <alignment horizontal="center" vertical="center"/>
    </xf>
    <xf numFmtId="165" fontId="4" fillId="9" borderId="57" xfId="3" applyNumberFormat="1" applyFill="1" applyBorder="1" applyAlignment="1">
      <alignment horizontal="center"/>
    </xf>
    <xf numFmtId="165" fontId="4" fillId="9" borderId="58" xfId="3" applyNumberFormat="1" applyFill="1" applyBorder="1" applyAlignment="1">
      <alignment horizontal="center"/>
    </xf>
    <xf numFmtId="166" fontId="4" fillId="9" borderId="57" xfId="3" applyNumberFormat="1" applyFill="1" applyBorder="1" applyAlignment="1">
      <alignment horizontal="center"/>
    </xf>
    <xf numFmtId="166" fontId="4" fillId="9" borderId="10" xfId="3" applyNumberFormat="1" applyFill="1" applyBorder="1" applyAlignment="1">
      <alignment horizontal="center"/>
    </xf>
    <xf numFmtId="0" fontId="4" fillId="8" borderId="60" xfId="3" applyFill="1" applyBorder="1" applyAlignment="1">
      <alignment horizontal="center" vertical="center"/>
    </xf>
    <xf numFmtId="169" fontId="4" fillId="8" borderId="60" xfId="3" applyNumberFormat="1" applyFill="1" applyBorder="1" applyAlignment="1">
      <alignment horizontal="center"/>
    </xf>
    <xf numFmtId="169" fontId="4" fillId="8" borderId="61" xfId="3" applyNumberFormat="1" applyFill="1" applyBorder="1" applyAlignment="1">
      <alignment horizontal="center"/>
    </xf>
    <xf numFmtId="167" fontId="4" fillId="10" borderId="62" xfId="3" applyNumberFormat="1" applyFill="1" applyBorder="1" applyAlignment="1">
      <alignment horizontal="center" vertical="center"/>
    </xf>
    <xf numFmtId="167" fontId="4" fillId="11" borderId="27" xfId="3" applyNumberFormat="1" applyFill="1" applyBorder="1" applyAlignment="1">
      <alignment horizontal="center" vertical="center"/>
    </xf>
    <xf numFmtId="10" fontId="4" fillId="10" borderId="63" xfId="1" applyNumberFormat="1" applyFill="1" applyBorder="1" applyAlignment="1">
      <alignment horizontal="center" vertical="center"/>
    </xf>
    <xf numFmtId="10" fontId="4" fillId="11" borderId="8" xfId="1" applyNumberFormat="1" applyFill="1" applyBorder="1" applyAlignment="1">
      <alignment horizontal="center" vertical="center"/>
    </xf>
    <xf numFmtId="0" fontId="4" fillId="0" borderId="0" xfId="3" applyFill="1"/>
    <xf numFmtId="0" fontId="4" fillId="18" borderId="0" xfId="3" applyFill="1" applyAlignment="1">
      <alignment wrapText="1"/>
    </xf>
    <xf numFmtId="166" fontId="12" fillId="0" borderId="0" xfId="3" applyNumberFormat="1" applyFont="1"/>
    <xf numFmtId="2" fontId="4" fillId="0" borderId="0" xfId="3" applyNumberFormat="1"/>
    <xf numFmtId="2" fontId="12" fillId="0" borderId="0" xfId="3" applyNumberFormat="1" applyFont="1"/>
    <xf numFmtId="10" fontId="4" fillId="0" borderId="0" xfId="3" applyNumberFormat="1"/>
    <xf numFmtId="0" fontId="12" fillId="0" borderId="0" xfId="3" applyFont="1"/>
    <xf numFmtId="11" fontId="12" fillId="0" borderId="0" xfId="3" applyNumberFormat="1" applyFont="1"/>
    <xf numFmtId="0" fontId="7" fillId="18" borderId="0" xfId="3" applyFont="1" applyFill="1"/>
    <xf numFmtId="49" fontId="4" fillId="0" borderId="0" xfId="3" applyNumberFormat="1"/>
    <xf numFmtId="0" fontId="7" fillId="0" borderId="0" xfId="3" applyFont="1" applyAlignment="1">
      <alignment horizontal="center" vertical="center"/>
    </xf>
    <xf numFmtId="0" fontId="4" fillId="0" borderId="0" xfId="3" applyNumberFormat="1"/>
    <xf numFmtId="0" fontId="46" fillId="0" borderId="0" xfId="3" applyFont="1"/>
    <xf numFmtId="0" fontId="5" fillId="0" borderId="8" xfId="3" applyFont="1" applyBorder="1" applyAlignment="1">
      <alignment horizontal="center"/>
    </xf>
    <xf numFmtId="0" fontId="4" fillId="2" borderId="15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3" xfId="3" applyFont="1" applyFill="1" applyBorder="1" applyAlignment="1">
      <alignment horizontal="right"/>
    </xf>
    <xf numFmtId="168" fontId="4" fillId="2" borderId="18" xfId="3" applyNumberFormat="1" applyFont="1" applyFill="1" applyBorder="1" applyAlignment="1">
      <alignment horizontal="center"/>
    </xf>
    <xf numFmtId="14" fontId="4" fillId="17" borderId="13" xfId="3" applyNumberFormat="1" applyFill="1" applyBorder="1" applyAlignment="1">
      <alignment horizontal="center"/>
    </xf>
    <xf numFmtId="0" fontId="7" fillId="2" borderId="16" xfId="3" applyFont="1" applyFill="1" applyBorder="1" applyAlignment="1">
      <alignment horizontal="right"/>
    </xf>
    <xf numFmtId="0" fontId="7" fillId="2" borderId="50" xfId="3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13" xfId="3" applyNumberFormat="1" applyFill="1" applyBorder="1" applyAlignment="1">
      <alignment horizontal="center"/>
    </xf>
    <xf numFmtId="0" fontId="4" fillId="2" borderId="17" xfId="3" applyFont="1" applyFill="1" applyBorder="1" applyAlignment="1">
      <alignment horizontal="right"/>
    </xf>
    <xf numFmtId="165" fontId="4" fillId="2" borderId="18" xfId="3" applyNumberFormat="1" applyFont="1" applyFill="1" applyBorder="1" applyAlignment="1">
      <alignment horizontal="center"/>
    </xf>
    <xf numFmtId="0" fontId="8" fillId="16" borderId="19" xfId="3" applyFont="1" applyFill="1" applyBorder="1"/>
    <xf numFmtId="0" fontId="8" fillId="16" borderId="43" xfId="3" applyFont="1" applyFill="1" applyBorder="1"/>
    <xf numFmtId="0" fontId="8" fillId="15" borderId="6" xfId="3" applyFont="1" applyFill="1" applyBorder="1"/>
    <xf numFmtId="10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1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1" xfId="3" applyFont="1" applyFill="1" applyBorder="1" applyAlignment="1">
      <alignment horizontal="center" textRotation="90" wrapText="1"/>
    </xf>
    <xf numFmtId="0" fontId="8" fillId="5" borderId="24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5" fillId="5" borderId="11" xfId="0" applyFont="1" applyFill="1" applyBorder="1" applyAlignment="1">
      <alignment horizontal="center"/>
    </xf>
    <xf numFmtId="0" fontId="5" fillId="5" borderId="39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29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14" fontId="0" fillId="5" borderId="65" xfId="0" applyNumberFormat="1" applyFill="1" applyBorder="1" applyAlignment="1">
      <alignment horizontal="center"/>
    </xf>
    <xf numFmtId="14" fontId="0" fillId="5" borderId="32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33" xfId="0" applyFont="1" applyFill="1" applyBorder="1" applyAlignment="1">
      <alignment horizontal="center"/>
    </xf>
    <xf numFmtId="0" fontId="7" fillId="5" borderId="28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64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6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6" fillId="8" borderId="24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4" xfId="0" applyFont="1" applyFill="1" applyBorder="1" applyAlignment="1">
      <alignment horizontal="center" vertical="center"/>
    </xf>
    <xf numFmtId="14" fontId="0" fillId="5" borderId="33" xfId="0" applyNumberFormat="1" applyFill="1" applyBorder="1" applyAlignment="1">
      <alignment horizontal="center"/>
    </xf>
    <xf numFmtId="14" fontId="0" fillId="5" borderId="28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33" xfId="0" applyNumberFormat="1" applyFill="1" applyBorder="1" applyAlignment="1">
      <alignment horizontal="center"/>
    </xf>
    <xf numFmtId="168" fontId="0" fillId="5" borderId="28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33" xfId="0" applyNumberFormat="1" applyFill="1" applyBorder="1" applyAlignment="1">
      <alignment horizontal="center"/>
    </xf>
    <xf numFmtId="0" fontId="0" fillId="5" borderId="28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33" xfId="0" applyNumberFormat="1" applyFill="1" applyBorder="1" applyAlignment="1">
      <alignment horizontal="center"/>
    </xf>
    <xf numFmtId="164" fontId="0" fillId="5" borderId="28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31" xfId="0" applyFont="1" applyFill="1" applyBorder="1" applyAlignment="1">
      <alignment horizontal="center" vertical="center"/>
    </xf>
    <xf numFmtId="0" fontId="6" fillId="11" borderId="67" xfId="0" applyFont="1" applyFill="1" applyBorder="1" applyAlignment="1">
      <alignment horizontal="center" vertical="center"/>
    </xf>
    <xf numFmtId="0" fontId="6" fillId="15" borderId="57" xfId="0" applyFont="1" applyFill="1" applyBorder="1" applyAlignment="1">
      <alignment horizontal="center" vertical="center"/>
    </xf>
    <xf numFmtId="0" fontId="6" fillId="15" borderId="20" xfId="0" applyFont="1" applyFill="1" applyBorder="1" applyAlignment="1">
      <alignment horizontal="center" vertical="center"/>
    </xf>
    <xf numFmtId="0" fontId="6" fillId="8" borderId="57" xfId="0" applyFont="1" applyFill="1" applyBorder="1" applyAlignment="1">
      <alignment horizontal="center" vertical="center"/>
    </xf>
    <xf numFmtId="0" fontId="6" fillId="8" borderId="20" xfId="0" applyFont="1" applyFill="1" applyBorder="1" applyAlignment="1">
      <alignment horizontal="center" vertical="center"/>
    </xf>
    <xf numFmtId="0" fontId="6" fillId="0" borderId="57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" fillId="0" borderId="57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0" fillId="0" borderId="57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6" fillId="0" borderId="57" xfId="0" applyFont="1" applyFill="1" applyBorder="1" applyAlignment="1">
      <alignment horizontal="center" vertical="center"/>
    </xf>
    <xf numFmtId="0" fontId="6" fillId="0" borderId="20" xfId="0" applyFont="1" applyFill="1" applyBorder="1" applyAlignment="1">
      <alignment horizontal="center" vertical="center"/>
    </xf>
    <xf numFmtId="0" fontId="6" fillId="11" borderId="57" xfId="0" applyFont="1" applyFill="1" applyBorder="1" applyAlignment="1">
      <alignment horizontal="center" vertical="center"/>
    </xf>
    <xf numFmtId="0" fontId="6" fillId="11" borderId="20" xfId="0" applyFont="1" applyFill="1" applyBorder="1" applyAlignment="1">
      <alignment horizontal="center" vertical="center"/>
    </xf>
    <xf numFmtId="0" fontId="6" fillId="0" borderId="60" xfId="0" applyFont="1" applyBorder="1" applyAlignment="1">
      <alignment horizontal="center" vertical="center"/>
    </xf>
    <xf numFmtId="0" fontId="6" fillId="0" borderId="66" xfId="0" applyFont="1" applyBorder="1" applyAlignment="1">
      <alignment horizontal="center" vertical="center"/>
    </xf>
    <xf numFmtId="2" fontId="0" fillId="11" borderId="33" xfId="0" applyNumberFormat="1" applyFill="1" applyBorder="1" applyAlignment="1">
      <alignment horizontal="center" vertical="center"/>
    </xf>
    <xf numFmtId="2" fontId="0" fillId="11" borderId="10" xfId="0" applyNumberFormat="1" applyFill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11" borderId="65" xfId="0" applyNumberFormat="1" applyFill="1" applyBorder="1" applyAlignment="1">
      <alignment horizontal="center" vertical="center"/>
    </xf>
    <xf numFmtId="2" fontId="0" fillId="11" borderId="9" xfId="0" applyNumberFormat="1" applyFill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61" xfId="0" applyNumberForma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33" xfId="0" applyNumberFormat="1" applyFont="1" applyFill="1" applyBorder="1" applyAlignment="1">
      <alignment horizontal="center" vertical="center"/>
    </xf>
    <xf numFmtId="2" fontId="6" fillId="15" borderId="10" xfId="0" applyNumberFormat="1" applyFont="1" applyFill="1" applyBorder="1" applyAlignment="1">
      <alignment horizontal="center" vertical="center"/>
    </xf>
    <xf numFmtId="0" fontId="6" fillId="15" borderId="60" xfId="0" applyFont="1" applyFill="1" applyBorder="1" applyAlignment="1">
      <alignment horizontal="center" vertical="center"/>
    </xf>
    <xf numFmtId="0" fontId="6" fillId="15" borderId="66" xfId="0" applyFont="1" applyFill="1" applyBorder="1" applyAlignment="1">
      <alignment horizontal="center" vertical="center"/>
    </xf>
    <xf numFmtId="2" fontId="6" fillId="8" borderId="33" xfId="0" applyNumberFormat="1" applyFont="1" applyFill="1" applyBorder="1" applyAlignment="1">
      <alignment horizontal="center" vertical="center"/>
    </xf>
    <xf numFmtId="2" fontId="6" fillId="8" borderId="10" xfId="0" applyNumberFormat="1" applyFont="1" applyFill="1" applyBorder="1" applyAlignment="1">
      <alignment horizontal="center" vertical="center"/>
    </xf>
    <xf numFmtId="2" fontId="4" fillId="15" borderId="64" xfId="0" applyNumberFormat="1" applyFont="1" applyFill="1" applyBorder="1" applyAlignment="1">
      <alignment horizontal="center" vertical="center"/>
    </xf>
    <xf numFmtId="2" fontId="4" fillId="15" borderId="61" xfId="0" applyNumberFormat="1" applyFont="1" applyFill="1" applyBorder="1" applyAlignment="1">
      <alignment horizontal="center" vertical="center"/>
    </xf>
    <xf numFmtId="0" fontId="4" fillId="9" borderId="59" xfId="3" applyFill="1" applyBorder="1" applyAlignment="1">
      <alignment horizontal="center" vertical="center"/>
    </xf>
    <xf numFmtId="0" fontId="4" fillId="9" borderId="12" xfId="3" applyFill="1" applyBorder="1" applyAlignment="1">
      <alignment horizontal="center" vertical="center"/>
    </xf>
    <xf numFmtId="0" fontId="4" fillId="9" borderId="53" xfId="3" applyFill="1" applyBorder="1" applyAlignment="1">
      <alignment horizontal="center" vertical="center"/>
    </xf>
    <xf numFmtId="0" fontId="4" fillId="8" borderId="59" xfId="3" applyFill="1" applyBorder="1" applyAlignment="1">
      <alignment horizontal="center" vertical="center"/>
    </xf>
    <xf numFmtId="0" fontId="4" fillId="8" borderId="12" xfId="3" applyFill="1" applyBorder="1" applyAlignment="1">
      <alignment horizontal="center" vertical="center"/>
    </xf>
    <xf numFmtId="0" fontId="4" fillId="8" borderId="53" xfId="3" applyFill="1" applyBorder="1" applyAlignment="1">
      <alignment horizontal="center" vertical="center"/>
    </xf>
    <xf numFmtId="14" fontId="4" fillId="5" borderId="32" xfId="3" applyNumberFormat="1" applyFill="1" applyBorder="1" applyAlignment="1">
      <alignment horizontal="center"/>
    </xf>
    <xf numFmtId="14" fontId="4" fillId="5" borderId="9" xfId="3" applyNumberFormat="1" applyFill="1" applyBorder="1" applyAlignment="1">
      <alignment horizontal="center"/>
    </xf>
    <xf numFmtId="10" fontId="4" fillId="5" borderId="32" xfId="1" applyNumberFormat="1" applyFill="1" applyBorder="1" applyAlignment="1">
      <alignment horizontal="center"/>
    </xf>
    <xf numFmtId="10" fontId="4" fillId="5" borderId="9" xfId="1" applyNumberFormat="1" applyFill="1" applyBorder="1" applyAlignment="1">
      <alignment horizontal="center"/>
    </xf>
    <xf numFmtId="0" fontId="7" fillId="0" borderId="0" xfId="3" applyFont="1" applyAlignment="1">
      <alignment horizontal="center"/>
    </xf>
    <xf numFmtId="0" fontId="4" fillId="5" borderId="32" xfId="3" applyNumberFormat="1" applyFill="1" applyBorder="1" applyAlignment="1">
      <alignment horizontal="center"/>
    </xf>
    <xf numFmtId="0" fontId="4" fillId="5" borderId="9" xfId="3" applyNumberFormat="1" applyFill="1" applyBorder="1" applyAlignment="1">
      <alignment horizontal="center"/>
    </xf>
    <xf numFmtId="0" fontId="5" fillId="5" borderId="11" xfId="3" applyFont="1" applyFill="1" applyBorder="1" applyAlignment="1">
      <alignment horizontal="center"/>
    </xf>
    <xf numFmtId="0" fontId="5" fillId="5" borderId="39" xfId="3" applyFont="1" applyFill="1" applyBorder="1" applyAlignment="1">
      <alignment horizontal="center"/>
    </xf>
    <xf numFmtId="0" fontId="5" fillId="5" borderId="40" xfId="3" applyFont="1" applyFill="1" applyBorder="1" applyAlignment="1">
      <alignment horizontal="center"/>
    </xf>
    <xf numFmtId="0" fontId="5" fillId="5" borderId="29" xfId="3" applyFont="1" applyFill="1" applyBorder="1" applyAlignment="1">
      <alignment horizontal="center"/>
    </xf>
    <xf numFmtId="0" fontId="5" fillId="5" borderId="30" xfId="3" applyFont="1" applyFill="1" applyBorder="1" applyAlignment="1">
      <alignment horizontal="center"/>
    </xf>
    <xf numFmtId="0" fontId="5" fillId="5" borderId="41" xfId="3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MS3_FC2-2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2.7369281045751634E-2</c:v>
                </c:pt>
                <c:pt idx="2">
                  <c:v>0.22753267973856209</c:v>
                </c:pt>
                <c:pt idx="3">
                  <c:v>0.18280228758169934</c:v>
                </c:pt>
                <c:pt idx="4">
                  <c:v>0.190359477124183</c:v>
                </c:pt>
                <c:pt idx="5">
                  <c:v>0.12438725490196079</c:v>
                </c:pt>
                <c:pt idx="6">
                  <c:v>7.1078431372549017E-2</c:v>
                </c:pt>
                <c:pt idx="7">
                  <c:v>3.1862745098039214E-2</c:v>
                </c:pt>
                <c:pt idx="8">
                  <c:v>2.4101307189542485E-2</c:v>
                </c:pt>
                <c:pt idx="9">
                  <c:v>5.5351307189542481E-2</c:v>
                </c:pt>
                <c:pt idx="10">
                  <c:v>3.6560457516339871E-2</c:v>
                </c:pt>
                <c:pt idx="11">
                  <c:v>1.6544117647058824E-2</c:v>
                </c:pt>
                <c:pt idx="12">
                  <c:v>1.2050653594771242E-2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5-4237-863A-9737C4767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3124144"/>
        <c:axId val="1773116528"/>
      </c:barChart>
      <c:catAx>
        <c:axId val="17731241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1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73116528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414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MS3_FC2-2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0.97263071895424835</c:v>
                </c:pt>
                <c:pt idx="3">
                  <c:v>0.74509803921568629</c:v>
                </c:pt>
                <c:pt idx="4">
                  <c:v>0.56229575163398693</c:v>
                </c:pt>
                <c:pt idx="5">
                  <c:v>0.37193627450980393</c:v>
                </c:pt>
                <c:pt idx="6">
                  <c:v>0.24754901960784315</c:v>
                </c:pt>
                <c:pt idx="7">
                  <c:v>0.17647058823529413</c:v>
                </c:pt>
                <c:pt idx="8">
                  <c:v>0.14460784313725492</c:v>
                </c:pt>
                <c:pt idx="9">
                  <c:v>0.12050653594771242</c:v>
                </c:pt>
                <c:pt idx="10">
                  <c:v>6.5155228758169939E-2</c:v>
                </c:pt>
                <c:pt idx="11">
                  <c:v>2.8594771241830068E-2</c:v>
                </c:pt>
                <c:pt idx="12">
                  <c:v>1.2050653594771242E-2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1E-4A9C-9836-D3A50E9A6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7408"/>
        <c:axId val="1773120336"/>
      </c:scatterChart>
      <c:valAx>
        <c:axId val="1773127408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336"/>
        <c:crosses val="autoZero"/>
        <c:crossBetween val="midCat"/>
      </c:valAx>
      <c:valAx>
        <c:axId val="1773120336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7408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2.7369281045751634E-2</c:v>
                </c:pt>
                <c:pt idx="2">
                  <c:v>0.22753267973856209</c:v>
                </c:pt>
                <c:pt idx="3">
                  <c:v>0.18280228758169934</c:v>
                </c:pt>
                <c:pt idx="4">
                  <c:v>0.190359477124183</c:v>
                </c:pt>
                <c:pt idx="5">
                  <c:v>0.12438725490196079</c:v>
                </c:pt>
                <c:pt idx="6">
                  <c:v>7.1078431372549017E-2</c:v>
                </c:pt>
                <c:pt idx="7">
                  <c:v>3.1862745098039214E-2</c:v>
                </c:pt>
                <c:pt idx="8">
                  <c:v>2.4101307189542485E-2</c:v>
                </c:pt>
                <c:pt idx="9">
                  <c:v>5.5351307189542481E-2</c:v>
                </c:pt>
                <c:pt idx="10">
                  <c:v>3.6560457516339871E-2</c:v>
                </c:pt>
                <c:pt idx="11">
                  <c:v>1.6544117647058824E-2</c:v>
                </c:pt>
                <c:pt idx="12">
                  <c:v>1.2050653594771242E-2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A2D-BB99-F4946AB99A37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E0-4A2D-BB99-F4946AB9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3121424"/>
        <c:axId val="1773120880"/>
      </c:scatterChart>
      <c:valAx>
        <c:axId val="177312142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0880"/>
        <c:crosses val="autoZero"/>
        <c:crossBetween val="midCat"/>
      </c:valAx>
      <c:valAx>
        <c:axId val="177312088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7312142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2.7369281045751634E-2</c:v>
                </c:pt>
                <c:pt idx="2">
                  <c:v>0.22753267973856209</c:v>
                </c:pt>
                <c:pt idx="3">
                  <c:v>0.18280228758169934</c:v>
                </c:pt>
                <c:pt idx="4">
                  <c:v>0.190359477124183</c:v>
                </c:pt>
                <c:pt idx="5">
                  <c:v>0.12438725490196079</c:v>
                </c:pt>
                <c:pt idx="6">
                  <c:v>7.1078431372549017E-2</c:v>
                </c:pt>
                <c:pt idx="7">
                  <c:v>3.1862745098039214E-2</c:v>
                </c:pt>
                <c:pt idx="8">
                  <c:v>2.4101307189542485E-2</c:v>
                </c:pt>
                <c:pt idx="9">
                  <c:v>5.5351307189542481E-2</c:v>
                </c:pt>
                <c:pt idx="10">
                  <c:v>3.6560457516339871E-2</c:v>
                </c:pt>
                <c:pt idx="11">
                  <c:v>1.6544117647058824E-2</c:v>
                </c:pt>
                <c:pt idx="12">
                  <c:v>1.2050653594771242E-2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66-4EDA-BE6C-D7F4A6C8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4608"/>
        <c:axId val="1537189920"/>
      </c:scatterChart>
      <c:valAx>
        <c:axId val="1537204608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189920"/>
        <c:crosses val="autoZero"/>
        <c:crossBetween val="midCat"/>
      </c:valAx>
      <c:valAx>
        <c:axId val="153718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4608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2.7369281045751634E-2</c:v>
                </c:pt>
                <c:pt idx="2">
                  <c:v>0.22753267973856209</c:v>
                </c:pt>
                <c:pt idx="3">
                  <c:v>0.18280228758169934</c:v>
                </c:pt>
                <c:pt idx="4">
                  <c:v>0.190359477124183</c:v>
                </c:pt>
                <c:pt idx="5">
                  <c:v>0.12438725490196079</c:v>
                </c:pt>
                <c:pt idx="6">
                  <c:v>7.1078431372549017E-2</c:v>
                </c:pt>
                <c:pt idx="7">
                  <c:v>3.1862745098039214E-2</c:v>
                </c:pt>
                <c:pt idx="8">
                  <c:v>2.4101307189542485E-2</c:v>
                </c:pt>
                <c:pt idx="9">
                  <c:v>5.5351307189542481E-2</c:v>
                </c:pt>
                <c:pt idx="10">
                  <c:v>3.6560457516339871E-2</c:v>
                </c:pt>
                <c:pt idx="11">
                  <c:v>1.6544117647058824E-2</c:v>
                </c:pt>
                <c:pt idx="12">
                  <c:v>1.2050653594771242E-2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BF-44FE-9B98-9FF00BA619C7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BF-44FE-9B98-9FF00BA619C7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2.6437517510058607E-2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2BF-44FE-9B98-9FF00BA61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7200256"/>
        <c:axId val="1537218208"/>
      </c:scatterChart>
      <c:valAx>
        <c:axId val="1537200256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18208"/>
        <c:crosses val="autoZero"/>
        <c:crossBetween val="midCat"/>
      </c:valAx>
      <c:valAx>
        <c:axId val="1537218208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37200256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>
          <a:extLst>
            <a:ext uri="{FF2B5EF4-FFF2-40B4-BE49-F238E27FC236}">
              <a16:creationId xmlns:a16="http://schemas.microsoft.com/office/drawing/2014/main" id="{00000000-0008-0000-0200-00001908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>
          <a:extLst>
            <a:ext uri="{FF2B5EF4-FFF2-40B4-BE49-F238E27FC236}">
              <a16:creationId xmlns:a16="http://schemas.microsoft.com/office/drawing/2014/main" id="{00000000-0008-0000-0300-00001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B\Forschung-AB\Ausleitungsstrecke%20T&#246;ging\11_Messkampagnen\2020%20M&#228;rz\05_Porosit&#228;t\Porosit&#228;t_Mar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n"/>
      <sheetName val="Lanzen"/>
    </sheetNames>
    <sheetDataSet>
      <sheetData sheetId="0">
        <row r="4">
          <cell r="L4">
            <v>0.17364289269540634</v>
          </cell>
        </row>
        <row r="14">
          <cell r="L14">
            <v>0.1778257819846718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opLeftCell="A37" zoomScale="115" zoomScaleNormal="115" workbookViewId="0">
      <selection activeCell="E11" sqref="E11"/>
    </sheetView>
  </sheetViews>
  <sheetFormatPr defaultColWidth="9.140625" defaultRowHeight="11.25" x14ac:dyDescent="0.2"/>
  <cols>
    <col min="1" max="1" width="5.140625" style="255" customWidth="1"/>
    <col min="2" max="2" width="30.42578125" style="255" bestFit="1" customWidth="1"/>
    <col min="3" max="3" width="15.7109375" style="256" customWidth="1"/>
    <col min="4" max="8" width="15.7109375" style="255" customWidth="1"/>
    <col min="9" max="9" width="15.7109375" style="279" customWidth="1"/>
    <col min="10" max="10" width="15.7109375" style="255" customWidth="1"/>
    <col min="11" max="11" width="20.7109375" style="255" customWidth="1"/>
    <col min="12" max="16384" width="9.140625" style="255"/>
  </cols>
  <sheetData>
    <row r="1" spans="1:11" ht="17.25" customHeight="1" thickBot="1" x14ac:dyDescent="0.25">
      <c r="D1" s="257"/>
      <c r="E1" s="258"/>
      <c r="H1" s="258"/>
      <c r="I1" s="257"/>
      <c r="J1" s="258"/>
      <c r="K1" s="257"/>
    </row>
    <row r="2" spans="1:11" ht="17.25" customHeight="1" x14ac:dyDescent="0.25">
      <c r="B2" s="259" t="s">
        <v>2</v>
      </c>
      <c r="C2" s="260" t="s">
        <v>20</v>
      </c>
      <c r="D2" s="257"/>
      <c r="E2" s="297" t="s">
        <v>198</v>
      </c>
      <c r="F2" s="297"/>
      <c r="I2" s="257"/>
      <c r="K2" s="257"/>
    </row>
    <row r="3" spans="1:11" ht="17.25" customHeight="1" thickBot="1" x14ac:dyDescent="0.3">
      <c r="B3" s="261" t="s">
        <v>3</v>
      </c>
      <c r="C3" s="368" t="s">
        <v>5</v>
      </c>
      <c r="D3" s="262"/>
      <c r="E3" s="297" t="s">
        <v>199</v>
      </c>
      <c r="F3" s="297" t="s">
        <v>200</v>
      </c>
      <c r="I3" s="263"/>
      <c r="J3" s="263"/>
      <c r="K3" s="262"/>
    </row>
    <row r="4" spans="1:11" ht="17.25" customHeight="1" x14ac:dyDescent="0.25">
      <c r="B4" s="369" t="s">
        <v>1</v>
      </c>
      <c r="C4" s="370">
        <v>44377</v>
      </c>
      <c r="D4" s="262"/>
      <c r="E4" s="297"/>
      <c r="F4" s="297"/>
      <c r="I4" s="263"/>
      <c r="J4" s="263"/>
      <c r="K4" s="262"/>
    </row>
    <row r="5" spans="1:11" ht="17.25" customHeight="1" x14ac:dyDescent="0.25">
      <c r="B5" s="371" t="s">
        <v>42</v>
      </c>
      <c r="C5" s="372"/>
      <c r="D5" s="262"/>
      <c r="E5" s="297"/>
      <c r="F5" s="297"/>
      <c r="I5" s="263"/>
      <c r="J5" s="263"/>
      <c r="K5" s="262"/>
    </row>
    <row r="6" spans="1:11" ht="17.25" customHeight="1" x14ac:dyDescent="0.25">
      <c r="B6" s="300" t="s">
        <v>201</v>
      </c>
      <c r="C6" s="373"/>
      <c r="D6" s="373"/>
      <c r="E6" s="299"/>
      <c r="F6" s="1"/>
      <c r="G6" s="1"/>
      <c r="I6" s="263"/>
      <c r="J6" s="263"/>
      <c r="K6" s="262"/>
    </row>
    <row r="7" spans="1:11" ht="17.25" customHeight="1" x14ac:dyDescent="0.25">
      <c r="B7" s="374" t="s">
        <v>187</v>
      </c>
      <c r="C7" s="375" t="s">
        <v>225</v>
      </c>
      <c r="D7" s="262" t="s">
        <v>224</v>
      </c>
      <c r="E7" s="384">
        <v>44257</v>
      </c>
      <c r="F7" s="297"/>
      <c r="I7" s="263"/>
      <c r="J7" s="263"/>
      <c r="K7" s="262"/>
    </row>
    <row r="8" spans="1:11" ht="17.25" customHeight="1" x14ac:dyDescent="0.25">
      <c r="B8" s="376" t="s">
        <v>4</v>
      </c>
      <c r="C8" s="377"/>
      <c r="D8" s="262"/>
      <c r="E8" s="297"/>
      <c r="F8" s="297"/>
      <c r="I8" s="263"/>
      <c r="J8" s="263"/>
      <c r="K8" s="262"/>
    </row>
    <row r="9" spans="1:11" ht="17.25" customHeight="1" thickBot="1" x14ac:dyDescent="0.3">
      <c r="B9" s="378" t="s">
        <v>21</v>
      </c>
      <c r="C9" s="379">
        <f>C35+C57+C79+C101</f>
        <v>24480</v>
      </c>
      <c r="D9" s="262"/>
      <c r="E9" s="297"/>
      <c r="F9" s="297"/>
      <c r="I9" s="263"/>
      <c r="J9" s="263"/>
      <c r="K9" s="262"/>
    </row>
    <row r="10" spans="1:11" ht="17.25" customHeight="1" thickBot="1" x14ac:dyDescent="0.3">
      <c r="A10" s="385" t="s">
        <v>46</v>
      </c>
      <c r="B10" s="264">
        <v>250</v>
      </c>
      <c r="C10" s="265">
        <f>K32+K54+K76+K98</f>
        <v>0</v>
      </c>
      <c r="D10" s="262"/>
      <c r="E10" s="297"/>
      <c r="F10" s="297"/>
      <c r="I10" s="263"/>
      <c r="J10" s="263"/>
      <c r="K10" s="262"/>
    </row>
    <row r="11" spans="1:11" ht="17.25" customHeight="1" thickBot="1" x14ac:dyDescent="0.3">
      <c r="A11" s="386"/>
      <c r="B11" s="266">
        <v>125</v>
      </c>
      <c r="C11" s="265">
        <f t="shared" ref="C11:C22" si="0">K33+K55+K77+K99</f>
        <v>670</v>
      </c>
      <c r="D11" s="262"/>
      <c r="E11" s="297"/>
      <c r="F11" s="297"/>
      <c r="I11" s="263"/>
      <c r="J11" s="263"/>
      <c r="K11" s="262"/>
    </row>
    <row r="12" spans="1:11" ht="17.25" customHeight="1" thickBot="1" x14ac:dyDescent="0.3">
      <c r="A12" s="386"/>
      <c r="B12" s="266">
        <v>63</v>
      </c>
      <c r="C12" s="265">
        <f t="shared" si="0"/>
        <v>5570</v>
      </c>
      <c r="D12" s="262"/>
      <c r="E12" s="297"/>
      <c r="F12" s="297"/>
      <c r="I12" s="263"/>
      <c r="J12" s="263"/>
      <c r="K12" s="262"/>
    </row>
    <row r="13" spans="1:11" ht="17.25" customHeight="1" thickBot="1" x14ac:dyDescent="0.3">
      <c r="A13" s="387"/>
      <c r="B13" s="267">
        <v>31.5</v>
      </c>
      <c r="C13" s="265">
        <f t="shared" si="0"/>
        <v>4475</v>
      </c>
      <c r="D13" s="262"/>
      <c r="E13" s="298"/>
      <c r="F13" s="298"/>
      <c r="I13" s="263"/>
      <c r="J13" s="263"/>
      <c r="K13" s="262"/>
    </row>
    <row r="14" spans="1:11" ht="17.25" customHeight="1" thickBot="1" x14ac:dyDescent="0.25">
      <c r="A14" s="388" t="s">
        <v>45</v>
      </c>
      <c r="B14" s="268">
        <v>16</v>
      </c>
      <c r="C14" s="265">
        <f t="shared" si="0"/>
        <v>4660</v>
      </c>
      <c r="D14" s="262"/>
      <c r="I14" s="256"/>
      <c r="J14" s="256"/>
      <c r="K14" s="262"/>
    </row>
    <row r="15" spans="1:11" ht="17.25" customHeight="1" thickBot="1" x14ac:dyDescent="0.25">
      <c r="A15" s="388"/>
      <c r="B15" s="269">
        <v>8</v>
      </c>
      <c r="C15" s="265">
        <f t="shared" si="0"/>
        <v>3045</v>
      </c>
      <c r="D15" s="262"/>
      <c r="I15" s="263"/>
      <c r="J15" s="263"/>
      <c r="K15" s="262"/>
    </row>
    <row r="16" spans="1:11" ht="17.25" customHeight="1" thickBot="1" x14ac:dyDescent="0.25">
      <c r="A16" s="388"/>
      <c r="B16" s="269">
        <v>4</v>
      </c>
      <c r="C16" s="265">
        <f t="shared" si="0"/>
        <v>1740</v>
      </c>
      <c r="D16" s="262"/>
      <c r="I16" s="263"/>
      <c r="J16" s="263"/>
      <c r="K16" s="262"/>
    </row>
    <row r="17" spans="1:11" ht="17.25" customHeight="1" thickBot="1" x14ac:dyDescent="0.25">
      <c r="A17" s="388"/>
      <c r="B17" s="269">
        <v>2</v>
      </c>
      <c r="C17" s="265">
        <f t="shared" si="0"/>
        <v>780</v>
      </c>
      <c r="D17" s="262"/>
      <c r="I17" s="263"/>
      <c r="J17" s="263"/>
      <c r="K17" s="262"/>
    </row>
    <row r="18" spans="1:11" ht="17.25" customHeight="1" thickBot="1" x14ac:dyDescent="0.25">
      <c r="A18" s="388"/>
      <c r="B18" s="269">
        <v>1</v>
      </c>
      <c r="C18" s="265">
        <f t="shared" si="0"/>
        <v>590</v>
      </c>
      <c r="I18" s="270"/>
      <c r="K18" s="271"/>
    </row>
    <row r="19" spans="1:11" ht="17.25" customHeight="1" thickBot="1" x14ac:dyDescent="0.25">
      <c r="A19" s="389"/>
      <c r="B19" s="265">
        <v>0.5</v>
      </c>
      <c r="C19" s="265">
        <f t="shared" si="0"/>
        <v>1355</v>
      </c>
      <c r="I19" s="270"/>
      <c r="K19" s="272"/>
    </row>
    <row r="20" spans="1:11" ht="17.25" customHeight="1" thickBot="1" x14ac:dyDescent="0.25">
      <c r="A20" s="390" t="s">
        <v>44</v>
      </c>
      <c r="B20" s="273">
        <v>0.25</v>
      </c>
      <c r="C20" s="265">
        <f t="shared" si="0"/>
        <v>895</v>
      </c>
      <c r="I20" s="270"/>
    </row>
    <row r="21" spans="1:11" ht="17.25" customHeight="1" thickBot="1" x14ac:dyDescent="0.25">
      <c r="A21" s="391"/>
      <c r="B21" s="274">
        <v>0.125</v>
      </c>
      <c r="C21" s="265">
        <f t="shared" si="0"/>
        <v>405</v>
      </c>
      <c r="I21" s="270"/>
      <c r="K21" s="271"/>
    </row>
    <row r="22" spans="1:11" ht="17.25" customHeight="1" thickBot="1" x14ac:dyDescent="0.25">
      <c r="A22" s="391"/>
      <c r="B22" s="274">
        <v>6.3E-2</v>
      </c>
      <c r="C22" s="265">
        <f t="shared" si="0"/>
        <v>295</v>
      </c>
      <c r="I22" s="270"/>
      <c r="K22" s="271"/>
    </row>
    <row r="23" spans="1:11" ht="17.25" customHeight="1" thickBot="1" x14ac:dyDescent="0.25">
      <c r="A23" s="392"/>
      <c r="B23" s="275">
        <v>3.1E-2</v>
      </c>
      <c r="C23" s="265">
        <v>0</v>
      </c>
      <c r="I23" s="270"/>
      <c r="K23" s="271"/>
    </row>
    <row r="24" spans="1:11" ht="17.25" customHeight="1" thickBot="1" x14ac:dyDescent="0.25">
      <c r="A24" s="392"/>
      <c r="B24" s="276">
        <v>3.8999999999999998E-3</v>
      </c>
      <c r="C24" s="265">
        <v>0</v>
      </c>
      <c r="I24" s="270"/>
      <c r="K24" s="271"/>
    </row>
    <row r="25" spans="1:11" ht="17.25" customHeight="1" thickBot="1" x14ac:dyDescent="0.25">
      <c r="A25" s="393"/>
      <c r="B25" s="277">
        <v>6.0000000000000002E-5</v>
      </c>
      <c r="C25" s="265">
        <v>0</v>
      </c>
      <c r="I25" s="270"/>
      <c r="K25" s="271"/>
    </row>
    <row r="26" spans="1:11" ht="17.25" customHeight="1" x14ac:dyDescent="0.2">
      <c r="B26" s="262"/>
      <c r="C26" s="278"/>
      <c r="I26" s="270"/>
      <c r="K26" s="271"/>
    </row>
    <row r="27" spans="1:11" ht="17.25" customHeight="1" x14ac:dyDescent="0.2">
      <c r="C27" s="255"/>
      <c r="I27" s="270"/>
    </row>
    <row r="28" spans="1:11" ht="25.5" customHeight="1" x14ac:dyDescent="0.2">
      <c r="B28" s="262"/>
      <c r="C28" s="255"/>
    </row>
    <row r="29" spans="1:11" x14ac:dyDescent="0.2">
      <c r="D29" s="257" t="s">
        <v>2</v>
      </c>
      <c r="E29" s="258"/>
      <c r="F29" s="257" t="s">
        <v>23</v>
      </c>
      <c r="G29" s="258"/>
      <c r="H29" s="258"/>
      <c r="I29" s="257" t="s">
        <v>24</v>
      </c>
      <c r="J29" s="258"/>
      <c r="K29" s="257" t="s">
        <v>20</v>
      </c>
    </row>
    <row r="30" spans="1:11" x14ac:dyDescent="0.2">
      <c r="C30" s="280"/>
      <c r="D30" s="257" t="s">
        <v>3</v>
      </c>
      <c r="F30" s="257" t="s">
        <v>5</v>
      </c>
      <c r="I30" s="257" t="s">
        <v>5</v>
      </c>
      <c r="K30" s="257" t="s">
        <v>5</v>
      </c>
    </row>
    <row r="31" spans="1:11" x14ac:dyDescent="0.2">
      <c r="B31" s="258" t="s">
        <v>22</v>
      </c>
      <c r="C31" s="280"/>
      <c r="D31" s="281">
        <v>250</v>
      </c>
      <c r="E31" s="282">
        <v>0</v>
      </c>
      <c r="F31" s="282">
        <v>0</v>
      </c>
      <c r="G31" s="282">
        <v>0</v>
      </c>
      <c r="H31" s="283">
        <v>0</v>
      </c>
      <c r="I31" s="283">
        <v>0</v>
      </c>
      <c r="J31" s="283">
        <v>0</v>
      </c>
      <c r="K31" s="284">
        <f>AVERAGE(H31:J31)-AVERAGE(E31:G31)</f>
        <v>0</v>
      </c>
    </row>
    <row r="32" spans="1:11" ht="12" thickBot="1" x14ac:dyDescent="0.25">
      <c r="B32" s="258" t="s">
        <v>25</v>
      </c>
      <c r="C32" s="280"/>
      <c r="D32" s="281">
        <v>125</v>
      </c>
      <c r="E32" s="282">
        <v>0</v>
      </c>
      <c r="F32" s="282">
        <v>0</v>
      </c>
      <c r="G32" s="282">
        <v>0</v>
      </c>
      <c r="H32" s="283">
        <v>0</v>
      </c>
      <c r="I32" s="283">
        <v>0</v>
      </c>
      <c r="J32" s="283">
        <v>0</v>
      </c>
      <c r="K32" s="284">
        <f t="shared" ref="K32:K33" si="1">AVERAGE(H32:J32)-AVERAGE(E32:G32)</f>
        <v>0</v>
      </c>
    </row>
    <row r="33" spans="2:11" ht="12" thickBot="1" x14ac:dyDescent="0.25">
      <c r="B33" s="258" t="s">
        <v>0</v>
      </c>
      <c r="C33" s="285"/>
      <c r="D33" s="286">
        <v>63</v>
      </c>
      <c r="E33" s="282">
        <v>1545</v>
      </c>
      <c r="F33" s="282">
        <f>E33</f>
        <v>1545</v>
      </c>
      <c r="G33" s="282">
        <f>F33</f>
        <v>1545</v>
      </c>
      <c r="H33" s="283">
        <v>2215</v>
      </c>
      <c r="I33" s="283">
        <f>H33</f>
        <v>2215</v>
      </c>
      <c r="J33" s="283">
        <f>I33</f>
        <v>2215</v>
      </c>
      <c r="K33" s="284">
        <f t="shared" si="1"/>
        <v>670</v>
      </c>
    </row>
    <row r="34" spans="2:11" ht="12" thickBot="1" x14ac:dyDescent="0.25">
      <c r="B34" s="258" t="s">
        <v>26</v>
      </c>
      <c r="C34" s="287"/>
      <c r="D34" s="286">
        <v>31.5</v>
      </c>
      <c r="E34" s="282">
        <v>1710</v>
      </c>
      <c r="F34" s="282">
        <f t="shared" ref="F34:G44" si="2">E34</f>
        <v>1710</v>
      </c>
      <c r="G34" s="282">
        <f t="shared" si="2"/>
        <v>1710</v>
      </c>
      <c r="H34" s="283">
        <v>7280</v>
      </c>
      <c r="I34" s="283">
        <f t="shared" ref="I34:J44" si="3">H34</f>
        <v>7280</v>
      </c>
      <c r="J34" s="283">
        <f t="shared" si="3"/>
        <v>7280</v>
      </c>
      <c r="K34" s="284">
        <f>AVERAGE(H34:J34)-AVERAGE(E34:G34)</f>
        <v>5570</v>
      </c>
    </row>
    <row r="35" spans="2:11" ht="12" thickBot="1" x14ac:dyDescent="0.25">
      <c r="B35" s="258" t="s">
        <v>27</v>
      </c>
      <c r="C35" s="288">
        <f>D47-D45</f>
        <v>24480</v>
      </c>
      <c r="D35" s="286">
        <v>16</v>
      </c>
      <c r="E35" s="282">
        <v>1755</v>
      </c>
      <c r="F35" s="282">
        <f t="shared" si="2"/>
        <v>1755</v>
      </c>
      <c r="G35" s="282">
        <f t="shared" si="2"/>
        <v>1755</v>
      </c>
      <c r="H35" s="283">
        <v>6230</v>
      </c>
      <c r="I35" s="283">
        <f t="shared" si="3"/>
        <v>6230</v>
      </c>
      <c r="J35" s="283">
        <f t="shared" si="3"/>
        <v>6230</v>
      </c>
      <c r="K35" s="284">
        <f t="shared" ref="K35:K44" si="4">AVERAGE(H35:J35)-AVERAGE(E35:G35)</f>
        <v>4475</v>
      </c>
    </row>
    <row r="36" spans="2:11" x14ac:dyDescent="0.2">
      <c r="B36" s="258" t="s">
        <v>28</v>
      </c>
      <c r="C36" s="256" t="s">
        <v>29</v>
      </c>
      <c r="D36" s="281">
        <v>8</v>
      </c>
      <c r="E36" s="282">
        <v>1495</v>
      </c>
      <c r="F36" s="282">
        <f t="shared" si="2"/>
        <v>1495</v>
      </c>
      <c r="G36" s="282">
        <f t="shared" si="2"/>
        <v>1495</v>
      </c>
      <c r="H36" s="283">
        <v>6155</v>
      </c>
      <c r="I36" s="283">
        <f t="shared" si="3"/>
        <v>6155</v>
      </c>
      <c r="J36" s="283">
        <f t="shared" si="3"/>
        <v>6155</v>
      </c>
      <c r="K36" s="284">
        <f t="shared" si="4"/>
        <v>4660</v>
      </c>
    </row>
    <row r="37" spans="2:11" x14ac:dyDescent="0.2">
      <c r="D37" s="281">
        <v>4</v>
      </c>
      <c r="E37" s="282">
        <v>1570</v>
      </c>
      <c r="F37" s="282">
        <f t="shared" si="2"/>
        <v>1570</v>
      </c>
      <c r="G37" s="282">
        <f t="shared" si="2"/>
        <v>1570</v>
      </c>
      <c r="H37" s="283">
        <v>4615</v>
      </c>
      <c r="I37" s="283">
        <f t="shared" si="3"/>
        <v>4615</v>
      </c>
      <c r="J37" s="283">
        <f t="shared" si="3"/>
        <v>4615</v>
      </c>
      <c r="K37" s="284">
        <f t="shared" si="4"/>
        <v>3045</v>
      </c>
    </row>
    <row r="38" spans="2:11" x14ac:dyDescent="0.2">
      <c r="B38" s="258"/>
      <c r="C38" s="255"/>
      <c r="D38" s="281">
        <v>2</v>
      </c>
      <c r="E38" s="282">
        <v>1390</v>
      </c>
      <c r="F38" s="282">
        <f t="shared" si="2"/>
        <v>1390</v>
      </c>
      <c r="G38" s="282">
        <f t="shared" si="2"/>
        <v>1390</v>
      </c>
      <c r="H38" s="283">
        <v>3130</v>
      </c>
      <c r="I38" s="283">
        <f t="shared" si="3"/>
        <v>3130</v>
      </c>
      <c r="J38" s="283">
        <f t="shared" si="3"/>
        <v>3130</v>
      </c>
      <c r="K38" s="284">
        <f t="shared" si="4"/>
        <v>1740</v>
      </c>
    </row>
    <row r="39" spans="2:11" x14ac:dyDescent="0.2">
      <c r="C39" s="255"/>
      <c r="D39" s="281">
        <v>1</v>
      </c>
      <c r="E39" s="282">
        <v>1200</v>
      </c>
      <c r="F39" s="282">
        <f t="shared" si="2"/>
        <v>1200</v>
      </c>
      <c r="G39" s="282">
        <f t="shared" si="2"/>
        <v>1200</v>
      </c>
      <c r="H39" s="283">
        <v>1980</v>
      </c>
      <c r="I39" s="283">
        <f t="shared" si="3"/>
        <v>1980</v>
      </c>
      <c r="J39" s="283">
        <f t="shared" si="3"/>
        <v>1980</v>
      </c>
      <c r="K39" s="284">
        <f t="shared" si="4"/>
        <v>780</v>
      </c>
    </row>
    <row r="40" spans="2:11" x14ac:dyDescent="0.2">
      <c r="C40" s="255"/>
      <c r="D40" s="281">
        <v>0.5</v>
      </c>
      <c r="E40" s="282">
        <v>1045</v>
      </c>
      <c r="F40" s="282">
        <f t="shared" si="2"/>
        <v>1045</v>
      </c>
      <c r="G40" s="282">
        <f t="shared" si="2"/>
        <v>1045</v>
      </c>
      <c r="H40" s="283">
        <v>1635</v>
      </c>
      <c r="I40" s="283">
        <f t="shared" si="3"/>
        <v>1635</v>
      </c>
      <c r="J40" s="283">
        <f t="shared" si="3"/>
        <v>1635</v>
      </c>
      <c r="K40" s="284">
        <f t="shared" si="4"/>
        <v>590</v>
      </c>
    </row>
    <row r="41" spans="2:11" x14ac:dyDescent="0.2">
      <c r="C41" s="255"/>
      <c r="D41" s="281">
        <v>0.25</v>
      </c>
      <c r="E41" s="282">
        <v>985</v>
      </c>
      <c r="F41" s="282">
        <f t="shared" si="2"/>
        <v>985</v>
      </c>
      <c r="G41" s="282">
        <f t="shared" si="2"/>
        <v>985</v>
      </c>
      <c r="H41" s="283">
        <v>2340</v>
      </c>
      <c r="I41" s="283">
        <f t="shared" si="3"/>
        <v>2340</v>
      </c>
      <c r="J41" s="283">
        <f t="shared" si="3"/>
        <v>2340</v>
      </c>
      <c r="K41" s="284">
        <f t="shared" si="4"/>
        <v>1355</v>
      </c>
    </row>
    <row r="42" spans="2:11" x14ac:dyDescent="0.2">
      <c r="C42" s="255"/>
      <c r="D42" s="281">
        <v>0.125</v>
      </c>
      <c r="E42" s="282">
        <v>950</v>
      </c>
      <c r="F42" s="282">
        <f t="shared" si="2"/>
        <v>950</v>
      </c>
      <c r="G42" s="282">
        <f t="shared" si="2"/>
        <v>950</v>
      </c>
      <c r="H42" s="283">
        <v>1845</v>
      </c>
      <c r="I42" s="283">
        <f t="shared" si="3"/>
        <v>1845</v>
      </c>
      <c r="J42" s="283">
        <f t="shared" si="3"/>
        <v>1845</v>
      </c>
      <c r="K42" s="284">
        <f t="shared" si="4"/>
        <v>895</v>
      </c>
    </row>
    <row r="43" spans="2:11" x14ac:dyDescent="0.2">
      <c r="C43" s="255"/>
      <c r="D43" s="281">
        <v>6.3E-2</v>
      </c>
      <c r="E43" s="282">
        <v>915</v>
      </c>
      <c r="F43" s="282">
        <f t="shared" si="2"/>
        <v>915</v>
      </c>
      <c r="G43" s="282">
        <f t="shared" si="2"/>
        <v>915</v>
      </c>
      <c r="H43" s="283">
        <v>1320</v>
      </c>
      <c r="I43" s="283">
        <f t="shared" si="3"/>
        <v>1320</v>
      </c>
      <c r="J43" s="283">
        <f t="shared" si="3"/>
        <v>1320</v>
      </c>
      <c r="K43" s="284">
        <f t="shared" si="4"/>
        <v>405</v>
      </c>
    </row>
    <row r="44" spans="2:11" ht="12" thickBot="1" x14ac:dyDescent="0.25">
      <c r="C44" s="255"/>
      <c r="D44" s="281" t="s">
        <v>196</v>
      </c>
      <c r="E44" s="282">
        <v>1690</v>
      </c>
      <c r="F44" s="282">
        <f t="shared" si="2"/>
        <v>1690</v>
      </c>
      <c r="G44" s="282">
        <f t="shared" si="2"/>
        <v>1690</v>
      </c>
      <c r="H44" s="283">
        <v>1985</v>
      </c>
      <c r="I44" s="283">
        <f t="shared" si="3"/>
        <v>1985</v>
      </c>
      <c r="J44" s="283">
        <f t="shared" si="3"/>
        <v>1985</v>
      </c>
      <c r="K44" s="284">
        <f t="shared" si="4"/>
        <v>295</v>
      </c>
    </row>
    <row r="45" spans="2:11" ht="12" thickBot="1" x14ac:dyDescent="0.25">
      <c r="C45" s="290" t="s">
        <v>30</v>
      </c>
      <c r="D45" s="380">
        <f>3315+3325</f>
        <v>6640</v>
      </c>
      <c r="I45" s="270"/>
      <c r="J45" s="255" t="s">
        <v>31</v>
      </c>
      <c r="K45" s="271">
        <f>SUM(K31:K44)</f>
        <v>24480</v>
      </c>
    </row>
    <row r="46" spans="2:11" ht="12" thickBot="1" x14ac:dyDescent="0.25">
      <c r="B46" s="279" t="s">
        <v>32</v>
      </c>
      <c r="C46" s="255"/>
      <c r="I46" s="270"/>
      <c r="J46" s="255" t="s">
        <v>41</v>
      </c>
      <c r="K46" s="383">
        <f>((C35-K45)/C35)</f>
        <v>0</v>
      </c>
    </row>
    <row r="47" spans="2:11" ht="12" thickBot="1" x14ac:dyDescent="0.25">
      <c r="B47" s="290" t="s">
        <v>33</v>
      </c>
      <c r="C47" s="290"/>
      <c r="D47" s="381">
        <f>15360+15760</f>
        <v>31120</v>
      </c>
      <c r="E47" s="293" t="s">
        <v>195</v>
      </c>
      <c r="G47" s="271"/>
      <c r="I47" s="270"/>
      <c r="K47" s="294"/>
    </row>
    <row r="48" spans="2:11" ht="12" thickBot="1" x14ac:dyDescent="0.25">
      <c r="B48" s="255" t="s">
        <v>34</v>
      </c>
      <c r="C48" s="255"/>
      <c r="D48" s="292"/>
      <c r="E48" s="382"/>
      <c r="I48" s="270"/>
    </row>
    <row r="49" spans="2:11" ht="12" thickBot="1" x14ac:dyDescent="0.25">
      <c r="B49" s="255" t="s">
        <v>35</v>
      </c>
      <c r="D49" s="291"/>
      <c r="I49" s="270"/>
    </row>
    <row r="50" spans="2:11" ht="27.75" customHeight="1" x14ac:dyDescent="0.2">
      <c r="B50" s="256"/>
      <c r="C50" s="255"/>
      <c r="H50" s="270"/>
      <c r="I50" s="255"/>
    </row>
    <row r="51" spans="2:11" x14ac:dyDescent="0.2">
      <c r="D51" s="257" t="s">
        <v>2</v>
      </c>
      <c r="E51" s="258"/>
      <c r="F51" s="257" t="s">
        <v>23</v>
      </c>
      <c r="G51" s="258"/>
      <c r="H51" s="258"/>
      <c r="I51" s="257" t="s">
        <v>24</v>
      </c>
      <c r="J51" s="258"/>
      <c r="K51" s="257" t="s">
        <v>20</v>
      </c>
    </row>
    <row r="52" spans="2:11" x14ac:dyDescent="0.2">
      <c r="C52" s="280"/>
      <c r="D52" s="257" t="s">
        <v>3</v>
      </c>
      <c r="F52" s="257" t="s">
        <v>5</v>
      </c>
      <c r="I52" s="257" t="s">
        <v>5</v>
      </c>
      <c r="K52" s="257" t="s">
        <v>5</v>
      </c>
    </row>
    <row r="53" spans="2:11" x14ac:dyDescent="0.2">
      <c r="B53" s="258" t="s">
        <v>22</v>
      </c>
      <c r="C53" s="280"/>
      <c r="D53" s="281">
        <v>256</v>
      </c>
      <c r="E53" s="282">
        <v>0</v>
      </c>
      <c r="F53" s="282">
        <v>0</v>
      </c>
      <c r="G53" s="282">
        <v>0</v>
      </c>
      <c r="H53" s="283">
        <v>0</v>
      </c>
      <c r="I53" s="283">
        <v>0</v>
      </c>
      <c r="J53" s="283">
        <v>0</v>
      </c>
      <c r="K53" s="284">
        <f>AVERAGE(H53:J53)-AVERAGE(E53:G53)</f>
        <v>0</v>
      </c>
    </row>
    <row r="54" spans="2:11" ht="12" thickBot="1" x14ac:dyDescent="0.25">
      <c r="B54" s="258" t="s">
        <v>25</v>
      </c>
      <c r="C54" s="280"/>
      <c r="D54" s="281">
        <v>128</v>
      </c>
      <c r="E54" s="282">
        <v>0</v>
      </c>
      <c r="F54" s="282">
        <v>0</v>
      </c>
      <c r="G54" s="282">
        <v>0</v>
      </c>
      <c r="H54" s="283">
        <v>0</v>
      </c>
      <c r="I54" s="283">
        <v>0</v>
      </c>
      <c r="J54" s="283">
        <v>0</v>
      </c>
      <c r="K54" s="284">
        <f t="shared" ref="K54:K60" si="5">AVERAGE(H54:J54)-AVERAGE(E54:G54)</f>
        <v>0</v>
      </c>
    </row>
    <row r="55" spans="2:11" ht="12" thickBot="1" x14ac:dyDescent="0.25">
      <c r="B55" s="258" t="s">
        <v>0</v>
      </c>
      <c r="C55" s="285"/>
      <c r="D55" s="286">
        <v>63</v>
      </c>
      <c r="E55" s="282">
        <v>0</v>
      </c>
      <c r="F55" s="282">
        <v>0</v>
      </c>
      <c r="G55" s="282">
        <v>0</v>
      </c>
      <c r="H55" s="283">
        <v>0</v>
      </c>
      <c r="I55" s="283">
        <v>0</v>
      </c>
      <c r="J55" s="283">
        <v>0</v>
      </c>
      <c r="K55" s="284">
        <f t="shared" si="5"/>
        <v>0</v>
      </c>
    </row>
    <row r="56" spans="2:11" ht="12" thickBot="1" x14ac:dyDescent="0.25">
      <c r="B56" s="258" t="s">
        <v>26</v>
      </c>
      <c r="C56" s="287"/>
      <c r="D56" s="286">
        <v>31.5</v>
      </c>
      <c r="E56" s="282">
        <v>0</v>
      </c>
      <c r="F56" s="282">
        <v>0</v>
      </c>
      <c r="G56" s="282">
        <v>0</v>
      </c>
      <c r="H56" s="283">
        <v>0</v>
      </c>
      <c r="I56" s="283">
        <v>0</v>
      </c>
      <c r="J56" s="283">
        <v>0</v>
      </c>
      <c r="K56" s="284">
        <f t="shared" si="5"/>
        <v>0</v>
      </c>
    </row>
    <row r="57" spans="2:11" ht="12" thickBot="1" x14ac:dyDescent="0.25">
      <c r="B57" s="258" t="s">
        <v>27</v>
      </c>
      <c r="C57" s="288">
        <f>D69-D67</f>
        <v>0</v>
      </c>
      <c r="D57" s="286">
        <v>16</v>
      </c>
      <c r="E57" s="282">
        <v>0</v>
      </c>
      <c r="F57" s="282">
        <v>0</v>
      </c>
      <c r="G57" s="282">
        <v>0</v>
      </c>
      <c r="H57" s="283">
        <v>0</v>
      </c>
      <c r="I57" s="283">
        <v>0</v>
      </c>
      <c r="J57" s="283">
        <v>0</v>
      </c>
      <c r="K57" s="284">
        <f t="shared" si="5"/>
        <v>0</v>
      </c>
    </row>
    <row r="58" spans="2:11" x14ac:dyDescent="0.2">
      <c r="B58" s="258" t="s">
        <v>28</v>
      </c>
      <c r="C58" s="256" t="s">
        <v>29</v>
      </c>
      <c r="D58" s="281">
        <v>8</v>
      </c>
      <c r="E58" s="282">
        <v>0</v>
      </c>
      <c r="F58" s="282">
        <v>0</v>
      </c>
      <c r="G58" s="282">
        <v>0</v>
      </c>
      <c r="H58" s="283">
        <v>0</v>
      </c>
      <c r="I58" s="283">
        <v>0</v>
      </c>
      <c r="J58" s="283">
        <v>0</v>
      </c>
      <c r="K58" s="284">
        <f t="shared" si="5"/>
        <v>0</v>
      </c>
    </row>
    <row r="59" spans="2:11" x14ac:dyDescent="0.2">
      <c r="D59" s="281">
        <v>4</v>
      </c>
      <c r="E59" s="282">
        <v>0</v>
      </c>
      <c r="F59" s="282">
        <v>0</v>
      </c>
      <c r="G59" s="282">
        <v>0</v>
      </c>
      <c r="H59" s="283">
        <v>0</v>
      </c>
      <c r="I59" s="283">
        <v>0</v>
      </c>
      <c r="J59" s="283">
        <v>0</v>
      </c>
      <c r="K59" s="284">
        <f t="shared" si="5"/>
        <v>0</v>
      </c>
    </row>
    <row r="60" spans="2:11" x14ac:dyDescent="0.2">
      <c r="B60" s="258"/>
      <c r="C60" s="255"/>
      <c r="D60" s="281">
        <v>2</v>
      </c>
      <c r="E60" s="282">
        <v>0</v>
      </c>
      <c r="F60" s="282">
        <v>0</v>
      </c>
      <c r="G60" s="282">
        <v>0</v>
      </c>
      <c r="H60" s="283">
        <v>0</v>
      </c>
      <c r="I60" s="283">
        <v>0</v>
      </c>
      <c r="J60" s="283">
        <v>0</v>
      </c>
      <c r="K60" s="284">
        <f t="shared" si="5"/>
        <v>0</v>
      </c>
    </row>
    <row r="61" spans="2:11" x14ac:dyDescent="0.2">
      <c r="C61" s="255"/>
      <c r="D61" s="281">
        <v>1</v>
      </c>
      <c r="E61" s="282">
        <v>0</v>
      </c>
      <c r="F61" s="282">
        <v>0</v>
      </c>
      <c r="G61" s="282">
        <v>0</v>
      </c>
      <c r="H61" s="283">
        <v>0</v>
      </c>
      <c r="I61" s="283">
        <v>0</v>
      </c>
      <c r="J61" s="283">
        <v>0</v>
      </c>
      <c r="K61" s="284">
        <f>AVERAGE(H61:J61)-AVERAGE(E61:G61)</f>
        <v>0</v>
      </c>
    </row>
    <row r="62" spans="2:11" x14ac:dyDescent="0.2">
      <c r="C62" s="255"/>
      <c r="D62" s="281">
        <v>0.5</v>
      </c>
      <c r="E62" s="282">
        <v>0</v>
      </c>
      <c r="F62" s="282">
        <v>0</v>
      </c>
      <c r="G62" s="282">
        <v>0</v>
      </c>
      <c r="H62" s="283">
        <v>0</v>
      </c>
      <c r="I62" s="283">
        <v>0</v>
      </c>
      <c r="J62" s="283">
        <v>0</v>
      </c>
      <c r="K62" s="284">
        <f>AVERAGE(H62:J62)-AVERAGE(E62:G62)</f>
        <v>0</v>
      </c>
    </row>
    <row r="63" spans="2:11" x14ac:dyDescent="0.2">
      <c r="C63" s="255"/>
      <c r="D63" s="281">
        <v>0.25</v>
      </c>
      <c r="E63" s="282">
        <v>0</v>
      </c>
      <c r="F63" s="282">
        <v>0</v>
      </c>
      <c r="G63" s="282">
        <v>0</v>
      </c>
      <c r="H63" s="283">
        <v>0</v>
      </c>
      <c r="I63" s="283">
        <v>0</v>
      </c>
      <c r="J63" s="283">
        <v>0</v>
      </c>
      <c r="K63" s="284">
        <f>AVERAGE(H63:J63)-AVERAGE(E63:G63)</f>
        <v>0</v>
      </c>
    </row>
    <row r="64" spans="2:11" x14ac:dyDescent="0.2">
      <c r="C64" s="255"/>
      <c r="D64" s="281">
        <v>0.125</v>
      </c>
      <c r="E64" s="282">
        <v>0</v>
      </c>
      <c r="F64" s="282">
        <v>0</v>
      </c>
      <c r="G64" s="282">
        <v>0</v>
      </c>
      <c r="H64" s="283">
        <v>0</v>
      </c>
      <c r="I64" s="283">
        <v>0</v>
      </c>
      <c r="J64" s="283">
        <v>0</v>
      </c>
      <c r="K64" s="284">
        <f>AVERAGE(H64:J64)-AVERAGE(E64:G64)</f>
        <v>0</v>
      </c>
    </row>
    <row r="65" spans="2:11" x14ac:dyDescent="0.2">
      <c r="C65" s="255"/>
      <c r="D65" s="281">
        <v>6.3E-2</v>
      </c>
      <c r="E65" s="282">
        <v>0</v>
      </c>
      <c r="F65" s="282">
        <v>0</v>
      </c>
      <c r="G65" s="282">
        <v>0</v>
      </c>
      <c r="H65" s="283">
        <v>0</v>
      </c>
      <c r="I65" s="283">
        <v>0</v>
      </c>
      <c r="J65" s="283">
        <v>0</v>
      </c>
      <c r="K65" s="284">
        <f t="shared" ref="K65" si="6">AVERAGE(H65:J65)-AVERAGE(E65:G65)</f>
        <v>0</v>
      </c>
    </row>
    <row r="66" spans="2:11" ht="12" thickBot="1" x14ac:dyDescent="0.25">
      <c r="C66" s="255"/>
      <c r="D66" s="281" t="s">
        <v>196</v>
      </c>
      <c r="E66" s="282">
        <v>0</v>
      </c>
      <c r="F66" s="282">
        <v>0</v>
      </c>
      <c r="G66" s="282">
        <v>0</v>
      </c>
      <c r="H66" s="283">
        <v>0</v>
      </c>
      <c r="I66" s="283">
        <v>0</v>
      </c>
      <c r="J66" s="283">
        <v>0</v>
      </c>
      <c r="K66" s="284">
        <f>AVERAGE(H66:J66)-AVERAGE(E66:G66)</f>
        <v>0</v>
      </c>
    </row>
    <row r="67" spans="2:11" ht="12" thickBot="1" x14ac:dyDescent="0.25">
      <c r="C67" s="255" t="s">
        <v>36</v>
      </c>
      <c r="D67" s="291"/>
      <c r="I67" s="270"/>
      <c r="J67" s="255" t="s">
        <v>31</v>
      </c>
      <c r="K67" s="271">
        <f>SUM(K53:K66)</f>
        <v>0</v>
      </c>
    </row>
    <row r="68" spans="2:11" ht="12" thickBot="1" x14ac:dyDescent="0.25">
      <c r="B68" s="279" t="s">
        <v>32</v>
      </c>
      <c r="C68" s="255"/>
      <c r="I68" s="270"/>
      <c r="J68" s="255" t="s">
        <v>41</v>
      </c>
      <c r="K68" s="272" t="e">
        <f>((C57-K67)/C57)</f>
        <v>#DIV/0!</v>
      </c>
    </row>
    <row r="69" spans="2:11" ht="12" thickBot="1" x14ac:dyDescent="0.25">
      <c r="B69" s="255" t="s">
        <v>33</v>
      </c>
      <c r="C69" s="255"/>
      <c r="D69" s="291"/>
      <c r="I69" s="270"/>
      <c r="J69" s="255" t="s">
        <v>194</v>
      </c>
      <c r="K69" s="294" t="e">
        <f>(C57-D71)/C57</f>
        <v>#DIV/0!</v>
      </c>
    </row>
    <row r="70" spans="2:11" ht="12" thickBot="1" x14ac:dyDescent="0.25">
      <c r="B70" s="255" t="s">
        <v>34</v>
      </c>
      <c r="C70" s="255"/>
      <c r="D70" s="291"/>
      <c r="I70" s="270"/>
    </row>
    <row r="71" spans="2:11" ht="12" thickBot="1" x14ac:dyDescent="0.25">
      <c r="B71" s="255" t="s">
        <v>37</v>
      </c>
      <c r="D71" s="291">
        <f>D70-D67</f>
        <v>0</v>
      </c>
      <c r="I71" s="270"/>
    </row>
    <row r="72" spans="2:11" ht="29.25" customHeight="1" x14ac:dyDescent="0.2">
      <c r="I72" s="270"/>
    </row>
    <row r="73" spans="2:11" x14ac:dyDescent="0.2">
      <c r="D73" s="257" t="s">
        <v>2</v>
      </c>
      <c r="E73" s="258"/>
      <c r="F73" s="257" t="s">
        <v>23</v>
      </c>
      <c r="G73" s="258"/>
      <c r="H73" s="258"/>
      <c r="I73" s="257" t="s">
        <v>24</v>
      </c>
      <c r="J73" s="258"/>
      <c r="K73" s="257" t="s">
        <v>20</v>
      </c>
    </row>
    <row r="74" spans="2:11" x14ac:dyDescent="0.2">
      <c r="C74" s="280"/>
      <c r="D74" s="257" t="s">
        <v>3</v>
      </c>
      <c r="F74" s="257" t="s">
        <v>5</v>
      </c>
      <c r="I74" s="257" t="s">
        <v>5</v>
      </c>
      <c r="K74" s="257" t="s">
        <v>5</v>
      </c>
    </row>
    <row r="75" spans="2:11" x14ac:dyDescent="0.2">
      <c r="B75" s="258" t="s">
        <v>22</v>
      </c>
      <c r="C75" s="280"/>
      <c r="D75" s="281">
        <v>256</v>
      </c>
      <c r="E75" s="282"/>
      <c r="F75" s="282"/>
      <c r="G75" s="282"/>
      <c r="H75" s="283"/>
      <c r="I75" s="283"/>
      <c r="J75" s="283"/>
      <c r="K75" s="284"/>
    </row>
    <row r="76" spans="2:11" ht="12" thickBot="1" x14ac:dyDescent="0.25">
      <c r="B76" s="258" t="s">
        <v>25</v>
      </c>
      <c r="C76" s="280"/>
      <c r="D76" s="281">
        <v>128</v>
      </c>
      <c r="E76" s="282"/>
      <c r="F76" s="282"/>
      <c r="G76" s="282"/>
      <c r="H76" s="283"/>
      <c r="I76" s="283"/>
      <c r="J76" s="283"/>
      <c r="K76" s="284"/>
    </row>
    <row r="77" spans="2:11" ht="12" thickBot="1" x14ac:dyDescent="0.25">
      <c r="B77" s="258" t="s">
        <v>0</v>
      </c>
      <c r="C77" s="285"/>
      <c r="D77" s="286">
        <v>63</v>
      </c>
      <c r="E77" s="282"/>
      <c r="F77" s="282"/>
      <c r="G77" s="282"/>
      <c r="H77" s="283"/>
      <c r="I77" s="283"/>
      <c r="J77" s="283"/>
      <c r="K77" s="284"/>
    </row>
    <row r="78" spans="2:11" ht="12" thickBot="1" x14ac:dyDescent="0.25">
      <c r="B78" s="258" t="s">
        <v>26</v>
      </c>
      <c r="C78" s="287"/>
      <c r="D78" s="286">
        <v>31.5</v>
      </c>
      <c r="E78" s="282"/>
      <c r="F78" s="282"/>
      <c r="G78" s="282"/>
      <c r="H78" s="283"/>
      <c r="I78" s="283"/>
      <c r="J78" s="283"/>
      <c r="K78" s="284"/>
    </row>
    <row r="79" spans="2:11" ht="12" thickBot="1" x14ac:dyDescent="0.25">
      <c r="B79" s="258" t="s">
        <v>27</v>
      </c>
      <c r="C79" s="288">
        <f>D91-D89</f>
        <v>0</v>
      </c>
      <c r="D79" s="286">
        <v>16</v>
      </c>
      <c r="E79" s="282"/>
      <c r="F79" s="282"/>
      <c r="G79" s="282"/>
      <c r="H79" s="283"/>
      <c r="I79" s="283"/>
      <c r="J79" s="283"/>
      <c r="K79" s="284"/>
    </row>
    <row r="80" spans="2:11" x14ac:dyDescent="0.2">
      <c r="B80" s="258" t="s">
        <v>28</v>
      </c>
      <c r="C80" s="256" t="s">
        <v>29</v>
      </c>
      <c r="D80" s="281">
        <v>8</v>
      </c>
      <c r="E80" s="282"/>
      <c r="F80" s="282"/>
      <c r="G80" s="282"/>
      <c r="H80" s="283"/>
      <c r="I80" s="283"/>
      <c r="J80" s="283"/>
      <c r="K80" s="284"/>
    </row>
    <row r="81" spans="2:11" x14ac:dyDescent="0.2">
      <c r="D81" s="281">
        <v>4</v>
      </c>
      <c r="E81" s="282"/>
      <c r="F81" s="282"/>
      <c r="G81" s="282"/>
      <c r="H81" s="283"/>
      <c r="I81" s="283"/>
      <c r="J81" s="283"/>
      <c r="K81" s="284"/>
    </row>
    <row r="82" spans="2:11" x14ac:dyDescent="0.2">
      <c r="B82" s="258"/>
      <c r="C82" s="255"/>
      <c r="D82" s="281">
        <v>2</v>
      </c>
      <c r="E82" s="282"/>
      <c r="F82" s="282"/>
      <c r="G82" s="282"/>
      <c r="H82" s="283"/>
      <c r="I82" s="283"/>
      <c r="J82" s="283"/>
      <c r="K82" s="284"/>
    </row>
    <row r="83" spans="2:11" x14ac:dyDescent="0.2">
      <c r="C83" s="255"/>
      <c r="D83" s="281">
        <v>1</v>
      </c>
      <c r="E83" s="282"/>
      <c r="F83" s="282"/>
      <c r="G83" s="282"/>
      <c r="H83" s="283"/>
      <c r="I83" s="283"/>
      <c r="J83" s="283"/>
      <c r="K83" s="284"/>
    </row>
    <row r="84" spans="2:11" x14ac:dyDescent="0.2">
      <c r="C84" s="255"/>
      <c r="D84" s="281">
        <v>0.5</v>
      </c>
      <c r="E84" s="282"/>
      <c r="F84" s="282"/>
      <c r="G84" s="282"/>
      <c r="H84" s="283"/>
      <c r="I84" s="283"/>
      <c r="J84" s="283"/>
      <c r="K84" s="284"/>
    </row>
    <row r="85" spans="2:11" x14ac:dyDescent="0.2">
      <c r="C85" s="255"/>
      <c r="D85" s="281">
        <v>0.25</v>
      </c>
      <c r="E85" s="282"/>
      <c r="F85" s="282"/>
      <c r="G85" s="282"/>
      <c r="H85" s="283"/>
      <c r="I85" s="283"/>
      <c r="J85" s="283"/>
      <c r="K85" s="284"/>
    </row>
    <row r="86" spans="2:11" x14ac:dyDescent="0.2">
      <c r="C86" s="255"/>
      <c r="D86" s="281">
        <v>0.125</v>
      </c>
      <c r="E86" s="282"/>
      <c r="F86" s="282"/>
      <c r="G86" s="282"/>
      <c r="H86" s="283"/>
      <c r="I86" s="283"/>
      <c r="J86" s="283"/>
      <c r="K86" s="284"/>
    </row>
    <row r="87" spans="2:11" x14ac:dyDescent="0.2">
      <c r="C87" s="255"/>
      <c r="D87" s="281">
        <v>6.3E-2</v>
      </c>
      <c r="E87" s="282"/>
      <c r="F87" s="282"/>
      <c r="G87" s="282"/>
      <c r="H87" s="283"/>
      <c r="I87" s="283"/>
      <c r="J87" s="283"/>
      <c r="K87" s="284"/>
    </row>
    <row r="88" spans="2:11" ht="12" thickBot="1" x14ac:dyDescent="0.25">
      <c r="C88" s="255"/>
      <c r="D88" s="281" t="s">
        <v>196</v>
      </c>
      <c r="E88" s="289"/>
      <c r="F88" s="289"/>
      <c r="G88" s="289"/>
      <c r="H88" s="283"/>
      <c r="I88" s="283"/>
      <c r="J88" s="283"/>
      <c r="K88" s="284"/>
    </row>
    <row r="89" spans="2:11" ht="12" thickBot="1" x14ac:dyDescent="0.25">
      <c r="C89" s="255" t="s">
        <v>38</v>
      </c>
      <c r="D89" s="291"/>
      <c r="I89" s="270"/>
      <c r="J89" s="255" t="s">
        <v>31</v>
      </c>
      <c r="K89" s="271">
        <f>SUM(K75:K88)</f>
        <v>0</v>
      </c>
    </row>
    <row r="90" spans="2:11" ht="12" thickBot="1" x14ac:dyDescent="0.25">
      <c r="B90" s="279" t="s">
        <v>32</v>
      </c>
      <c r="C90" s="255"/>
      <c r="I90" s="270"/>
      <c r="J90" s="255" t="s">
        <v>41</v>
      </c>
      <c r="K90" s="272" t="e">
        <f>((C79-K89)/C79)*100</f>
        <v>#DIV/0!</v>
      </c>
    </row>
    <row r="91" spans="2:11" ht="12" thickBot="1" x14ac:dyDescent="0.25">
      <c r="B91" s="255" t="s">
        <v>33</v>
      </c>
      <c r="C91" s="255"/>
      <c r="D91" s="291"/>
      <c r="I91" s="270"/>
    </row>
    <row r="92" spans="2:11" ht="12" thickBot="1" x14ac:dyDescent="0.25">
      <c r="B92" s="255" t="s">
        <v>39</v>
      </c>
      <c r="C92" s="255"/>
      <c r="D92" s="291"/>
      <c r="I92" s="270"/>
    </row>
    <row r="93" spans="2:11" ht="12" thickBot="1" x14ac:dyDescent="0.25">
      <c r="B93" s="255" t="s">
        <v>37</v>
      </c>
      <c r="D93" s="291">
        <f>D92-D89</f>
        <v>0</v>
      </c>
      <c r="I93" s="270"/>
    </row>
    <row r="94" spans="2:11" ht="33.75" customHeight="1" x14ac:dyDescent="0.2">
      <c r="I94" s="270"/>
    </row>
    <row r="95" spans="2:11" x14ac:dyDescent="0.2">
      <c r="D95" s="257" t="s">
        <v>2</v>
      </c>
      <c r="E95" s="258"/>
      <c r="F95" s="257" t="s">
        <v>23</v>
      </c>
      <c r="G95" s="258"/>
      <c r="H95" s="258"/>
      <c r="I95" s="257" t="s">
        <v>24</v>
      </c>
      <c r="J95" s="258"/>
      <c r="K95" s="257" t="s">
        <v>20</v>
      </c>
    </row>
    <row r="96" spans="2:11" x14ac:dyDescent="0.2">
      <c r="C96" s="280"/>
      <c r="D96" s="257" t="s">
        <v>3</v>
      </c>
      <c r="F96" s="257" t="s">
        <v>5</v>
      </c>
      <c r="I96" s="257" t="s">
        <v>5</v>
      </c>
      <c r="K96" s="257" t="s">
        <v>5</v>
      </c>
    </row>
    <row r="97" spans="2:11" x14ac:dyDescent="0.2">
      <c r="B97" s="258" t="s">
        <v>22</v>
      </c>
      <c r="C97" s="280"/>
      <c r="D97" s="281">
        <v>256</v>
      </c>
      <c r="E97" s="282"/>
      <c r="F97" s="282"/>
      <c r="G97" s="282"/>
      <c r="H97" s="283"/>
      <c r="I97" s="283"/>
      <c r="J97" s="283"/>
      <c r="K97" s="284"/>
    </row>
    <row r="98" spans="2:11" ht="12" thickBot="1" x14ac:dyDescent="0.25">
      <c r="B98" s="258" t="s">
        <v>25</v>
      </c>
      <c r="C98" s="280"/>
      <c r="D98" s="281">
        <v>128</v>
      </c>
      <c r="E98" s="282"/>
      <c r="F98" s="282"/>
      <c r="G98" s="282"/>
      <c r="H98" s="283"/>
      <c r="I98" s="283"/>
      <c r="J98" s="283"/>
      <c r="K98" s="284"/>
    </row>
    <row r="99" spans="2:11" ht="12" thickBot="1" x14ac:dyDescent="0.25">
      <c r="B99" s="258" t="s">
        <v>0</v>
      </c>
      <c r="C99" s="285"/>
      <c r="D99" s="286">
        <v>63</v>
      </c>
      <c r="E99" s="282"/>
      <c r="F99" s="282"/>
      <c r="G99" s="282"/>
      <c r="H99" s="283"/>
      <c r="I99" s="283"/>
      <c r="J99" s="283"/>
      <c r="K99" s="284"/>
    </row>
    <row r="100" spans="2:11" ht="12" thickBot="1" x14ac:dyDescent="0.25">
      <c r="B100" s="258" t="s">
        <v>26</v>
      </c>
      <c r="C100" s="287"/>
      <c r="D100" s="286">
        <v>31.5</v>
      </c>
      <c r="E100" s="282"/>
      <c r="F100" s="282"/>
      <c r="G100" s="282"/>
      <c r="H100" s="283"/>
      <c r="I100" s="283"/>
      <c r="J100" s="283"/>
      <c r="K100" s="284"/>
    </row>
    <row r="101" spans="2:11" ht="12" thickBot="1" x14ac:dyDescent="0.25">
      <c r="B101" s="258" t="s">
        <v>27</v>
      </c>
      <c r="C101" s="288">
        <f>D113-D111</f>
        <v>0</v>
      </c>
      <c r="D101" s="286">
        <v>16</v>
      </c>
      <c r="E101" s="282"/>
      <c r="F101" s="282"/>
      <c r="G101" s="282"/>
      <c r="H101" s="283"/>
      <c r="I101" s="283"/>
      <c r="J101" s="283"/>
      <c r="K101" s="284"/>
    </row>
    <row r="102" spans="2:11" x14ac:dyDescent="0.2">
      <c r="B102" s="258" t="s">
        <v>28</v>
      </c>
      <c r="C102" s="256" t="s">
        <v>29</v>
      </c>
      <c r="D102" s="281">
        <v>8</v>
      </c>
      <c r="E102" s="282"/>
      <c r="F102" s="282"/>
      <c r="G102" s="282"/>
      <c r="H102" s="283"/>
      <c r="I102" s="283"/>
      <c r="J102" s="283"/>
      <c r="K102" s="284"/>
    </row>
    <row r="103" spans="2:11" x14ac:dyDescent="0.2">
      <c r="D103" s="281">
        <v>4</v>
      </c>
      <c r="E103" s="282"/>
      <c r="F103" s="282"/>
      <c r="G103" s="282"/>
      <c r="H103" s="283"/>
      <c r="I103" s="283"/>
      <c r="J103" s="283"/>
      <c r="K103" s="284"/>
    </row>
    <row r="104" spans="2:11" x14ac:dyDescent="0.2">
      <c r="B104" s="258"/>
      <c r="C104" s="255"/>
      <c r="D104" s="281">
        <v>2</v>
      </c>
      <c r="E104" s="282"/>
      <c r="F104" s="282"/>
      <c r="G104" s="282"/>
      <c r="H104" s="283"/>
      <c r="I104" s="283"/>
      <c r="J104" s="283"/>
      <c r="K104" s="284"/>
    </row>
    <row r="105" spans="2:11" x14ac:dyDescent="0.2">
      <c r="C105" s="255"/>
      <c r="D105" s="281">
        <v>1</v>
      </c>
      <c r="E105" s="282"/>
      <c r="F105" s="282"/>
      <c r="G105" s="282"/>
      <c r="H105" s="283"/>
      <c r="I105" s="283"/>
      <c r="J105" s="283"/>
      <c r="K105" s="284"/>
    </row>
    <row r="106" spans="2:11" x14ac:dyDescent="0.2">
      <c r="C106" s="255"/>
      <c r="D106" s="281">
        <v>0.5</v>
      </c>
      <c r="E106" s="282"/>
      <c r="F106" s="282"/>
      <c r="G106" s="282"/>
      <c r="H106" s="283"/>
      <c r="I106" s="283"/>
      <c r="J106" s="283"/>
      <c r="K106" s="284"/>
    </row>
    <row r="107" spans="2:11" x14ac:dyDescent="0.2">
      <c r="C107" s="255"/>
      <c r="D107" s="281">
        <v>0.25</v>
      </c>
      <c r="E107" s="282"/>
      <c r="F107" s="282"/>
      <c r="G107" s="282"/>
      <c r="H107" s="283"/>
      <c r="I107" s="283"/>
      <c r="J107" s="283"/>
      <c r="K107" s="284"/>
    </row>
    <row r="108" spans="2:11" x14ac:dyDescent="0.2">
      <c r="C108" s="255"/>
      <c r="D108" s="281">
        <v>0.125</v>
      </c>
      <c r="E108" s="282"/>
      <c r="F108" s="282"/>
      <c r="G108" s="282"/>
      <c r="H108" s="283"/>
      <c r="I108" s="283"/>
      <c r="J108" s="283"/>
      <c r="K108" s="284"/>
    </row>
    <row r="109" spans="2:11" x14ac:dyDescent="0.2">
      <c r="C109" s="255"/>
      <c r="D109" s="281">
        <v>6.3E-2</v>
      </c>
      <c r="E109" s="282"/>
      <c r="F109" s="282"/>
      <c r="G109" s="282"/>
      <c r="H109" s="283"/>
      <c r="I109" s="283"/>
      <c r="J109" s="283"/>
      <c r="K109" s="284"/>
    </row>
    <row r="110" spans="2:11" ht="12" thickBot="1" x14ac:dyDescent="0.25">
      <c r="C110" s="255"/>
      <c r="D110" s="281" t="s">
        <v>196</v>
      </c>
      <c r="E110" s="289"/>
      <c r="F110" s="289"/>
      <c r="G110" s="289"/>
      <c r="H110" s="283"/>
      <c r="I110" s="283"/>
      <c r="J110" s="283"/>
      <c r="K110" s="284"/>
    </row>
    <row r="111" spans="2:11" ht="12" thickBot="1" x14ac:dyDescent="0.25">
      <c r="C111" s="255" t="s">
        <v>40</v>
      </c>
      <c r="D111" s="291"/>
      <c r="I111" s="270"/>
      <c r="J111" s="255" t="s">
        <v>31</v>
      </c>
      <c r="K111" s="271">
        <f>SUM(K97:K110)</f>
        <v>0</v>
      </c>
    </row>
    <row r="112" spans="2:11" ht="12" thickBot="1" x14ac:dyDescent="0.25">
      <c r="B112" s="279" t="s">
        <v>32</v>
      </c>
      <c r="C112" s="255"/>
      <c r="I112" s="270"/>
      <c r="J112" s="255" t="s">
        <v>41</v>
      </c>
      <c r="K112" s="272" t="e">
        <f>((C101-K111)/C101)*100</f>
        <v>#DIV/0!</v>
      </c>
    </row>
    <row r="113" spans="2:9" ht="12" thickBot="1" x14ac:dyDescent="0.25">
      <c r="B113" s="255" t="s">
        <v>33</v>
      </c>
      <c r="C113" s="255"/>
      <c r="D113" s="291"/>
      <c r="I113" s="270"/>
    </row>
    <row r="114" spans="2:9" ht="12" thickBot="1" x14ac:dyDescent="0.25">
      <c r="B114" s="255" t="s">
        <v>34</v>
      </c>
      <c r="C114" s="255"/>
      <c r="D114" s="291"/>
      <c r="I114" s="270"/>
    </row>
    <row r="115" spans="2:9" ht="12" thickBot="1" x14ac:dyDescent="0.25">
      <c r="B115" s="255" t="s">
        <v>35</v>
      </c>
      <c r="D115" s="291">
        <f>D114-D111</f>
        <v>0</v>
      </c>
      <c r="I115" s="270"/>
    </row>
    <row r="116" spans="2:9" x14ac:dyDescent="0.2">
      <c r="I116" s="270"/>
    </row>
    <row r="117" spans="2:9" x14ac:dyDescent="0.2">
      <c r="I117" s="270"/>
    </row>
    <row r="118" spans="2:9" x14ac:dyDescent="0.2">
      <c r="I118" s="270"/>
    </row>
    <row r="119" spans="2:9" x14ac:dyDescent="0.2">
      <c r="I119" s="270"/>
    </row>
    <row r="120" spans="2:9" x14ac:dyDescent="0.2">
      <c r="I120" s="270"/>
    </row>
  </sheetData>
  <mergeCells count="3">
    <mergeCell ref="A10:A13"/>
    <mergeCell ref="A14:A19"/>
    <mergeCell ref="A20:A25"/>
  </mergeCells>
  <conditionalFormatting sqref="F4:F13">
    <cfRule type="cellIs" dxfId="0" priority="1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L27" sqref="L27"/>
    </sheetView>
  </sheetViews>
  <sheetFormatPr defaultColWidth="9.140625" defaultRowHeight="12.75" x14ac:dyDescent="0.2"/>
  <cols>
    <col min="1" max="1" width="11.7109375" customWidth="1"/>
    <col min="2" max="2" width="25.5703125" customWidth="1"/>
    <col min="3" max="3" width="13.140625" customWidth="1"/>
    <col min="4" max="4" width="15" customWidth="1"/>
    <col min="5" max="5" width="15.42578125" customWidth="1"/>
    <col min="6" max="6" width="16.5703125" customWidth="1"/>
    <col min="8" max="8" width="14.42578125" customWidth="1"/>
    <col min="9" max="9" width="6.42578125" customWidth="1"/>
    <col min="10" max="10" width="7" customWidth="1"/>
    <col min="11" max="11" width="6.7109375" customWidth="1"/>
  </cols>
  <sheetData>
    <row r="1" spans="1:11" ht="15.75" x14ac:dyDescent="0.25">
      <c r="B1" s="21" t="s">
        <v>2</v>
      </c>
      <c r="C1" s="394" t="s">
        <v>20</v>
      </c>
      <c r="D1" s="395"/>
      <c r="E1" s="395"/>
      <c r="F1" s="396"/>
    </row>
    <row r="2" spans="1:11" ht="16.5" thickBot="1" x14ac:dyDescent="0.3">
      <c r="B2" s="22" t="s">
        <v>3</v>
      </c>
      <c r="C2" s="397" t="s">
        <v>5</v>
      </c>
      <c r="D2" s="398"/>
      <c r="E2" s="398"/>
      <c r="F2" s="399"/>
    </row>
    <row r="3" spans="1:11" x14ac:dyDescent="0.2">
      <c r="B3" s="19" t="s">
        <v>1</v>
      </c>
      <c r="C3" s="400">
        <f>'Input-data'!C4</f>
        <v>44377</v>
      </c>
      <c r="D3" s="401"/>
      <c r="E3" s="401"/>
      <c r="F3" s="402"/>
    </row>
    <row r="4" spans="1:11" x14ac:dyDescent="0.2">
      <c r="B4" s="20" t="s">
        <v>42</v>
      </c>
      <c r="C4" s="419">
        <f>'Input-data'!C5</f>
        <v>0</v>
      </c>
      <c r="D4" s="420"/>
      <c r="E4" s="420"/>
      <c r="F4" s="421"/>
    </row>
    <row r="5" spans="1:11" x14ac:dyDescent="0.2">
      <c r="B5" s="20" t="s">
        <v>43</v>
      </c>
      <c r="C5" s="422">
        <f>'Input-data'!C6</f>
        <v>0</v>
      </c>
      <c r="D5" s="423"/>
      <c r="E5" s="423"/>
      <c r="F5" s="424"/>
    </row>
    <row r="6" spans="1:11" x14ac:dyDescent="0.2">
      <c r="B6" s="20" t="s">
        <v>0</v>
      </c>
      <c r="C6" s="403" t="str">
        <f>'Input-data'!C7</f>
        <v>MS3_FC2-2</v>
      </c>
      <c r="D6" s="404"/>
      <c r="E6" s="404"/>
      <c r="F6" s="405"/>
      <c r="G6" s="7"/>
    </row>
    <row r="7" spans="1:11" x14ac:dyDescent="0.2">
      <c r="B7" s="20" t="s">
        <v>4</v>
      </c>
      <c r="C7" s="416">
        <f>'Input-data'!C8</f>
        <v>0</v>
      </c>
      <c r="D7" s="417"/>
      <c r="E7" s="417"/>
      <c r="F7" s="418"/>
      <c r="G7" s="7"/>
    </row>
    <row r="8" spans="1:11" x14ac:dyDescent="0.2">
      <c r="B8" s="20" t="s">
        <v>11</v>
      </c>
      <c r="C8" s="425">
        <f>(C9-D12)/D12</f>
        <v>0</v>
      </c>
      <c r="D8" s="426"/>
      <c r="E8" s="426"/>
      <c r="F8" s="427"/>
      <c r="G8" s="7"/>
    </row>
    <row r="9" spans="1:11" ht="13.5" thickBot="1" x14ac:dyDescent="0.25">
      <c r="B9" s="224" t="s">
        <v>6</v>
      </c>
      <c r="C9" s="406">
        <f>'Input-data'!C9</f>
        <v>24480</v>
      </c>
      <c r="D9" s="407"/>
      <c r="E9" s="407"/>
      <c r="F9" s="408"/>
      <c r="G9" s="7"/>
    </row>
    <row r="10" spans="1:11" ht="30.75" customHeight="1" thickBot="1" x14ac:dyDescent="0.25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">
      <c r="A11" s="409" t="s">
        <v>52</v>
      </c>
      <c r="B11" s="230">
        <v>250</v>
      </c>
      <c r="C11" s="242">
        <f>'Input-data'!C10</f>
        <v>0</v>
      </c>
      <c r="D11" s="243">
        <f t="shared" ref="D11:D24" si="0">D12+C11</f>
        <v>24480</v>
      </c>
      <c r="E11" s="246">
        <f>C11/$D$11</f>
        <v>0</v>
      </c>
      <c r="F11" s="247">
        <f t="shared" ref="F11:F24" si="1">F12+E11</f>
        <v>1</v>
      </c>
      <c r="G11" s="7"/>
    </row>
    <row r="12" spans="1:11" ht="17.25" customHeight="1" x14ac:dyDescent="0.2">
      <c r="A12" s="410"/>
      <c r="B12" s="231">
        <v>125</v>
      </c>
      <c r="C12" s="242">
        <f>'Input-data'!C11</f>
        <v>670</v>
      </c>
      <c r="D12" s="244">
        <f t="shared" si="0"/>
        <v>24480</v>
      </c>
      <c r="E12" s="246">
        <f t="shared" ref="E12:E26" si="2">C12/$D$11</f>
        <v>2.7369281045751634E-2</v>
      </c>
      <c r="F12" s="248">
        <f t="shared" si="1"/>
        <v>1</v>
      </c>
      <c r="G12" s="7"/>
    </row>
    <row r="13" spans="1:11" ht="17.25" customHeight="1" x14ac:dyDescent="0.2">
      <c r="A13" s="411"/>
      <c r="B13" s="231">
        <v>63</v>
      </c>
      <c r="C13" s="242">
        <f>'Input-data'!C12</f>
        <v>5570</v>
      </c>
      <c r="D13" s="244">
        <f t="shared" si="0"/>
        <v>23810</v>
      </c>
      <c r="E13" s="246">
        <f t="shared" si="2"/>
        <v>0.22753267973856209</v>
      </c>
      <c r="F13" s="248">
        <f t="shared" si="1"/>
        <v>0.97263071895424835</v>
      </c>
      <c r="G13" s="7"/>
    </row>
    <row r="14" spans="1:11" ht="17.25" customHeight="1" x14ac:dyDescent="0.2">
      <c r="A14" s="413" t="s">
        <v>53</v>
      </c>
      <c r="B14" s="232">
        <v>31.5</v>
      </c>
      <c r="C14" s="242">
        <f>'Input-data'!C13</f>
        <v>4475</v>
      </c>
      <c r="D14" s="244">
        <f t="shared" si="0"/>
        <v>18240</v>
      </c>
      <c r="E14" s="246">
        <f t="shared" si="2"/>
        <v>0.18280228758169934</v>
      </c>
      <c r="F14" s="248">
        <f t="shared" si="1"/>
        <v>0.74509803921568629</v>
      </c>
      <c r="G14" s="7"/>
    </row>
    <row r="15" spans="1:11" ht="17.25" customHeight="1" x14ac:dyDescent="0.2">
      <c r="A15" s="414"/>
      <c r="B15" s="232">
        <v>16</v>
      </c>
      <c r="C15" s="242">
        <f>'Input-data'!C14</f>
        <v>4660</v>
      </c>
      <c r="D15" s="244">
        <f t="shared" si="0"/>
        <v>13765</v>
      </c>
      <c r="E15" s="246">
        <f t="shared" si="2"/>
        <v>0.190359477124183</v>
      </c>
      <c r="F15" s="248">
        <f t="shared" si="1"/>
        <v>0.56229575163398693</v>
      </c>
      <c r="G15" s="7"/>
    </row>
    <row r="16" spans="1:11" ht="17.25" customHeight="1" x14ac:dyDescent="0.2">
      <c r="A16" s="414"/>
      <c r="B16" s="232">
        <v>8</v>
      </c>
      <c r="C16" s="242">
        <f>'Input-data'!C15</f>
        <v>3045</v>
      </c>
      <c r="D16" s="244">
        <f t="shared" si="0"/>
        <v>9105</v>
      </c>
      <c r="E16" s="246">
        <f t="shared" si="2"/>
        <v>0.12438725490196079</v>
      </c>
      <c r="F16" s="248">
        <f t="shared" si="1"/>
        <v>0.37193627450980393</v>
      </c>
      <c r="G16" s="7"/>
      <c r="H16" s="43"/>
      <c r="I16" s="43"/>
      <c r="J16" s="43"/>
      <c r="K16" s="43"/>
    </row>
    <row r="17" spans="1:8" ht="17.25" customHeight="1" x14ac:dyDescent="0.2">
      <c r="A17" s="414"/>
      <c r="B17" s="232">
        <v>4</v>
      </c>
      <c r="C17" s="242">
        <f>'Input-data'!C16</f>
        <v>1740</v>
      </c>
      <c r="D17" s="244">
        <f t="shared" si="0"/>
        <v>6060</v>
      </c>
      <c r="E17" s="246">
        <f>C17/$D$11</f>
        <v>7.1078431372549017E-2</v>
      </c>
      <c r="F17" s="248">
        <f t="shared" si="1"/>
        <v>0.24754901960784315</v>
      </c>
      <c r="G17" s="7"/>
    </row>
    <row r="18" spans="1:8" ht="17.25" customHeight="1" x14ac:dyDescent="0.2">
      <c r="A18" s="415"/>
      <c r="B18" s="232">
        <v>2</v>
      </c>
      <c r="C18" s="242">
        <f>'Input-data'!C17</f>
        <v>780</v>
      </c>
      <c r="D18" s="244">
        <f t="shared" si="0"/>
        <v>4320</v>
      </c>
      <c r="E18" s="246">
        <f t="shared" si="2"/>
        <v>3.1862745098039214E-2</v>
      </c>
      <c r="F18" s="248">
        <f t="shared" si="1"/>
        <v>0.17647058823529413</v>
      </c>
      <c r="G18" s="7"/>
      <c r="H18" s="12"/>
    </row>
    <row r="19" spans="1:8" ht="17.25" customHeight="1" x14ac:dyDescent="0.2">
      <c r="A19" s="412" t="s">
        <v>54</v>
      </c>
      <c r="B19" s="231">
        <v>1</v>
      </c>
      <c r="C19" s="242">
        <f>'Input-data'!C18</f>
        <v>590</v>
      </c>
      <c r="D19" s="244">
        <f t="shared" si="0"/>
        <v>3540</v>
      </c>
      <c r="E19" s="246">
        <f t="shared" si="2"/>
        <v>2.4101307189542485E-2</v>
      </c>
      <c r="F19" s="248">
        <f t="shared" si="1"/>
        <v>0.14460784313725492</v>
      </c>
      <c r="G19" s="7"/>
    </row>
    <row r="20" spans="1:8" ht="17.25" customHeight="1" x14ac:dyDescent="0.2">
      <c r="A20" s="410"/>
      <c r="B20" s="231">
        <v>0.5</v>
      </c>
      <c r="C20" s="242">
        <f>'Input-data'!C19</f>
        <v>1355</v>
      </c>
      <c r="D20" s="244">
        <f t="shared" si="0"/>
        <v>2950</v>
      </c>
      <c r="E20" s="246">
        <f t="shared" si="2"/>
        <v>5.5351307189542481E-2</v>
      </c>
      <c r="F20" s="248">
        <f t="shared" si="1"/>
        <v>0.12050653594771242</v>
      </c>
      <c r="G20" s="7"/>
    </row>
    <row r="21" spans="1:8" ht="17.25" customHeight="1" x14ac:dyDescent="0.2">
      <c r="A21" s="410"/>
      <c r="B21" s="233">
        <v>0.25</v>
      </c>
      <c r="C21" s="242">
        <f>'Input-data'!C20</f>
        <v>895</v>
      </c>
      <c r="D21" s="244">
        <f t="shared" si="0"/>
        <v>1595</v>
      </c>
      <c r="E21" s="246">
        <f t="shared" si="2"/>
        <v>3.6560457516339871E-2</v>
      </c>
      <c r="F21" s="248">
        <f t="shared" si="1"/>
        <v>6.5155228758169939E-2</v>
      </c>
    </row>
    <row r="22" spans="1:8" ht="17.25" customHeight="1" x14ac:dyDescent="0.2">
      <c r="A22" s="410"/>
      <c r="B22" s="233">
        <v>0.125</v>
      </c>
      <c r="C22" s="242">
        <f>'Input-data'!C21</f>
        <v>405</v>
      </c>
      <c r="D22" s="244">
        <f t="shared" si="0"/>
        <v>700</v>
      </c>
      <c r="E22" s="246">
        <f t="shared" si="2"/>
        <v>1.6544117647058824E-2</v>
      </c>
      <c r="F22" s="248">
        <f t="shared" si="1"/>
        <v>2.8594771241830068E-2</v>
      </c>
    </row>
    <row r="23" spans="1:8" ht="17.25" customHeight="1" x14ac:dyDescent="0.2">
      <c r="A23" s="411"/>
      <c r="B23" s="233">
        <v>6.3E-2</v>
      </c>
      <c r="C23" s="242">
        <f>'Input-data'!C22</f>
        <v>295</v>
      </c>
      <c r="D23" s="244">
        <f t="shared" si="0"/>
        <v>295</v>
      </c>
      <c r="E23" s="246">
        <f t="shared" si="2"/>
        <v>1.2050653594771242E-2</v>
      </c>
      <c r="F23" s="248">
        <f t="shared" si="1"/>
        <v>1.2050653594771242E-2</v>
      </c>
    </row>
    <row r="24" spans="1:8" ht="17.25" customHeight="1" x14ac:dyDescent="0.2">
      <c r="A24" s="226" t="s">
        <v>55</v>
      </c>
      <c r="B24" s="234">
        <v>3.1E-2</v>
      </c>
      <c r="C24" s="242">
        <f>'Input-data'!C23</f>
        <v>0</v>
      </c>
      <c r="D24" s="244">
        <f t="shared" si="0"/>
        <v>0</v>
      </c>
      <c r="E24" s="246">
        <f t="shared" si="2"/>
        <v>0</v>
      </c>
      <c r="F24" s="248">
        <f t="shared" si="1"/>
        <v>0</v>
      </c>
    </row>
    <row r="25" spans="1:8" ht="17.25" customHeight="1" x14ac:dyDescent="0.2">
      <c r="A25" s="226" t="s">
        <v>56</v>
      </c>
      <c r="B25" s="235">
        <v>3.8999999999999998E-3</v>
      </c>
      <c r="C25" s="242">
        <f>'Input-data'!C24</f>
        <v>0</v>
      </c>
      <c r="D25" s="244">
        <f>D26+C25</f>
        <v>0</v>
      </c>
      <c r="E25" s="246">
        <f t="shared" si="2"/>
        <v>0</v>
      </c>
      <c r="F25" s="248">
        <f>F26+E25</f>
        <v>0</v>
      </c>
    </row>
    <row r="26" spans="1:8" ht="17.25" customHeight="1" thickBot="1" x14ac:dyDescent="0.25">
      <c r="A26" s="227" t="s">
        <v>57</v>
      </c>
      <c r="B26" s="236">
        <v>6.0000000000000002E-5</v>
      </c>
      <c r="C26" s="242">
        <f>'Input-data'!C25</f>
        <v>0</v>
      </c>
      <c r="D26" s="245">
        <f>C26</f>
        <v>0</v>
      </c>
      <c r="E26" s="246">
        <f t="shared" si="2"/>
        <v>0</v>
      </c>
      <c r="F26" s="249">
        <f>E26</f>
        <v>0</v>
      </c>
    </row>
    <row r="27" spans="1:8" x14ac:dyDescent="0.2">
      <c r="C27" s="1"/>
      <c r="D27" s="1"/>
      <c r="E27" s="1"/>
      <c r="F27" s="1"/>
    </row>
    <row r="28" spans="1:8" ht="19.5" customHeight="1" x14ac:dyDescent="0.25">
      <c r="A28" s="41" t="s">
        <v>62</v>
      </c>
      <c r="C28" s="1"/>
      <c r="D28" s="1"/>
      <c r="E28" s="1"/>
      <c r="F28" s="1"/>
    </row>
    <row r="29" spans="1:8" ht="13.5" thickBot="1" x14ac:dyDescent="0.25"/>
    <row r="30" spans="1:8" ht="20.25" customHeight="1" x14ac:dyDescent="0.2">
      <c r="A30" s="428" t="s">
        <v>63</v>
      </c>
      <c r="B30" s="429"/>
      <c r="C30" s="452">
        <f ca="1">SUM(Interpolation!E3:E403)*0.0025</f>
        <v>21.27482783613171</v>
      </c>
      <c r="D30" s="453"/>
      <c r="E30" s="241" t="s">
        <v>197</v>
      </c>
      <c r="F30" s="241"/>
      <c r="G30" s="241"/>
      <c r="H30" s="241"/>
    </row>
    <row r="31" spans="1:8" ht="20.25" customHeight="1" x14ac:dyDescent="0.2">
      <c r="A31" s="434" t="s">
        <v>68</v>
      </c>
      <c r="B31" s="435"/>
      <c r="C31" s="450">
        <f ca="1">(C45*C39)^0.5</f>
        <v>8.1743951679852671</v>
      </c>
      <c r="D31" s="451"/>
    </row>
    <row r="32" spans="1:8" ht="20.25" customHeight="1" x14ac:dyDescent="0.2">
      <c r="A32" s="436" t="s">
        <v>15</v>
      </c>
      <c r="B32" s="437"/>
      <c r="C32" s="450">
        <f ca="1">C31/C33</f>
        <v>1.483076923076923</v>
      </c>
      <c r="D32" s="451"/>
    </row>
    <row r="33" spans="1:6" ht="20.25" customHeight="1" x14ac:dyDescent="0.2">
      <c r="A33" s="438" t="s">
        <v>69</v>
      </c>
      <c r="B33" s="439"/>
      <c r="C33" s="450">
        <f ca="1">(C45/C39)^0.5</f>
        <v>5.5117809742639254</v>
      </c>
      <c r="D33" s="451"/>
    </row>
    <row r="34" spans="1:6" ht="20.25" customHeight="1" x14ac:dyDescent="0.2">
      <c r="A34" s="436" t="s">
        <v>12</v>
      </c>
      <c r="B34" s="437"/>
      <c r="C34" s="450">
        <f ca="1">STDEV(Interpolation!E3:E403)</f>
        <v>22.296851745085807</v>
      </c>
      <c r="D34" s="451"/>
    </row>
    <row r="35" spans="1:6" ht="20.25" customHeight="1" x14ac:dyDescent="0.2">
      <c r="A35" s="444" t="s">
        <v>76</v>
      </c>
      <c r="B35" s="445"/>
      <c r="C35" s="448">
        <f>geometric_std_dev!G21</f>
        <v>2.5425723111491845</v>
      </c>
      <c r="D35" s="449"/>
      <c r="E35" s="228"/>
    </row>
    <row r="36" spans="1:6" ht="20.25" customHeight="1" x14ac:dyDescent="0.2">
      <c r="A36" s="436" t="s">
        <v>10</v>
      </c>
      <c r="B36" s="437"/>
      <c r="C36" s="450">
        <f ca="1">SKEW(Interpolation!E3:E403)</f>
        <v>1.5305337765003784</v>
      </c>
      <c r="D36" s="451"/>
      <c r="E36" s="228"/>
      <c r="F36" s="228"/>
    </row>
    <row r="37" spans="1:6" ht="20.25" customHeight="1" x14ac:dyDescent="0.2">
      <c r="A37" s="436" t="s">
        <v>9</v>
      </c>
      <c r="B37" s="437"/>
      <c r="C37" s="450">
        <f ca="1">KURT(Interpolation!E3:E403)</f>
        <v>2.767934402721234</v>
      </c>
      <c r="D37" s="451"/>
      <c r="E37" s="228"/>
      <c r="F37" s="228"/>
    </row>
    <row r="38" spans="1:6" ht="20.25" customHeight="1" x14ac:dyDescent="0.2">
      <c r="A38" s="436" t="s">
        <v>7</v>
      </c>
      <c r="B38" s="437"/>
      <c r="C38" s="450">
        <f ca="1">Interpolation!E363</f>
        <v>0.40738007380073799</v>
      </c>
      <c r="D38" s="451"/>
      <c r="E38" s="228"/>
      <c r="F38" s="228"/>
    </row>
    <row r="39" spans="1:6" ht="20.25" customHeight="1" x14ac:dyDescent="0.2">
      <c r="A39" s="436" t="s">
        <v>16</v>
      </c>
      <c r="B39" s="437"/>
      <c r="C39" s="450">
        <f ca="1">Interpolation!E339</f>
        <v>1.483076923076923</v>
      </c>
      <c r="D39" s="451"/>
      <c r="E39" s="228"/>
      <c r="F39" s="228"/>
    </row>
    <row r="40" spans="1:6" ht="20.25" customHeight="1" x14ac:dyDescent="0.2">
      <c r="A40" s="436" t="s">
        <v>18</v>
      </c>
      <c r="B40" s="437"/>
      <c r="C40" s="450">
        <f ca="1">Interpolation!E303</f>
        <v>4.0788177339901459</v>
      </c>
      <c r="D40" s="451"/>
      <c r="E40" s="228"/>
      <c r="F40" s="228"/>
    </row>
    <row r="41" spans="1:6" ht="20.25" customHeight="1" x14ac:dyDescent="0.2">
      <c r="A41" s="438" t="s">
        <v>50</v>
      </c>
      <c r="B41" s="439"/>
      <c r="C41" s="450">
        <f ca="1">Interpolation!E283</f>
        <v>5.6866995073891609</v>
      </c>
      <c r="D41" s="451"/>
      <c r="E41" s="228"/>
      <c r="F41" s="228"/>
    </row>
    <row r="42" spans="1:6" ht="20.25" customHeight="1" x14ac:dyDescent="0.25">
      <c r="A42" s="444" t="s">
        <v>51</v>
      </c>
      <c r="B42" s="445"/>
      <c r="C42" s="448">
        <f ca="1">Interpolation!E203</f>
        <v>13.38197424892704</v>
      </c>
      <c r="D42" s="449"/>
      <c r="E42" s="295">
        <f ca="1">17.5*(C42/1000)^(-1/6)</f>
        <v>35.915728814605345</v>
      </c>
      <c r="F42" s="228"/>
    </row>
    <row r="43" spans="1:6" ht="20.25" customHeight="1" x14ac:dyDescent="0.2">
      <c r="A43" s="438" t="s">
        <v>47</v>
      </c>
      <c r="B43" s="439"/>
      <c r="C43" s="450">
        <f ca="1">Interpolation!E163</f>
        <v>19.196983240223467</v>
      </c>
      <c r="D43" s="451"/>
      <c r="E43" s="296"/>
      <c r="F43" s="228"/>
    </row>
    <row r="44" spans="1:6" ht="20.25" customHeight="1" x14ac:dyDescent="0.2">
      <c r="A44" s="436" t="s">
        <v>19</v>
      </c>
      <c r="B44" s="437"/>
      <c r="C44" s="450">
        <f ca="1">Interpolation!E103</f>
        <v>32.200179533213642</v>
      </c>
      <c r="D44" s="451"/>
      <c r="E44" s="296"/>
      <c r="F44" s="228"/>
    </row>
    <row r="45" spans="1:6" ht="20.25" customHeight="1" x14ac:dyDescent="0.2">
      <c r="A45" s="440" t="s">
        <v>17</v>
      </c>
      <c r="B45" s="441"/>
      <c r="C45" s="450">
        <f ca="1">Interpolation!E67</f>
        <v>45.055475763016162</v>
      </c>
      <c r="D45" s="451"/>
      <c r="E45" s="296"/>
      <c r="F45" s="228"/>
    </row>
    <row r="46" spans="1:6" ht="20.25" customHeight="1" x14ac:dyDescent="0.2">
      <c r="A46" s="440" t="s">
        <v>8</v>
      </c>
      <c r="B46" s="441"/>
      <c r="C46" s="450">
        <f ca="1">Interpolation!E43</f>
        <v>53.625673249551184</v>
      </c>
      <c r="D46" s="451"/>
      <c r="E46" s="296">
        <f ca="1">23.5*(2*C46/1000)^(-1/6)</f>
        <v>34.093171520245839</v>
      </c>
      <c r="F46" s="228"/>
    </row>
    <row r="47" spans="1:6" ht="20.25" customHeight="1" x14ac:dyDescent="0.2">
      <c r="A47" s="442" t="s">
        <v>48</v>
      </c>
      <c r="B47" s="443"/>
      <c r="C47" s="450">
        <f ca="1">C43/C38</f>
        <v>47.123029511780437</v>
      </c>
      <c r="D47" s="451"/>
      <c r="E47" s="228"/>
      <c r="F47" s="228"/>
    </row>
    <row r="48" spans="1:6" ht="20.25" customHeight="1" thickBot="1" x14ac:dyDescent="0.25">
      <c r="A48" s="446" t="s">
        <v>49</v>
      </c>
      <c r="B48" s="447"/>
      <c r="C48" s="454">
        <f ca="1">C41^2/(C43*C38)</f>
        <v>4.1351169047730636</v>
      </c>
      <c r="D48" s="455"/>
      <c r="E48" s="228"/>
      <c r="F48" s="228"/>
    </row>
    <row r="49" spans="1:5" ht="20.25" customHeight="1" x14ac:dyDescent="0.2">
      <c r="A49" s="456" t="s">
        <v>184</v>
      </c>
      <c r="B49" s="457"/>
      <c r="C49" s="457"/>
      <c r="D49" s="458"/>
    </row>
    <row r="50" spans="1:5" ht="20.25" customHeight="1" x14ac:dyDescent="0.2">
      <c r="A50" s="430" t="s">
        <v>179</v>
      </c>
      <c r="B50" s="431"/>
      <c r="C50" s="459">
        <f ca="1">-0.0333+(0.4665/((1000*C42/1000)^0.21))</f>
        <v>0.2372717236096461</v>
      </c>
      <c r="D50" s="460"/>
    </row>
    <row r="51" spans="1:5" ht="20.25" customHeight="1" x14ac:dyDescent="0.2">
      <c r="A51" s="432" t="s">
        <v>180</v>
      </c>
      <c r="B51" s="433"/>
      <c r="C51" s="463">
        <f ca="1">0.13+(0.21/((1000*C42/1000+0.002)^0.21))</f>
        <v>0.25179695346838482</v>
      </c>
      <c r="D51" s="464"/>
    </row>
    <row r="52" spans="1:5" ht="20.25" customHeight="1" x14ac:dyDescent="0.2">
      <c r="A52" s="430" t="s">
        <v>181</v>
      </c>
      <c r="B52" s="431"/>
      <c r="C52" s="459">
        <f>0.621*EXP(-0.457*C35)</f>
        <v>0.1942945945238507</v>
      </c>
      <c r="D52" s="460"/>
    </row>
    <row r="53" spans="1:5" ht="20.25" customHeight="1" x14ac:dyDescent="0.2">
      <c r="A53" s="432" t="s">
        <v>182</v>
      </c>
      <c r="B53" s="433"/>
      <c r="C53" s="463">
        <f>'Berechnung_Yu&amp;Stand'!J1086</f>
        <v>0.11259377040383872</v>
      </c>
      <c r="D53" s="464"/>
    </row>
    <row r="54" spans="1:5" ht="20.25" customHeight="1" thickBot="1" x14ac:dyDescent="0.25">
      <c r="A54" s="461" t="s">
        <v>183</v>
      </c>
      <c r="B54" s="462"/>
      <c r="C54" s="465">
        <f>0.353-0.068*C35+0.146*F20</f>
        <v>0.19769903709022144</v>
      </c>
      <c r="D54" s="466"/>
    </row>
    <row r="61" spans="1:5" x14ac:dyDescent="0.2">
      <c r="C61" s="13" t="s">
        <v>64</v>
      </c>
      <c r="E61" s="13" t="s">
        <v>65</v>
      </c>
    </row>
    <row r="64" spans="1:5" x14ac:dyDescent="0.2">
      <c r="C64" s="13" t="s">
        <v>64</v>
      </c>
      <c r="E64" s="13" t="s">
        <v>66</v>
      </c>
    </row>
    <row r="68" spans="3:5" x14ac:dyDescent="0.2">
      <c r="C68" s="13" t="s">
        <v>64</v>
      </c>
      <c r="E68" s="13" t="s">
        <v>67</v>
      </c>
    </row>
    <row r="71" spans="3:5" x14ac:dyDescent="0.2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6" sqref="C46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" zoomScale="205" zoomScaleNormal="205" workbookViewId="0">
      <selection activeCell="J32" sqref="J32"/>
    </sheetView>
  </sheetViews>
  <sheetFormatPr defaultColWidth="9.140625" defaultRowHeight="12.75" x14ac:dyDescent="0.2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A10" sqref="A10"/>
    </sheetView>
  </sheetViews>
  <sheetFormatPr defaultColWidth="9.140625" defaultRowHeight="12.75" x14ac:dyDescent="0.2"/>
  <cols>
    <col min="1" max="1" width="25.42578125" customWidth="1"/>
    <col min="2" max="2" width="18.42578125" customWidth="1"/>
    <col min="3" max="3" width="9.140625" customWidth="1"/>
    <col min="4" max="4" width="24.7109375" customWidth="1"/>
    <col min="5" max="5" width="20.42578125" customWidth="1"/>
  </cols>
  <sheetData>
    <row r="1" spans="1:5" x14ac:dyDescent="0.2">
      <c r="A1" s="8" t="e">
        <f>#REF!</f>
        <v>#REF!</v>
      </c>
      <c r="B1" s="4"/>
      <c r="D1" s="3"/>
      <c r="E1" t="e">
        <f>#REF!</f>
        <v>#REF!</v>
      </c>
    </row>
    <row r="2" spans="1:5" ht="13.5" thickBot="1" x14ac:dyDescent="0.25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5" thickBot="1" x14ac:dyDescent="0.25">
      <c r="D3" s="2">
        <v>100</v>
      </c>
      <c r="E3" s="6">
        <f ca="1">E4</f>
        <v>119.4280597014922</v>
      </c>
    </row>
    <row r="4" spans="1:5" x14ac:dyDescent="0.2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119.4280597014922</v>
      </c>
    </row>
    <row r="5" spans="1:5" x14ac:dyDescent="0.2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113.85611940298486</v>
      </c>
    </row>
    <row r="6" spans="1:5" x14ac:dyDescent="0.2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108.28417910447706</v>
      </c>
    </row>
    <row r="7" spans="1:5" x14ac:dyDescent="0.2">
      <c r="A7" s="16">
        <f>Statistik!F23*100</f>
        <v>1.2050653594771243</v>
      </c>
      <c r="B7" s="18">
        <f>'Input-data'!B22</f>
        <v>6.3E-2</v>
      </c>
      <c r="D7" s="2">
        <v>99</v>
      </c>
      <c r="E7" s="6">
        <f t="shared" ca="1" si="0"/>
        <v>102.71223880596972</v>
      </c>
    </row>
    <row r="8" spans="1:5" x14ac:dyDescent="0.2">
      <c r="A8" s="16">
        <f>Statistik!F22*100</f>
        <v>2.8594771241830066</v>
      </c>
      <c r="B8" s="18">
        <v>0.125</v>
      </c>
      <c r="D8" s="2">
        <v>98.75</v>
      </c>
      <c r="E8" s="6">
        <f t="shared" ca="1" si="0"/>
        <v>97.140298507462376</v>
      </c>
    </row>
    <row r="9" spans="1:5" x14ac:dyDescent="0.2">
      <c r="A9" s="16">
        <f>Statistik!F21*100</f>
        <v>6.5155228758169939</v>
      </c>
      <c r="B9" s="18">
        <f>'Input-data'!B20</f>
        <v>0.25</v>
      </c>
      <c r="D9" s="2">
        <v>98.5</v>
      </c>
      <c r="E9" s="6">
        <f t="shared" ca="1" si="0"/>
        <v>91.568358208955033</v>
      </c>
    </row>
    <row r="10" spans="1:5" x14ac:dyDescent="0.2">
      <c r="A10" s="16">
        <f>Statistik!F20*100</f>
        <v>12.050653594771243</v>
      </c>
      <c r="B10" s="18">
        <f>'Input-data'!B19</f>
        <v>0.5</v>
      </c>
      <c r="D10" s="2">
        <v>98.25</v>
      </c>
      <c r="E10" s="6">
        <f t="shared" ca="1" si="0"/>
        <v>85.99641791044769</v>
      </c>
    </row>
    <row r="11" spans="1:5" x14ac:dyDescent="0.2">
      <c r="A11" s="16">
        <f>Statistik!F19*100</f>
        <v>14.460784313725492</v>
      </c>
      <c r="B11" s="18">
        <f>'Input-data'!B18</f>
        <v>1</v>
      </c>
      <c r="D11" s="2">
        <v>98</v>
      </c>
      <c r="E11" s="6">
        <f t="shared" ca="1" si="0"/>
        <v>80.424477611939892</v>
      </c>
    </row>
    <row r="12" spans="1:5" x14ac:dyDescent="0.2">
      <c r="A12" s="16">
        <f>Statistik!F18*100</f>
        <v>17.647058823529413</v>
      </c>
      <c r="B12" s="18">
        <f>'Input-data'!B17</f>
        <v>2</v>
      </c>
      <c r="D12" s="2">
        <v>97.75</v>
      </c>
      <c r="E12" s="6">
        <f t="shared" ca="1" si="0"/>
        <v>74.852537313432549</v>
      </c>
    </row>
    <row r="13" spans="1:5" x14ac:dyDescent="0.2">
      <c r="A13" s="16">
        <f>Statistik!F17*100</f>
        <v>24.754901960784316</v>
      </c>
      <c r="B13" s="18">
        <f>'Input-data'!B16</f>
        <v>4</v>
      </c>
      <c r="D13" s="2">
        <v>97.5</v>
      </c>
      <c r="E13" s="6">
        <f t="shared" ca="1" si="0"/>
        <v>69.280597014925206</v>
      </c>
    </row>
    <row r="14" spans="1:5" x14ac:dyDescent="0.2">
      <c r="A14" s="16">
        <f>Statistik!F16*100</f>
        <v>37.193627450980394</v>
      </c>
      <c r="B14" s="18">
        <f>'Input-data'!B15</f>
        <v>8</v>
      </c>
      <c r="D14" s="2">
        <v>97.25</v>
      </c>
      <c r="E14" s="6">
        <f t="shared" ca="1" si="0"/>
        <v>63.981328545780983</v>
      </c>
    </row>
    <row r="15" spans="1:5" x14ac:dyDescent="0.2">
      <c r="A15" s="16">
        <f>Statistik!F15*100</f>
        <v>56.229575163398692</v>
      </c>
      <c r="B15" s="18">
        <f>'Input-data'!B14</f>
        <v>16</v>
      </c>
      <c r="D15" s="2">
        <v>97</v>
      </c>
      <c r="E15" s="6">
        <f t="shared" ca="1" si="0"/>
        <v>63.62423698384201</v>
      </c>
    </row>
    <row r="16" spans="1:5" x14ac:dyDescent="0.2">
      <c r="A16" s="16">
        <f>Statistik!F14*100</f>
        <v>74.509803921568633</v>
      </c>
      <c r="B16" s="18">
        <f>'Input-data'!B13</f>
        <v>31.5</v>
      </c>
      <c r="D16" s="2">
        <v>96.75</v>
      </c>
      <c r="E16" s="6">
        <f t="shared" ca="1" si="0"/>
        <v>63.267145421903066</v>
      </c>
    </row>
    <row r="17" spans="1:5" x14ac:dyDescent="0.2">
      <c r="A17" s="16">
        <f>Statistik!F13*100</f>
        <v>97.263071895424829</v>
      </c>
      <c r="B17" s="18">
        <v>64</v>
      </c>
      <c r="D17" s="2">
        <v>96.5</v>
      </c>
      <c r="E17" s="6">
        <f t="shared" ca="1" si="0"/>
        <v>62.910053859964094</v>
      </c>
    </row>
    <row r="18" spans="1:5" x14ac:dyDescent="0.2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62.55296229802515</v>
      </c>
    </row>
    <row r="19" spans="1:5" ht="13.5" thickBot="1" x14ac:dyDescent="0.25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62.195870736086178</v>
      </c>
    </row>
    <row r="20" spans="1:5" x14ac:dyDescent="0.2">
      <c r="D20" s="2">
        <v>95.75</v>
      </c>
      <c r="E20" s="6">
        <f t="shared" ca="1" si="0"/>
        <v>61.838779174147234</v>
      </c>
    </row>
    <row r="21" spans="1:5" x14ac:dyDescent="0.2">
      <c r="D21" s="2">
        <v>95.5</v>
      </c>
      <c r="E21" s="6">
        <f t="shared" ca="1" si="0"/>
        <v>61.481687612208262</v>
      </c>
    </row>
    <row r="22" spans="1:5" x14ac:dyDescent="0.2">
      <c r="D22" s="2">
        <v>95.25</v>
      </c>
      <c r="E22" s="6">
        <f t="shared" ca="1" si="0"/>
        <v>61.124596050269318</v>
      </c>
    </row>
    <row r="23" spans="1:5" x14ac:dyDescent="0.2">
      <c r="D23" s="2">
        <v>95</v>
      </c>
      <c r="E23" s="6">
        <f t="shared" ca="1" si="0"/>
        <v>60.767504488330346</v>
      </c>
    </row>
    <row r="24" spans="1:5" x14ac:dyDescent="0.2">
      <c r="D24" s="2">
        <v>94.75</v>
      </c>
      <c r="E24" s="6">
        <f t="shared" ca="1" si="0"/>
        <v>60.410412926391402</v>
      </c>
    </row>
    <row r="25" spans="1:5" x14ac:dyDescent="0.2">
      <c r="D25" s="2">
        <v>94.5</v>
      </c>
      <c r="E25" s="6">
        <f t="shared" ca="1" si="0"/>
        <v>60.05332136445243</v>
      </c>
    </row>
    <row r="26" spans="1:5" x14ac:dyDescent="0.2">
      <c r="D26" s="2">
        <v>94.25</v>
      </c>
      <c r="E26" s="6">
        <f t="shared" ca="1" si="0"/>
        <v>59.696229802513486</v>
      </c>
    </row>
    <row r="27" spans="1:5" x14ac:dyDescent="0.2">
      <c r="D27" s="2">
        <v>94</v>
      </c>
      <c r="E27" s="6">
        <f t="shared" ca="1" si="0"/>
        <v>59.339138240574513</v>
      </c>
    </row>
    <row r="28" spans="1:5" x14ac:dyDescent="0.2">
      <c r="D28" s="2">
        <v>93.75</v>
      </c>
      <c r="E28" s="6">
        <f t="shared" ca="1" si="0"/>
        <v>58.982046678635541</v>
      </c>
    </row>
    <row r="29" spans="1:5" x14ac:dyDescent="0.2">
      <c r="D29" s="2">
        <v>93.5</v>
      </c>
      <c r="E29" s="6">
        <f t="shared" ca="1" si="0"/>
        <v>58.624955116696597</v>
      </c>
    </row>
    <row r="30" spans="1:5" x14ac:dyDescent="0.2">
      <c r="D30" s="2">
        <v>93.25</v>
      </c>
      <c r="E30" s="6">
        <f t="shared" ca="1" si="0"/>
        <v>58.267863554757625</v>
      </c>
    </row>
    <row r="31" spans="1:5" x14ac:dyDescent="0.2">
      <c r="D31" s="2">
        <v>93</v>
      </c>
      <c r="E31" s="6">
        <f t="shared" ca="1" si="0"/>
        <v>57.910771992818681</v>
      </c>
    </row>
    <row r="32" spans="1:5" x14ac:dyDescent="0.2">
      <c r="D32" s="2">
        <v>92.75</v>
      </c>
      <c r="E32" s="6">
        <f t="shared" ca="1" si="0"/>
        <v>57.553680430879709</v>
      </c>
    </row>
    <row r="33" spans="4:5" x14ac:dyDescent="0.2">
      <c r="D33" s="2">
        <v>92.5</v>
      </c>
      <c r="E33" s="6">
        <f t="shared" ca="1" si="0"/>
        <v>57.196588868940765</v>
      </c>
    </row>
    <row r="34" spans="4:5" x14ac:dyDescent="0.2">
      <c r="D34" s="2">
        <v>92.25</v>
      </c>
      <c r="E34" s="6">
        <f t="shared" ca="1" si="0"/>
        <v>56.839497307001793</v>
      </c>
    </row>
    <row r="35" spans="4:5" x14ac:dyDescent="0.2">
      <c r="D35" s="2">
        <v>92</v>
      </c>
      <c r="E35" s="6">
        <f t="shared" ca="1" si="0"/>
        <v>56.482405745062849</v>
      </c>
    </row>
    <row r="36" spans="4:5" x14ac:dyDescent="0.2">
      <c r="D36" s="2">
        <v>91.75</v>
      </c>
      <c r="E36" s="6">
        <f t="shared" ca="1" si="0"/>
        <v>56.125314183123876</v>
      </c>
    </row>
    <row r="37" spans="4:5" x14ac:dyDescent="0.2">
      <c r="D37" s="2">
        <v>91.5</v>
      </c>
      <c r="E37" s="6">
        <f t="shared" ca="1" si="0"/>
        <v>55.768222621184933</v>
      </c>
    </row>
    <row r="38" spans="4:5" x14ac:dyDescent="0.2">
      <c r="D38" s="2">
        <v>91.25</v>
      </c>
      <c r="E38" s="6">
        <f t="shared" ca="1" si="0"/>
        <v>55.41113105924596</v>
      </c>
    </row>
    <row r="39" spans="4:5" x14ac:dyDescent="0.2">
      <c r="D39" s="2">
        <v>91</v>
      </c>
      <c r="E39" s="6">
        <f t="shared" ca="1" si="0"/>
        <v>55.054039497307016</v>
      </c>
    </row>
    <row r="40" spans="4:5" x14ac:dyDescent="0.2">
      <c r="D40" s="2">
        <v>90.75</v>
      </c>
      <c r="E40" s="6">
        <f t="shared" ca="1" si="0"/>
        <v>54.696947935368044</v>
      </c>
    </row>
    <row r="41" spans="4:5" x14ac:dyDescent="0.2">
      <c r="D41" s="2">
        <v>90.5</v>
      </c>
      <c r="E41" s="6">
        <f t="shared" ca="1" si="0"/>
        <v>54.3398563734291</v>
      </c>
    </row>
    <row r="42" spans="4:5" x14ac:dyDescent="0.2">
      <c r="D42" s="2">
        <v>90.25</v>
      </c>
      <c r="E42" s="6">
        <f t="shared" ca="1" si="0"/>
        <v>53.982764811490128</v>
      </c>
    </row>
    <row r="43" spans="4:5" x14ac:dyDescent="0.2">
      <c r="D43" s="2">
        <v>90</v>
      </c>
      <c r="E43" s="6">
        <f t="shared" ca="1" si="0"/>
        <v>53.625673249551184</v>
      </c>
    </row>
    <row r="44" spans="4:5" x14ac:dyDescent="0.2">
      <c r="D44" s="2">
        <v>89.75</v>
      </c>
      <c r="E44" s="6">
        <f t="shared" ca="1" si="0"/>
        <v>53.268581687612212</v>
      </c>
    </row>
    <row r="45" spans="4:5" x14ac:dyDescent="0.2">
      <c r="D45" s="2">
        <v>89.5</v>
      </c>
      <c r="E45" s="6">
        <f t="shared" ca="1" si="0"/>
        <v>52.911490125673254</v>
      </c>
    </row>
    <row r="46" spans="4:5" x14ac:dyDescent="0.2">
      <c r="D46" s="2">
        <v>89.25</v>
      </c>
      <c r="E46" s="6">
        <f t="shared" ca="1" si="0"/>
        <v>52.554398563734296</v>
      </c>
    </row>
    <row r="47" spans="4:5" x14ac:dyDescent="0.2">
      <c r="D47" s="2">
        <v>89</v>
      </c>
      <c r="E47" s="6">
        <f t="shared" ca="1" si="0"/>
        <v>52.197307001795338</v>
      </c>
    </row>
    <row r="48" spans="4:5" x14ac:dyDescent="0.2">
      <c r="D48" s="2">
        <v>88.75</v>
      </c>
      <c r="E48" s="6">
        <f t="shared" ca="1" si="0"/>
        <v>51.840215439856379</v>
      </c>
    </row>
    <row r="49" spans="4:5" x14ac:dyDescent="0.2">
      <c r="D49" s="2">
        <v>88.5</v>
      </c>
      <c r="E49" s="6">
        <f t="shared" ca="1" si="0"/>
        <v>51.483123877917421</v>
      </c>
    </row>
    <row r="50" spans="4:5" x14ac:dyDescent="0.2">
      <c r="D50" s="2">
        <v>88.25</v>
      </c>
      <c r="E50" s="6">
        <f t="shared" ca="1" si="0"/>
        <v>51.126032315978463</v>
      </c>
    </row>
    <row r="51" spans="4:5" x14ac:dyDescent="0.2">
      <c r="D51" s="2">
        <v>88</v>
      </c>
      <c r="E51" s="6">
        <f t="shared" ca="1" si="0"/>
        <v>50.768940754039505</v>
      </c>
    </row>
    <row r="52" spans="4:5" x14ac:dyDescent="0.2">
      <c r="D52" s="2">
        <v>87.75</v>
      </c>
      <c r="E52" s="6">
        <f t="shared" ca="1" si="0"/>
        <v>50.411849192100547</v>
      </c>
    </row>
    <row r="53" spans="4:5" x14ac:dyDescent="0.2">
      <c r="D53" s="2">
        <v>87.5</v>
      </c>
      <c r="E53" s="6">
        <f t="shared" ca="1" si="0"/>
        <v>50.054757630161589</v>
      </c>
    </row>
    <row r="54" spans="4:5" x14ac:dyDescent="0.2">
      <c r="D54" s="2">
        <v>87.25</v>
      </c>
      <c r="E54" s="6">
        <f t="shared" ca="1" si="0"/>
        <v>49.697666068222617</v>
      </c>
    </row>
    <row r="55" spans="4:5" x14ac:dyDescent="0.2">
      <c r="D55" s="2">
        <v>87</v>
      </c>
      <c r="E55" s="6">
        <f t="shared" ca="1" si="0"/>
        <v>49.340574506283659</v>
      </c>
    </row>
    <row r="56" spans="4:5" x14ac:dyDescent="0.2">
      <c r="D56" s="2">
        <v>86.75</v>
      </c>
      <c r="E56" s="6">
        <f t="shared" ca="1" si="0"/>
        <v>48.983482944344701</v>
      </c>
    </row>
    <row r="57" spans="4:5" x14ac:dyDescent="0.2">
      <c r="D57" s="2">
        <v>86.5</v>
      </c>
      <c r="E57" s="6">
        <f t="shared" ca="1" si="0"/>
        <v>48.626391382405743</v>
      </c>
    </row>
    <row r="58" spans="4:5" x14ac:dyDescent="0.2">
      <c r="D58" s="2">
        <v>86.25</v>
      </c>
      <c r="E58" s="6">
        <f t="shared" ca="1" si="0"/>
        <v>48.269299820466784</v>
      </c>
    </row>
    <row r="59" spans="4:5" x14ac:dyDescent="0.2">
      <c r="D59" s="2">
        <v>86</v>
      </c>
      <c r="E59" s="6">
        <f t="shared" ca="1" si="0"/>
        <v>47.912208258527826</v>
      </c>
    </row>
    <row r="60" spans="4:5" x14ac:dyDescent="0.2">
      <c r="D60" s="2">
        <v>85.75</v>
      </c>
      <c r="E60" s="6">
        <f t="shared" ca="1" si="0"/>
        <v>47.555116696588868</v>
      </c>
    </row>
    <row r="61" spans="4:5" x14ac:dyDescent="0.2">
      <c r="D61" s="2">
        <v>85.5</v>
      </c>
      <c r="E61" s="6">
        <f t="shared" ca="1" si="0"/>
        <v>47.19802513464991</v>
      </c>
    </row>
    <row r="62" spans="4:5" x14ac:dyDescent="0.2">
      <c r="D62" s="2">
        <v>85.25</v>
      </c>
      <c r="E62" s="6">
        <f t="shared" ca="1" si="0"/>
        <v>46.840933572710952</v>
      </c>
    </row>
    <row r="63" spans="4:5" x14ac:dyDescent="0.2">
      <c r="D63" s="2">
        <v>85</v>
      </c>
      <c r="E63" s="6">
        <f t="shared" ca="1" si="0"/>
        <v>46.483842010771994</v>
      </c>
    </row>
    <row r="64" spans="4:5" x14ac:dyDescent="0.2">
      <c r="D64" s="2">
        <v>84.75</v>
      </c>
      <c r="E64" s="6">
        <f t="shared" ca="1" si="0"/>
        <v>46.126750448833036</v>
      </c>
    </row>
    <row r="65" spans="4:5" x14ac:dyDescent="0.2">
      <c r="D65" s="2">
        <v>84.5</v>
      </c>
      <c r="E65" s="6">
        <f t="shared" ca="1" si="0"/>
        <v>45.769658886894078</v>
      </c>
    </row>
    <row r="66" spans="4:5" x14ac:dyDescent="0.2">
      <c r="D66" s="2">
        <v>84.25</v>
      </c>
      <c r="E66" s="6">
        <f t="shared" ca="1" si="0"/>
        <v>45.41256732495512</v>
      </c>
    </row>
    <row r="67" spans="4:5" x14ac:dyDescent="0.2">
      <c r="D67" s="2">
        <v>84</v>
      </c>
      <c r="E67" s="6">
        <f t="shared" ca="1" si="0"/>
        <v>45.055475763016162</v>
      </c>
    </row>
    <row r="68" spans="4:5" x14ac:dyDescent="0.2">
      <c r="D68" s="2">
        <v>83.75</v>
      </c>
      <c r="E68" s="6">
        <f t="shared" ca="1" si="0"/>
        <v>44.698384201077204</v>
      </c>
    </row>
    <row r="69" spans="4:5" x14ac:dyDescent="0.2">
      <c r="D69" s="2">
        <v>83.5</v>
      </c>
      <c r="E69" s="6">
        <f t="shared" ref="E69:E132" ca="1" si="1">FORECAST(D69,OFFSET($B$4:$B$19,MATCH(D69,$A$4:$A$19,1)-1,0,2),OFFSET($A$4:$A$19,MATCH(D69,$A$4:$A$19,1)-1,0,2))</f>
        <v>44.341292639138246</v>
      </c>
    </row>
    <row r="70" spans="4:5" x14ac:dyDescent="0.2">
      <c r="D70" s="2">
        <v>83.25</v>
      </c>
      <c r="E70" s="6">
        <f t="shared" ca="1" si="1"/>
        <v>43.984201077199288</v>
      </c>
    </row>
    <row r="71" spans="4:5" x14ac:dyDescent="0.2">
      <c r="D71" s="2">
        <v>83</v>
      </c>
      <c r="E71" s="6">
        <f t="shared" ca="1" si="1"/>
        <v>43.627109515260315</v>
      </c>
    </row>
    <row r="72" spans="4:5" x14ac:dyDescent="0.2">
      <c r="D72" s="2">
        <v>82.75</v>
      </c>
      <c r="E72" s="6">
        <f t="shared" ca="1" si="1"/>
        <v>43.270017953321357</v>
      </c>
    </row>
    <row r="73" spans="4:5" x14ac:dyDescent="0.2">
      <c r="D73" s="2">
        <v>82.5</v>
      </c>
      <c r="E73" s="6">
        <f t="shared" ca="1" si="1"/>
        <v>42.912926391382399</v>
      </c>
    </row>
    <row r="74" spans="4:5" x14ac:dyDescent="0.2">
      <c r="D74" s="2">
        <v>82.25</v>
      </c>
      <c r="E74" s="6">
        <f t="shared" ca="1" si="1"/>
        <v>42.555834829443441</v>
      </c>
    </row>
    <row r="75" spans="4:5" x14ac:dyDescent="0.2">
      <c r="D75" s="2">
        <v>82</v>
      </c>
      <c r="E75" s="6">
        <f t="shared" ca="1" si="1"/>
        <v>42.198743267504483</v>
      </c>
    </row>
    <row r="76" spans="4:5" x14ac:dyDescent="0.2">
      <c r="D76" s="2">
        <v>81.75</v>
      </c>
      <c r="E76" s="6">
        <f t="shared" ca="1" si="1"/>
        <v>41.841651705565525</v>
      </c>
    </row>
    <row r="77" spans="4:5" x14ac:dyDescent="0.2">
      <c r="D77" s="2">
        <v>81.5</v>
      </c>
      <c r="E77" s="6">
        <f t="shared" ca="1" si="1"/>
        <v>41.484560143626567</v>
      </c>
    </row>
    <row r="78" spans="4:5" x14ac:dyDescent="0.2">
      <c r="D78" s="2">
        <v>81.25</v>
      </c>
      <c r="E78" s="6">
        <f t="shared" ca="1" si="1"/>
        <v>41.127468581687609</v>
      </c>
    </row>
    <row r="79" spans="4:5" x14ac:dyDescent="0.2">
      <c r="D79" s="2">
        <v>81</v>
      </c>
      <c r="E79" s="6">
        <f t="shared" ca="1" si="1"/>
        <v>40.770377019748651</v>
      </c>
    </row>
    <row r="80" spans="4:5" x14ac:dyDescent="0.2">
      <c r="D80" s="2">
        <v>80.75</v>
      </c>
      <c r="E80" s="6">
        <f t="shared" ca="1" si="1"/>
        <v>40.413285457809693</v>
      </c>
    </row>
    <row r="81" spans="4:5" x14ac:dyDescent="0.2">
      <c r="D81" s="2">
        <v>80.5</v>
      </c>
      <c r="E81" s="6">
        <f t="shared" ca="1" si="1"/>
        <v>40.056193895870734</v>
      </c>
    </row>
    <row r="82" spans="4:5" x14ac:dyDescent="0.2">
      <c r="D82" s="2">
        <v>80.25</v>
      </c>
      <c r="E82" s="6">
        <f t="shared" ca="1" si="1"/>
        <v>39.699102333931776</v>
      </c>
    </row>
    <row r="83" spans="4:5" x14ac:dyDescent="0.2">
      <c r="D83" s="2">
        <v>80</v>
      </c>
      <c r="E83" s="6">
        <f t="shared" ca="1" si="1"/>
        <v>39.342010771992818</v>
      </c>
    </row>
    <row r="84" spans="4:5" x14ac:dyDescent="0.2">
      <c r="D84" s="2">
        <v>79.75</v>
      </c>
      <c r="E84" s="6">
        <f t="shared" ca="1" si="1"/>
        <v>38.98491921005386</v>
      </c>
    </row>
    <row r="85" spans="4:5" x14ac:dyDescent="0.2">
      <c r="D85" s="2">
        <v>79.5</v>
      </c>
      <c r="E85" s="6">
        <f t="shared" ca="1" si="1"/>
        <v>38.627827648114902</v>
      </c>
    </row>
    <row r="86" spans="4:5" x14ac:dyDescent="0.2">
      <c r="D86" s="2">
        <v>79.25</v>
      </c>
      <c r="E86" s="6">
        <f t="shared" ca="1" si="1"/>
        <v>38.270736086175944</v>
      </c>
    </row>
    <row r="87" spans="4:5" x14ac:dyDescent="0.2">
      <c r="D87" s="2">
        <v>79</v>
      </c>
      <c r="E87" s="6">
        <f t="shared" ca="1" si="1"/>
        <v>37.913644524236986</v>
      </c>
    </row>
    <row r="88" spans="4:5" x14ac:dyDescent="0.2">
      <c r="D88" s="2">
        <v>78.75</v>
      </c>
      <c r="E88" s="6">
        <f t="shared" ca="1" si="1"/>
        <v>37.556552962298014</v>
      </c>
    </row>
    <row r="89" spans="4:5" x14ac:dyDescent="0.2">
      <c r="D89" s="2">
        <v>78.5</v>
      </c>
      <c r="E89" s="6">
        <f t="shared" ca="1" si="1"/>
        <v>37.199461400359056</v>
      </c>
    </row>
    <row r="90" spans="4:5" x14ac:dyDescent="0.2">
      <c r="D90" s="2">
        <v>78.25</v>
      </c>
      <c r="E90" s="6">
        <f t="shared" ca="1" si="1"/>
        <v>36.842369838420097</v>
      </c>
    </row>
    <row r="91" spans="4:5" x14ac:dyDescent="0.2">
      <c r="D91" s="2">
        <v>78</v>
      </c>
      <c r="E91" s="6">
        <f t="shared" ca="1" si="1"/>
        <v>36.485278276481139</v>
      </c>
    </row>
    <row r="92" spans="4:5" x14ac:dyDescent="0.2">
      <c r="D92" s="2">
        <v>77.75</v>
      </c>
      <c r="E92" s="6">
        <f t="shared" ca="1" si="1"/>
        <v>36.128186714542181</v>
      </c>
    </row>
    <row r="93" spans="4:5" x14ac:dyDescent="0.2">
      <c r="D93" s="2">
        <v>77.5</v>
      </c>
      <c r="E93" s="6">
        <f t="shared" ca="1" si="1"/>
        <v>35.771095152603223</v>
      </c>
    </row>
    <row r="94" spans="4:5" x14ac:dyDescent="0.2">
      <c r="D94" s="2">
        <v>77.25</v>
      </c>
      <c r="E94" s="6">
        <f t="shared" ca="1" si="1"/>
        <v>35.414003590664265</v>
      </c>
    </row>
    <row r="95" spans="4:5" x14ac:dyDescent="0.2">
      <c r="D95" s="2">
        <v>77</v>
      </c>
      <c r="E95" s="6">
        <f t="shared" ca="1" si="1"/>
        <v>35.056912028725307</v>
      </c>
    </row>
    <row r="96" spans="4:5" x14ac:dyDescent="0.2">
      <c r="D96" s="2">
        <v>76.75</v>
      </c>
      <c r="E96" s="6">
        <f t="shared" ca="1" si="1"/>
        <v>34.699820466786349</v>
      </c>
    </row>
    <row r="97" spans="4:5" x14ac:dyDescent="0.2">
      <c r="D97" s="2">
        <v>76.5</v>
      </c>
      <c r="E97" s="6">
        <f t="shared" ca="1" si="1"/>
        <v>34.342728904847391</v>
      </c>
    </row>
    <row r="98" spans="4:5" x14ac:dyDescent="0.2">
      <c r="D98" s="2">
        <v>76.25</v>
      </c>
      <c r="E98" s="6">
        <f t="shared" ca="1" si="1"/>
        <v>33.985637342908433</v>
      </c>
    </row>
    <row r="99" spans="4:5" x14ac:dyDescent="0.2">
      <c r="D99" s="2">
        <v>76</v>
      </c>
      <c r="E99" s="6">
        <f t="shared" ca="1" si="1"/>
        <v>33.628545780969475</v>
      </c>
    </row>
    <row r="100" spans="4:5" x14ac:dyDescent="0.2">
      <c r="D100" s="2">
        <v>75.75</v>
      </c>
      <c r="E100" s="6">
        <f t="shared" ca="1" si="1"/>
        <v>33.271454219030517</v>
      </c>
    </row>
    <row r="101" spans="4:5" x14ac:dyDescent="0.2">
      <c r="D101" s="2">
        <v>75.5</v>
      </c>
      <c r="E101" s="6">
        <f t="shared" ca="1" si="1"/>
        <v>32.914362657091559</v>
      </c>
    </row>
    <row r="102" spans="4:5" x14ac:dyDescent="0.2">
      <c r="D102" s="2">
        <v>75.25</v>
      </c>
      <c r="E102" s="6">
        <f t="shared" ca="1" si="1"/>
        <v>32.557271095152601</v>
      </c>
    </row>
    <row r="103" spans="4:5" x14ac:dyDescent="0.2">
      <c r="D103" s="2">
        <v>75</v>
      </c>
      <c r="E103" s="6">
        <f t="shared" ca="1" si="1"/>
        <v>32.200179533213642</v>
      </c>
    </row>
    <row r="104" spans="4:5" x14ac:dyDescent="0.2">
      <c r="D104" s="2">
        <v>74.75</v>
      </c>
      <c r="E104" s="6">
        <f t="shared" ca="1" si="1"/>
        <v>31.843087971274684</v>
      </c>
    </row>
    <row r="105" spans="4:5" x14ac:dyDescent="0.2">
      <c r="D105" s="2">
        <v>74.5</v>
      </c>
      <c r="E105" s="6">
        <f t="shared" ca="1" si="1"/>
        <v>31.49168715083799</v>
      </c>
    </row>
    <row r="106" spans="4:5" x14ac:dyDescent="0.2">
      <c r="D106" s="2">
        <v>74.25</v>
      </c>
      <c r="E106" s="6">
        <f t="shared" ca="1" si="1"/>
        <v>31.279709497206703</v>
      </c>
    </row>
    <row r="107" spans="4:5" x14ac:dyDescent="0.2">
      <c r="D107" s="2">
        <v>74</v>
      </c>
      <c r="E107" s="6">
        <f t="shared" ca="1" si="1"/>
        <v>31.067731843575416</v>
      </c>
    </row>
    <row r="108" spans="4:5" x14ac:dyDescent="0.2">
      <c r="D108" s="2">
        <v>73.75</v>
      </c>
      <c r="E108" s="6">
        <f t="shared" ca="1" si="1"/>
        <v>30.855754189944136</v>
      </c>
    </row>
    <row r="109" spans="4:5" x14ac:dyDescent="0.2">
      <c r="D109" s="2">
        <v>73.5</v>
      </c>
      <c r="E109" s="6">
        <f t="shared" ca="1" si="1"/>
        <v>30.643776536312849</v>
      </c>
    </row>
    <row r="110" spans="4:5" x14ac:dyDescent="0.2">
      <c r="D110" s="2">
        <v>73.25</v>
      </c>
      <c r="E110" s="6">
        <f t="shared" ca="1" si="1"/>
        <v>30.431798882681562</v>
      </c>
    </row>
    <row r="111" spans="4:5" x14ac:dyDescent="0.2">
      <c r="D111" s="2">
        <v>73</v>
      </c>
      <c r="E111" s="6">
        <f t="shared" ca="1" si="1"/>
        <v>30.219821229050275</v>
      </c>
    </row>
    <row r="112" spans="4:5" x14ac:dyDescent="0.2">
      <c r="D112" s="2">
        <v>72.75</v>
      </c>
      <c r="E112" s="6">
        <f t="shared" ca="1" si="1"/>
        <v>30.007843575418995</v>
      </c>
    </row>
    <row r="113" spans="4:5" x14ac:dyDescent="0.2">
      <c r="D113" s="2">
        <v>72.5</v>
      </c>
      <c r="E113" s="6">
        <f t="shared" ca="1" si="1"/>
        <v>29.795865921787708</v>
      </c>
    </row>
    <row r="114" spans="4:5" x14ac:dyDescent="0.2">
      <c r="D114" s="2">
        <v>72.25</v>
      </c>
      <c r="E114" s="6">
        <f t="shared" ca="1" si="1"/>
        <v>29.583888268156421</v>
      </c>
    </row>
    <row r="115" spans="4:5" x14ac:dyDescent="0.2">
      <c r="D115" s="2">
        <v>72</v>
      </c>
      <c r="E115" s="6">
        <f t="shared" ca="1" si="1"/>
        <v>29.371910614525142</v>
      </c>
    </row>
    <row r="116" spans="4:5" x14ac:dyDescent="0.2">
      <c r="D116" s="2">
        <v>71.75</v>
      </c>
      <c r="E116" s="6">
        <f t="shared" ca="1" si="1"/>
        <v>29.159932960893855</v>
      </c>
    </row>
    <row r="117" spans="4:5" x14ac:dyDescent="0.2">
      <c r="D117" s="2">
        <v>71.5</v>
      </c>
      <c r="E117" s="6">
        <f t="shared" ca="1" si="1"/>
        <v>28.947955307262568</v>
      </c>
    </row>
    <row r="118" spans="4:5" x14ac:dyDescent="0.2">
      <c r="D118" s="2">
        <v>71.25</v>
      </c>
      <c r="E118" s="6">
        <f t="shared" ca="1" si="1"/>
        <v>28.735977653631288</v>
      </c>
    </row>
    <row r="119" spans="4:5" x14ac:dyDescent="0.2">
      <c r="D119" s="2">
        <v>71</v>
      </c>
      <c r="E119" s="6">
        <f t="shared" ca="1" si="1"/>
        <v>28.524000000000001</v>
      </c>
    </row>
    <row r="120" spans="4:5" x14ac:dyDescent="0.2">
      <c r="D120" s="2">
        <v>70.75</v>
      </c>
      <c r="E120" s="6">
        <f t="shared" ca="1" si="1"/>
        <v>28.312022346368714</v>
      </c>
    </row>
    <row r="121" spans="4:5" x14ac:dyDescent="0.2">
      <c r="D121" s="2">
        <v>70.5</v>
      </c>
      <c r="E121" s="6">
        <f t="shared" ca="1" si="1"/>
        <v>28.100044692737427</v>
      </c>
    </row>
    <row r="122" spans="4:5" x14ac:dyDescent="0.2">
      <c r="D122" s="2">
        <v>70.25</v>
      </c>
      <c r="E122" s="6">
        <f t="shared" ca="1" si="1"/>
        <v>27.888067039106147</v>
      </c>
    </row>
    <row r="123" spans="4:5" x14ac:dyDescent="0.2">
      <c r="D123" s="2">
        <v>70</v>
      </c>
      <c r="E123" s="6">
        <f t="shared" ca="1" si="1"/>
        <v>27.67608938547486</v>
      </c>
    </row>
    <row r="124" spans="4:5" x14ac:dyDescent="0.2">
      <c r="D124" s="2">
        <v>69.75</v>
      </c>
      <c r="E124" s="6">
        <f t="shared" ca="1" si="1"/>
        <v>27.464111731843573</v>
      </c>
    </row>
    <row r="125" spans="4:5" x14ac:dyDescent="0.2">
      <c r="D125" s="2">
        <v>69.5</v>
      </c>
      <c r="E125" s="6">
        <f t="shared" ca="1" si="1"/>
        <v>27.252134078212293</v>
      </c>
    </row>
    <row r="126" spans="4:5" x14ac:dyDescent="0.2">
      <c r="D126" s="2">
        <v>69.25</v>
      </c>
      <c r="E126" s="6">
        <f t="shared" ca="1" si="1"/>
        <v>27.040156424581006</v>
      </c>
    </row>
    <row r="127" spans="4:5" x14ac:dyDescent="0.2">
      <c r="D127" s="2">
        <v>69</v>
      </c>
      <c r="E127" s="6">
        <f t="shared" ca="1" si="1"/>
        <v>26.828178770949719</v>
      </c>
    </row>
    <row r="128" spans="4:5" x14ac:dyDescent="0.2">
      <c r="D128" s="2">
        <v>68.75</v>
      </c>
      <c r="E128" s="6">
        <f t="shared" ca="1" si="1"/>
        <v>26.616201117318433</v>
      </c>
    </row>
    <row r="129" spans="4:5" x14ac:dyDescent="0.2">
      <c r="D129" s="2">
        <v>68.5</v>
      </c>
      <c r="E129" s="6">
        <f t="shared" ca="1" si="1"/>
        <v>26.404223463687153</v>
      </c>
    </row>
    <row r="130" spans="4:5" x14ac:dyDescent="0.2">
      <c r="D130" s="2">
        <v>68.25</v>
      </c>
      <c r="E130" s="6">
        <f t="shared" ca="1" si="1"/>
        <v>26.192245810055866</v>
      </c>
    </row>
    <row r="131" spans="4:5" x14ac:dyDescent="0.2">
      <c r="D131" s="2">
        <v>68</v>
      </c>
      <c r="E131" s="6">
        <f t="shared" ca="1" si="1"/>
        <v>25.980268156424579</v>
      </c>
    </row>
    <row r="132" spans="4:5" x14ac:dyDescent="0.2">
      <c r="D132" s="2">
        <v>67.75</v>
      </c>
      <c r="E132" s="6">
        <f t="shared" ca="1" si="1"/>
        <v>25.768290502793299</v>
      </c>
    </row>
    <row r="133" spans="4:5" x14ac:dyDescent="0.2">
      <c r="D133" s="2">
        <v>67.5</v>
      </c>
      <c r="E133" s="6">
        <f t="shared" ref="E133:E196" ca="1" si="2">FORECAST(D133,OFFSET($B$4:$B$19,MATCH(D133,$A$4:$A$19,1)-1,0,2),OFFSET($A$4:$A$19,MATCH(D133,$A$4:$A$19,1)-1,0,2))</f>
        <v>25.556312849162012</v>
      </c>
    </row>
    <row r="134" spans="4:5" x14ac:dyDescent="0.2">
      <c r="D134" s="2">
        <v>67.25</v>
      </c>
      <c r="E134" s="6">
        <f t="shared" ca="1" si="2"/>
        <v>25.344335195530725</v>
      </c>
    </row>
    <row r="135" spans="4:5" x14ac:dyDescent="0.2">
      <c r="D135" s="2">
        <v>67</v>
      </c>
      <c r="E135" s="6">
        <f t="shared" ca="1" si="2"/>
        <v>25.132357541899438</v>
      </c>
    </row>
    <row r="136" spans="4:5" x14ac:dyDescent="0.2">
      <c r="D136" s="2">
        <v>66.75</v>
      </c>
      <c r="E136" s="6">
        <f t="shared" ca="1" si="2"/>
        <v>24.920379888268158</v>
      </c>
    </row>
    <row r="137" spans="4:5" x14ac:dyDescent="0.2">
      <c r="D137" s="2">
        <v>66.5</v>
      </c>
      <c r="E137" s="6">
        <f t="shared" ca="1" si="2"/>
        <v>24.708402234636871</v>
      </c>
    </row>
    <row r="138" spans="4:5" x14ac:dyDescent="0.2">
      <c r="D138" s="2">
        <v>66.25</v>
      </c>
      <c r="E138" s="6">
        <f t="shared" ca="1" si="2"/>
        <v>24.496424581005584</v>
      </c>
    </row>
    <row r="139" spans="4:5" x14ac:dyDescent="0.2">
      <c r="D139" s="2">
        <v>66</v>
      </c>
      <c r="E139" s="6">
        <f t="shared" ca="1" si="2"/>
        <v>24.284446927374304</v>
      </c>
    </row>
    <row r="140" spans="4:5" x14ac:dyDescent="0.2">
      <c r="D140" s="2">
        <v>65.75</v>
      </c>
      <c r="E140" s="6">
        <f t="shared" ca="1" si="2"/>
        <v>24.072469273743017</v>
      </c>
    </row>
    <row r="141" spans="4:5" x14ac:dyDescent="0.2">
      <c r="D141" s="2">
        <v>65.5</v>
      </c>
      <c r="E141" s="6">
        <f t="shared" ca="1" si="2"/>
        <v>23.860491620111731</v>
      </c>
    </row>
    <row r="142" spans="4:5" x14ac:dyDescent="0.2">
      <c r="D142" s="2">
        <v>65.25</v>
      </c>
      <c r="E142" s="6">
        <f t="shared" ca="1" si="2"/>
        <v>23.648513966480451</v>
      </c>
    </row>
    <row r="143" spans="4:5" x14ac:dyDescent="0.2">
      <c r="D143" s="2">
        <v>65</v>
      </c>
      <c r="E143" s="6">
        <f t="shared" ca="1" si="2"/>
        <v>23.436536312849164</v>
      </c>
    </row>
    <row r="144" spans="4:5" x14ac:dyDescent="0.2">
      <c r="D144" s="2">
        <v>64.75</v>
      </c>
      <c r="E144" s="6">
        <f t="shared" ca="1" si="2"/>
        <v>23.224558659217877</v>
      </c>
    </row>
    <row r="145" spans="4:5" x14ac:dyDescent="0.2">
      <c r="D145" s="2">
        <v>64.5</v>
      </c>
      <c r="E145" s="6">
        <f t="shared" ca="1" si="2"/>
        <v>23.01258100558659</v>
      </c>
    </row>
    <row r="146" spans="4:5" x14ac:dyDescent="0.2">
      <c r="D146" s="2">
        <v>64.25</v>
      </c>
      <c r="E146" s="6">
        <f t="shared" ca="1" si="2"/>
        <v>22.80060335195531</v>
      </c>
    </row>
    <row r="147" spans="4:5" x14ac:dyDescent="0.2">
      <c r="D147" s="2">
        <v>64</v>
      </c>
      <c r="E147" s="6">
        <f t="shared" ca="1" si="2"/>
        <v>22.588625698324023</v>
      </c>
    </row>
    <row r="148" spans="4:5" x14ac:dyDescent="0.2">
      <c r="D148" s="2">
        <v>63.75</v>
      </c>
      <c r="E148" s="6">
        <f t="shared" ca="1" si="2"/>
        <v>22.376648044692736</v>
      </c>
    </row>
    <row r="149" spans="4:5" x14ac:dyDescent="0.2">
      <c r="D149" s="2">
        <v>63.5</v>
      </c>
      <c r="E149" s="6">
        <f t="shared" ca="1" si="2"/>
        <v>22.164670391061456</v>
      </c>
    </row>
    <row r="150" spans="4:5" x14ac:dyDescent="0.2">
      <c r="D150" s="2">
        <v>63.25</v>
      </c>
      <c r="E150" s="6">
        <f t="shared" ca="1" si="2"/>
        <v>21.952692737430169</v>
      </c>
    </row>
    <row r="151" spans="4:5" x14ac:dyDescent="0.2">
      <c r="D151" s="2">
        <v>63</v>
      </c>
      <c r="E151" s="6">
        <f t="shared" ca="1" si="2"/>
        <v>21.740715083798882</v>
      </c>
    </row>
    <row r="152" spans="4:5" x14ac:dyDescent="0.2">
      <c r="D152" s="2">
        <v>62.75</v>
      </c>
      <c r="E152" s="6">
        <f t="shared" ca="1" si="2"/>
        <v>21.528737430167595</v>
      </c>
    </row>
    <row r="153" spans="4:5" x14ac:dyDescent="0.2">
      <c r="D153" s="2">
        <v>62.5</v>
      </c>
      <c r="E153" s="6">
        <f t="shared" ca="1" si="2"/>
        <v>21.316759776536315</v>
      </c>
    </row>
    <row r="154" spans="4:5" x14ac:dyDescent="0.2">
      <c r="D154" s="2">
        <v>62.25</v>
      </c>
      <c r="E154" s="6">
        <f t="shared" ca="1" si="2"/>
        <v>21.104782122905029</v>
      </c>
    </row>
    <row r="155" spans="4:5" x14ac:dyDescent="0.2">
      <c r="D155" s="2">
        <v>62</v>
      </c>
      <c r="E155" s="6">
        <f t="shared" ca="1" si="2"/>
        <v>20.892804469273742</v>
      </c>
    </row>
    <row r="156" spans="4:5" x14ac:dyDescent="0.2">
      <c r="D156" s="2">
        <v>61.75</v>
      </c>
      <c r="E156" s="6">
        <f t="shared" ca="1" si="2"/>
        <v>20.680826815642462</v>
      </c>
    </row>
    <row r="157" spans="4:5" x14ac:dyDescent="0.2">
      <c r="D157" s="2">
        <v>61.5</v>
      </c>
      <c r="E157" s="6">
        <f t="shared" ca="1" si="2"/>
        <v>20.468849162011175</v>
      </c>
    </row>
    <row r="158" spans="4:5" x14ac:dyDescent="0.2">
      <c r="D158" s="2">
        <v>61.25</v>
      </c>
      <c r="E158" s="6">
        <f t="shared" ca="1" si="2"/>
        <v>20.256871508379888</v>
      </c>
    </row>
    <row r="159" spans="4:5" x14ac:dyDescent="0.2">
      <c r="D159" s="2">
        <v>61</v>
      </c>
      <c r="E159" s="6">
        <f t="shared" ca="1" si="2"/>
        <v>20.044893854748608</v>
      </c>
    </row>
    <row r="160" spans="4:5" x14ac:dyDescent="0.2">
      <c r="D160" s="2">
        <v>60.75</v>
      </c>
      <c r="E160" s="6">
        <f t="shared" ca="1" si="2"/>
        <v>19.832916201117321</v>
      </c>
    </row>
    <row r="161" spans="4:5" x14ac:dyDescent="0.2">
      <c r="D161" s="2">
        <v>60.5</v>
      </c>
      <c r="E161" s="6">
        <f t="shared" ca="1" si="2"/>
        <v>19.620938547486034</v>
      </c>
    </row>
    <row r="162" spans="4:5" x14ac:dyDescent="0.2">
      <c r="D162" s="2">
        <v>60.25</v>
      </c>
      <c r="E162" s="6">
        <f t="shared" ca="1" si="2"/>
        <v>19.408960893854747</v>
      </c>
    </row>
    <row r="163" spans="4:5" x14ac:dyDescent="0.2">
      <c r="D163" s="2">
        <v>60</v>
      </c>
      <c r="E163" s="6">
        <f t="shared" ca="1" si="2"/>
        <v>19.196983240223467</v>
      </c>
    </row>
    <row r="164" spans="4:5" x14ac:dyDescent="0.2">
      <c r="D164" s="2">
        <v>59.75</v>
      </c>
      <c r="E164" s="6">
        <f t="shared" ca="1" si="2"/>
        <v>18.98500558659218</v>
      </c>
    </row>
    <row r="165" spans="4:5" x14ac:dyDescent="0.2">
      <c r="D165" s="2">
        <v>59.5</v>
      </c>
      <c r="E165" s="6">
        <f t="shared" ca="1" si="2"/>
        <v>18.773027932960893</v>
      </c>
    </row>
    <row r="166" spans="4:5" x14ac:dyDescent="0.2">
      <c r="D166" s="2">
        <v>59.25</v>
      </c>
      <c r="E166" s="6">
        <f t="shared" ca="1" si="2"/>
        <v>18.561050279329613</v>
      </c>
    </row>
    <row r="167" spans="4:5" x14ac:dyDescent="0.2">
      <c r="D167" s="2">
        <v>59</v>
      </c>
      <c r="E167" s="6">
        <f t="shared" ca="1" si="2"/>
        <v>18.349072625698327</v>
      </c>
    </row>
    <row r="168" spans="4:5" x14ac:dyDescent="0.2">
      <c r="D168" s="2">
        <v>58.75</v>
      </c>
      <c r="E168" s="6">
        <f t="shared" ca="1" si="2"/>
        <v>18.13709497206704</v>
      </c>
    </row>
    <row r="169" spans="4:5" x14ac:dyDescent="0.2">
      <c r="D169" s="2">
        <v>58.5</v>
      </c>
      <c r="E169" s="6">
        <f t="shared" ca="1" si="2"/>
        <v>17.925117318435753</v>
      </c>
    </row>
    <row r="170" spans="4:5" x14ac:dyDescent="0.2">
      <c r="D170" s="2">
        <v>58.25</v>
      </c>
      <c r="E170" s="6">
        <f t="shared" ca="1" si="2"/>
        <v>17.713139664804473</v>
      </c>
    </row>
    <row r="171" spans="4:5" x14ac:dyDescent="0.2">
      <c r="D171" s="2">
        <v>58</v>
      </c>
      <c r="E171" s="6">
        <f t="shared" ca="1" si="2"/>
        <v>17.501162011173186</v>
      </c>
    </row>
    <row r="172" spans="4:5" x14ac:dyDescent="0.2">
      <c r="D172" s="2">
        <v>57.75</v>
      </c>
      <c r="E172" s="6">
        <f t="shared" ca="1" si="2"/>
        <v>17.289184357541899</v>
      </c>
    </row>
    <row r="173" spans="4:5" x14ac:dyDescent="0.2">
      <c r="D173" s="2">
        <v>57.5</v>
      </c>
      <c r="E173" s="6">
        <f t="shared" ca="1" si="2"/>
        <v>17.077206703910619</v>
      </c>
    </row>
    <row r="174" spans="4:5" x14ac:dyDescent="0.2">
      <c r="D174" s="2">
        <v>57.25</v>
      </c>
      <c r="E174" s="6">
        <f t="shared" ca="1" si="2"/>
        <v>16.865229050279332</v>
      </c>
    </row>
    <row r="175" spans="4:5" x14ac:dyDescent="0.2">
      <c r="D175" s="2">
        <v>57</v>
      </c>
      <c r="E175" s="6">
        <f t="shared" ca="1" si="2"/>
        <v>16.653251396648045</v>
      </c>
    </row>
    <row r="176" spans="4:5" x14ac:dyDescent="0.2">
      <c r="D176" s="2">
        <v>56.75</v>
      </c>
      <c r="E176" s="6">
        <f t="shared" ca="1" si="2"/>
        <v>16.441273743016758</v>
      </c>
    </row>
    <row r="177" spans="4:5" x14ac:dyDescent="0.2">
      <c r="D177" s="2">
        <v>56.5</v>
      </c>
      <c r="E177" s="6">
        <f t="shared" ca="1" si="2"/>
        <v>16.229296089385478</v>
      </c>
    </row>
    <row r="178" spans="4:5" x14ac:dyDescent="0.2">
      <c r="D178" s="2">
        <v>56.25</v>
      </c>
      <c r="E178" s="6">
        <f t="shared" ca="1" si="2"/>
        <v>16.017318435754191</v>
      </c>
    </row>
    <row r="179" spans="4:5" x14ac:dyDescent="0.2">
      <c r="D179" s="2">
        <v>56</v>
      </c>
      <c r="E179" s="6">
        <f t="shared" ca="1" si="2"/>
        <v>15.903519313304724</v>
      </c>
    </row>
    <row r="180" spans="4:5" x14ac:dyDescent="0.2">
      <c r="D180" s="2">
        <v>55.75</v>
      </c>
      <c r="E180" s="6">
        <f t="shared" ca="1" si="2"/>
        <v>15.798454935622321</v>
      </c>
    </row>
    <row r="181" spans="4:5" x14ac:dyDescent="0.2">
      <c r="D181" s="2">
        <v>55.5</v>
      </c>
      <c r="E181" s="6">
        <f t="shared" ca="1" si="2"/>
        <v>15.693390557939914</v>
      </c>
    </row>
    <row r="182" spans="4:5" x14ac:dyDescent="0.2">
      <c r="D182" s="2">
        <v>55.25</v>
      </c>
      <c r="E182" s="6">
        <f t="shared" ca="1" si="2"/>
        <v>15.588326180257511</v>
      </c>
    </row>
    <row r="183" spans="4:5" x14ac:dyDescent="0.2">
      <c r="D183" s="2">
        <v>55</v>
      </c>
      <c r="E183" s="6">
        <f t="shared" ca="1" si="2"/>
        <v>15.483261802575107</v>
      </c>
    </row>
    <row r="184" spans="4:5" x14ac:dyDescent="0.2">
      <c r="D184" s="2">
        <v>54.75</v>
      </c>
      <c r="E184" s="6">
        <f t="shared" ca="1" si="2"/>
        <v>15.378197424892704</v>
      </c>
    </row>
    <row r="185" spans="4:5" x14ac:dyDescent="0.2">
      <c r="D185" s="2">
        <v>54.5</v>
      </c>
      <c r="E185" s="6">
        <f t="shared" ca="1" si="2"/>
        <v>15.273133047210301</v>
      </c>
    </row>
    <row r="186" spans="4:5" x14ac:dyDescent="0.2">
      <c r="D186" s="2">
        <v>54.25</v>
      </c>
      <c r="E186" s="6">
        <f t="shared" ca="1" si="2"/>
        <v>15.168068669527898</v>
      </c>
    </row>
    <row r="187" spans="4:5" x14ac:dyDescent="0.2">
      <c r="D187" s="2">
        <v>54</v>
      </c>
      <c r="E187" s="6">
        <f t="shared" ca="1" si="2"/>
        <v>15.063004291845495</v>
      </c>
    </row>
    <row r="188" spans="4:5" x14ac:dyDescent="0.2">
      <c r="D188" s="2">
        <v>53.75</v>
      </c>
      <c r="E188" s="6">
        <f t="shared" ca="1" si="2"/>
        <v>14.957939914163092</v>
      </c>
    </row>
    <row r="189" spans="4:5" x14ac:dyDescent="0.2">
      <c r="D189" s="2">
        <v>53.5</v>
      </c>
      <c r="E189" s="6">
        <f t="shared" ca="1" si="2"/>
        <v>14.852875536480688</v>
      </c>
    </row>
    <row r="190" spans="4:5" x14ac:dyDescent="0.2">
      <c r="D190" s="2">
        <v>53.25</v>
      </c>
      <c r="E190" s="6">
        <f t="shared" ca="1" si="2"/>
        <v>14.747811158798285</v>
      </c>
    </row>
    <row r="191" spans="4:5" x14ac:dyDescent="0.2">
      <c r="D191" s="2">
        <v>53</v>
      </c>
      <c r="E191" s="6">
        <f t="shared" ca="1" si="2"/>
        <v>14.642746781115882</v>
      </c>
    </row>
    <row r="192" spans="4:5" x14ac:dyDescent="0.2">
      <c r="D192" s="2">
        <v>52.75</v>
      </c>
      <c r="E192" s="6">
        <f t="shared" ca="1" si="2"/>
        <v>14.537682403433479</v>
      </c>
    </row>
    <row r="193" spans="4:5" x14ac:dyDescent="0.2">
      <c r="D193" s="2">
        <v>52.5</v>
      </c>
      <c r="E193" s="6">
        <f t="shared" ca="1" si="2"/>
        <v>14.432618025751076</v>
      </c>
    </row>
    <row r="194" spans="4:5" x14ac:dyDescent="0.2">
      <c r="D194" s="2">
        <v>52.25</v>
      </c>
      <c r="E194" s="6">
        <f t="shared" ca="1" si="2"/>
        <v>14.327553648068672</v>
      </c>
    </row>
    <row r="195" spans="4:5" x14ac:dyDescent="0.2">
      <c r="D195" s="2">
        <v>52</v>
      </c>
      <c r="E195" s="6">
        <f t="shared" ca="1" si="2"/>
        <v>14.222489270386266</v>
      </c>
    </row>
    <row r="196" spans="4:5" x14ac:dyDescent="0.2">
      <c r="D196" s="2">
        <v>51.75</v>
      </c>
      <c r="E196" s="6">
        <f t="shared" ca="1" si="2"/>
        <v>14.117424892703863</v>
      </c>
    </row>
    <row r="197" spans="4:5" x14ac:dyDescent="0.2">
      <c r="D197" s="2">
        <v>51.5</v>
      </c>
      <c r="E197" s="6">
        <f t="shared" ref="E197:E260" ca="1" si="3">FORECAST(D197,OFFSET($B$4:$B$19,MATCH(D197,$A$4:$A$19,1)-1,0,2),OFFSET($A$4:$A$19,MATCH(D197,$A$4:$A$19,1)-1,0,2))</f>
        <v>14.012360515021459</v>
      </c>
    </row>
    <row r="198" spans="4:5" x14ac:dyDescent="0.2">
      <c r="D198" s="2">
        <v>51.25</v>
      </c>
      <c r="E198" s="6">
        <f t="shared" ca="1" si="3"/>
        <v>13.907296137339056</v>
      </c>
    </row>
    <row r="199" spans="4:5" x14ac:dyDescent="0.2">
      <c r="D199" s="2">
        <v>51</v>
      </c>
      <c r="E199" s="6">
        <f t="shared" ca="1" si="3"/>
        <v>13.802231759656653</v>
      </c>
    </row>
    <row r="200" spans="4:5" x14ac:dyDescent="0.2">
      <c r="D200" s="2">
        <v>50.75</v>
      </c>
      <c r="E200" s="6">
        <f t="shared" ca="1" si="3"/>
        <v>13.69716738197425</v>
      </c>
    </row>
    <row r="201" spans="4:5" x14ac:dyDescent="0.2">
      <c r="D201" s="2">
        <v>50.5</v>
      </c>
      <c r="E201" s="6">
        <f t="shared" ca="1" si="3"/>
        <v>13.592103004291847</v>
      </c>
    </row>
    <row r="202" spans="4:5" x14ac:dyDescent="0.2">
      <c r="D202" s="2">
        <v>50.25</v>
      </c>
      <c r="E202" s="6">
        <f t="shared" ca="1" si="3"/>
        <v>13.487038626609444</v>
      </c>
    </row>
    <row r="203" spans="4:5" x14ac:dyDescent="0.2">
      <c r="D203" s="2">
        <v>50</v>
      </c>
      <c r="E203" s="6">
        <f t="shared" ca="1" si="3"/>
        <v>13.38197424892704</v>
      </c>
    </row>
    <row r="204" spans="4:5" x14ac:dyDescent="0.2">
      <c r="D204" s="2">
        <v>49.75</v>
      </c>
      <c r="E204" s="6">
        <f t="shared" ca="1" si="3"/>
        <v>13.276909871244637</v>
      </c>
    </row>
    <row r="205" spans="4:5" x14ac:dyDescent="0.2">
      <c r="D205" s="2">
        <v>49.5</v>
      </c>
      <c r="E205" s="6">
        <f t="shared" ca="1" si="3"/>
        <v>13.171845493562234</v>
      </c>
    </row>
    <row r="206" spans="4:5" x14ac:dyDescent="0.2">
      <c r="D206" s="2">
        <v>49.25</v>
      </c>
      <c r="E206" s="6">
        <f t="shared" ca="1" si="3"/>
        <v>13.066781115879831</v>
      </c>
    </row>
    <row r="207" spans="4:5" x14ac:dyDescent="0.2">
      <c r="D207" s="2">
        <v>49</v>
      </c>
      <c r="E207" s="6">
        <f t="shared" ca="1" si="3"/>
        <v>12.961716738197428</v>
      </c>
    </row>
    <row r="208" spans="4:5" x14ac:dyDescent="0.2">
      <c r="D208" s="2">
        <v>48.75</v>
      </c>
      <c r="E208" s="6">
        <f t="shared" ca="1" si="3"/>
        <v>12.856652360515021</v>
      </c>
    </row>
    <row r="209" spans="4:5" x14ac:dyDescent="0.2">
      <c r="D209" s="2">
        <v>48.5</v>
      </c>
      <c r="E209" s="6">
        <f t="shared" ca="1" si="3"/>
        <v>12.751587982832618</v>
      </c>
    </row>
    <row r="210" spans="4:5" x14ac:dyDescent="0.2">
      <c r="D210" s="2">
        <v>48.25</v>
      </c>
      <c r="E210" s="6">
        <f t="shared" ca="1" si="3"/>
        <v>12.646523605150215</v>
      </c>
    </row>
    <row r="211" spans="4:5" x14ac:dyDescent="0.2">
      <c r="D211" s="2">
        <v>48</v>
      </c>
      <c r="E211" s="6">
        <f t="shared" ca="1" si="3"/>
        <v>12.541459227467811</v>
      </c>
    </row>
    <row r="212" spans="4:5" x14ac:dyDescent="0.2">
      <c r="D212" s="2">
        <v>47.75</v>
      </c>
      <c r="E212" s="6">
        <f t="shared" ca="1" si="3"/>
        <v>12.436394849785408</v>
      </c>
    </row>
    <row r="213" spans="4:5" x14ac:dyDescent="0.2">
      <c r="D213" s="2">
        <v>47.5</v>
      </c>
      <c r="E213" s="6">
        <f t="shared" ca="1" si="3"/>
        <v>12.331330472103005</v>
      </c>
    </row>
    <row r="214" spans="4:5" x14ac:dyDescent="0.2">
      <c r="D214" s="2">
        <v>47.25</v>
      </c>
      <c r="E214" s="6">
        <f t="shared" ca="1" si="3"/>
        <v>12.226266094420602</v>
      </c>
    </row>
    <row r="215" spans="4:5" x14ac:dyDescent="0.2">
      <c r="D215" s="2">
        <v>47</v>
      </c>
      <c r="E215" s="6">
        <f t="shared" ca="1" si="3"/>
        <v>12.121201716738199</v>
      </c>
    </row>
    <row r="216" spans="4:5" x14ac:dyDescent="0.2">
      <c r="D216" s="2">
        <v>46.75</v>
      </c>
      <c r="E216" s="6">
        <f t="shared" ca="1" si="3"/>
        <v>12.016137339055796</v>
      </c>
    </row>
    <row r="217" spans="4:5" x14ac:dyDescent="0.2">
      <c r="D217" s="2">
        <v>46.5</v>
      </c>
      <c r="E217" s="6">
        <f t="shared" ca="1" si="3"/>
        <v>11.911072961373392</v>
      </c>
    </row>
    <row r="218" spans="4:5" x14ac:dyDescent="0.2">
      <c r="D218" s="2">
        <v>46.25</v>
      </c>
      <c r="E218" s="6">
        <f t="shared" ca="1" si="3"/>
        <v>11.806008583690989</v>
      </c>
    </row>
    <row r="219" spans="4:5" x14ac:dyDescent="0.2">
      <c r="D219" s="2">
        <v>46</v>
      </c>
      <c r="E219" s="6">
        <f t="shared" ca="1" si="3"/>
        <v>11.700944206008586</v>
      </c>
    </row>
    <row r="220" spans="4:5" x14ac:dyDescent="0.2">
      <c r="D220" s="2">
        <v>45.75</v>
      </c>
      <c r="E220" s="6">
        <f t="shared" ca="1" si="3"/>
        <v>11.595879828326183</v>
      </c>
    </row>
    <row r="221" spans="4:5" x14ac:dyDescent="0.2">
      <c r="D221" s="2">
        <v>45.5</v>
      </c>
      <c r="E221" s="6">
        <f t="shared" ca="1" si="3"/>
        <v>11.49081545064378</v>
      </c>
    </row>
    <row r="222" spans="4:5" x14ac:dyDescent="0.2">
      <c r="D222" s="2">
        <v>45.25</v>
      </c>
      <c r="E222" s="6">
        <f t="shared" ca="1" si="3"/>
        <v>11.385751072961373</v>
      </c>
    </row>
    <row r="223" spans="4:5" x14ac:dyDescent="0.2">
      <c r="D223" s="2">
        <v>45</v>
      </c>
      <c r="E223" s="6">
        <f t="shared" ca="1" si="3"/>
        <v>11.28068669527897</v>
      </c>
    </row>
    <row r="224" spans="4:5" x14ac:dyDescent="0.2">
      <c r="D224" s="2">
        <v>44.75</v>
      </c>
      <c r="E224" s="6">
        <f t="shared" ca="1" si="3"/>
        <v>11.175622317596567</v>
      </c>
    </row>
    <row r="225" spans="4:5" x14ac:dyDescent="0.2">
      <c r="D225" s="2">
        <v>44.5</v>
      </c>
      <c r="E225" s="6">
        <f t="shared" ca="1" si="3"/>
        <v>11.070557939914163</v>
      </c>
    </row>
    <row r="226" spans="4:5" x14ac:dyDescent="0.2">
      <c r="D226" s="2">
        <v>44.25</v>
      </c>
      <c r="E226" s="6">
        <f t="shared" ca="1" si="3"/>
        <v>10.96549356223176</v>
      </c>
    </row>
    <row r="227" spans="4:5" x14ac:dyDescent="0.2">
      <c r="D227" s="2">
        <v>44</v>
      </c>
      <c r="E227" s="6">
        <f t="shared" ca="1" si="3"/>
        <v>10.860429184549357</v>
      </c>
    </row>
    <row r="228" spans="4:5" x14ac:dyDescent="0.2">
      <c r="D228" s="2">
        <v>43.75</v>
      </c>
      <c r="E228" s="6">
        <f t="shared" ca="1" si="3"/>
        <v>10.755364806866954</v>
      </c>
    </row>
    <row r="229" spans="4:5" x14ac:dyDescent="0.2">
      <c r="D229" s="2">
        <v>43.5</v>
      </c>
      <c r="E229" s="6">
        <f t="shared" ca="1" si="3"/>
        <v>10.650300429184551</v>
      </c>
    </row>
    <row r="230" spans="4:5" x14ac:dyDescent="0.2">
      <c r="D230" s="2">
        <v>43.25</v>
      </c>
      <c r="E230" s="6">
        <f t="shared" ca="1" si="3"/>
        <v>10.545236051502147</v>
      </c>
    </row>
    <row r="231" spans="4:5" x14ac:dyDescent="0.2">
      <c r="D231" s="2">
        <v>43</v>
      </c>
      <c r="E231" s="6">
        <f t="shared" ca="1" si="3"/>
        <v>10.440171673819744</v>
      </c>
    </row>
    <row r="232" spans="4:5" x14ac:dyDescent="0.2">
      <c r="D232" s="2">
        <v>42.75</v>
      </c>
      <c r="E232" s="6">
        <f t="shared" ca="1" si="3"/>
        <v>10.335107296137341</v>
      </c>
    </row>
    <row r="233" spans="4:5" x14ac:dyDescent="0.2">
      <c r="D233" s="2">
        <v>42.5</v>
      </c>
      <c r="E233" s="6">
        <f t="shared" ca="1" si="3"/>
        <v>10.230042918454938</v>
      </c>
    </row>
    <row r="234" spans="4:5" x14ac:dyDescent="0.2">
      <c r="D234" s="2">
        <v>42.25</v>
      </c>
      <c r="E234" s="6">
        <f t="shared" ca="1" si="3"/>
        <v>10.124978540772535</v>
      </c>
    </row>
    <row r="235" spans="4:5" x14ac:dyDescent="0.2">
      <c r="D235" s="2">
        <v>42</v>
      </c>
      <c r="E235" s="6">
        <f t="shared" ca="1" si="3"/>
        <v>10.019914163090128</v>
      </c>
    </row>
    <row r="236" spans="4:5" x14ac:dyDescent="0.2">
      <c r="D236" s="2">
        <v>41.75</v>
      </c>
      <c r="E236" s="6">
        <f t="shared" ca="1" si="3"/>
        <v>9.9148497854077249</v>
      </c>
    </row>
    <row r="237" spans="4:5" x14ac:dyDescent="0.2">
      <c r="D237" s="2">
        <v>41.5</v>
      </c>
      <c r="E237" s="6">
        <f t="shared" ca="1" si="3"/>
        <v>9.8097854077253217</v>
      </c>
    </row>
    <row r="238" spans="4:5" x14ac:dyDescent="0.2">
      <c r="D238" s="2">
        <v>41.25</v>
      </c>
      <c r="E238" s="6">
        <f t="shared" ca="1" si="3"/>
        <v>9.7047210300429185</v>
      </c>
    </row>
    <row r="239" spans="4:5" x14ac:dyDescent="0.2">
      <c r="D239" s="2">
        <v>41</v>
      </c>
      <c r="E239" s="6">
        <f t="shared" ca="1" si="3"/>
        <v>9.5996566523605154</v>
      </c>
    </row>
    <row r="240" spans="4:5" x14ac:dyDescent="0.2">
      <c r="D240" s="2">
        <v>40.75</v>
      </c>
      <c r="E240" s="6">
        <f t="shared" ca="1" si="3"/>
        <v>9.4945922746781122</v>
      </c>
    </row>
    <row r="241" spans="4:5" x14ac:dyDescent="0.2">
      <c r="D241" s="2">
        <v>40.5</v>
      </c>
      <c r="E241" s="6">
        <f t="shared" ca="1" si="3"/>
        <v>9.389527896995709</v>
      </c>
    </row>
    <row r="242" spans="4:5" x14ac:dyDescent="0.2">
      <c r="D242" s="2">
        <v>40.25</v>
      </c>
      <c r="E242" s="6">
        <f t="shared" ca="1" si="3"/>
        <v>9.2844635193133058</v>
      </c>
    </row>
    <row r="243" spans="4:5" x14ac:dyDescent="0.2">
      <c r="D243" s="2">
        <v>40</v>
      </c>
      <c r="E243" s="6">
        <f t="shared" ca="1" si="3"/>
        <v>9.1793991416309026</v>
      </c>
    </row>
    <row r="244" spans="4:5" x14ac:dyDescent="0.2">
      <c r="D244" s="2">
        <v>39.75</v>
      </c>
      <c r="E244" s="6">
        <f t="shared" ca="1" si="3"/>
        <v>9.0743347639484995</v>
      </c>
    </row>
    <row r="245" spans="4:5" x14ac:dyDescent="0.2">
      <c r="D245" s="2">
        <v>39.5</v>
      </c>
      <c r="E245" s="6">
        <f t="shared" ca="1" si="3"/>
        <v>8.9692703862660963</v>
      </c>
    </row>
    <row r="246" spans="4:5" x14ac:dyDescent="0.2">
      <c r="D246" s="2">
        <v>39.25</v>
      </c>
      <c r="E246" s="6">
        <f t="shared" ca="1" si="3"/>
        <v>8.8642060085836931</v>
      </c>
    </row>
    <row r="247" spans="4:5" x14ac:dyDescent="0.2">
      <c r="D247" s="2">
        <v>39</v>
      </c>
      <c r="E247" s="6">
        <f t="shared" ca="1" si="3"/>
        <v>8.7591416309012899</v>
      </c>
    </row>
    <row r="248" spans="4:5" x14ac:dyDescent="0.2">
      <c r="D248" s="2">
        <v>38.75</v>
      </c>
      <c r="E248" s="6">
        <f t="shared" ca="1" si="3"/>
        <v>8.6540772532188868</v>
      </c>
    </row>
    <row r="249" spans="4:5" x14ac:dyDescent="0.2">
      <c r="D249" s="2">
        <v>38.5</v>
      </c>
      <c r="E249" s="6">
        <f t="shared" ca="1" si="3"/>
        <v>8.54901287553648</v>
      </c>
    </row>
    <row r="250" spans="4:5" x14ac:dyDescent="0.2">
      <c r="D250" s="2">
        <v>38.25</v>
      </c>
      <c r="E250" s="6">
        <f t="shared" ca="1" si="3"/>
        <v>8.4439484978540769</v>
      </c>
    </row>
    <row r="251" spans="4:5" x14ac:dyDescent="0.2">
      <c r="D251" s="2">
        <v>38</v>
      </c>
      <c r="E251" s="6">
        <f t="shared" ca="1" si="3"/>
        <v>8.3388841201716755</v>
      </c>
    </row>
    <row r="252" spans="4:5" x14ac:dyDescent="0.2">
      <c r="D252" s="2">
        <v>37.75</v>
      </c>
      <c r="E252" s="6">
        <f t="shared" ca="1" si="3"/>
        <v>8.2338197424892705</v>
      </c>
    </row>
    <row r="253" spans="4:5" x14ac:dyDescent="0.2">
      <c r="D253" s="2">
        <v>37.5</v>
      </c>
      <c r="E253" s="6">
        <f t="shared" ca="1" si="3"/>
        <v>8.1287553648068673</v>
      </c>
    </row>
    <row r="254" spans="4:5" x14ac:dyDescent="0.2">
      <c r="D254" s="2">
        <v>37.25</v>
      </c>
      <c r="E254" s="6">
        <f t="shared" ca="1" si="3"/>
        <v>8.0236909871244642</v>
      </c>
    </row>
    <row r="255" spans="4:5" x14ac:dyDescent="0.2">
      <c r="D255" s="2">
        <v>37</v>
      </c>
      <c r="E255" s="6">
        <f t="shared" ca="1" si="3"/>
        <v>7.9377339901477821</v>
      </c>
    </row>
    <row r="256" spans="4:5" x14ac:dyDescent="0.2">
      <c r="D256" s="2">
        <v>36.75</v>
      </c>
      <c r="E256" s="6">
        <f t="shared" ca="1" si="3"/>
        <v>7.8573399014778307</v>
      </c>
    </row>
    <row r="257" spans="4:5" x14ac:dyDescent="0.2">
      <c r="D257" s="2">
        <v>36.5</v>
      </c>
      <c r="E257" s="6">
        <f t="shared" ca="1" si="3"/>
        <v>7.776945812807881</v>
      </c>
    </row>
    <row r="258" spans="4:5" x14ac:dyDescent="0.2">
      <c r="D258" s="2">
        <v>36.25</v>
      </c>
      <c r="E258" s="6">
        <f t="shared" ca="1" si="3"/>
        <v>7.6965517241379295</v>
      </c>
    </row>
    <row r="259" spans="4:5" x14ac:dyDescent="0.2">
      <c r="D259" s="2">
        <v>36</v>
      </c>
      <c r="E259" s="6">
        <f t="shared" ca="1" si="3"/>
        <v>7.6161576354679799</v>
      </c>
    </row>
    <row r="260" spans="4:5" x14ac:dyDescent="0.2">
      <c r="D260" s="2">
        <v>35.75</v>
      </c>
      <c r="E260" s="6">
        <f t="shared" ca="1" si="3"/>
        <v>7.5357635467980284</v>
      </c>
    </row>
    <row r="261" spans="4:5" x14ac:dyDescent="0.2">
      <c r="D261" s="2">
        <v>35.5</v>
      </c>
      <c r="E261" s="6">
        <f t="shared" ref="E261:E324" ca="1" si="4">FORECAST(D261,OFFSET($B$4:$B$19,MATCH(D261,$A$4:$A$19,1)-1,0,2),OFFSET($A$4:$A$19,MATCH(D261,$A$4:$A$19,1)-1,0,2))</f>
        <v>7.4553694581280769</v>
      </c>
    </row>
    <row r="262" spans="4:5" x14ac:dyDescent="0.2">
      <c r="D262" s="2">
        <v>35.25</v>
      </c>
      <c r="E262" s="6">
        <f t="shared" ca="1" si="4"/>
        <v>7.3749753694581273</v>
      </c>
    </row>
    <row r="263" spans="4:5" x14ac:dyDescent="0.2">
      <c r="D263" s="2">
        <v>35</v>
      </c>
      <c r="E263" s="6">
        <f t="shared" ca="1" si="4"/>
        <v>7.2945812807881758</v>
      </c>
    </row>
    <row r="264" spans="4:5" x14ac:dyDescent="0.2">
      <c r="D264" s="2">
        <v>34.75</v>
      </c>
      <c r="E264" s="6">
        <f t="shared" ca="1" si="4"/>
        <v>7.2141871921182261</v>
      </c>
    </row>
    <row r="265" spans="4:5" x14ac:dyDescent="0.2">
      <c r="D265" s="2">
        <v>34.5</v>
      </c>
      <c r="E265" s="6">
        <f t="shared" ca="1" si="4"/>
        <v>7.1337931034482747</v>
      </c>
    </row>
    <row r="266" spans="4:5" x14ac:dyDescent="0.2">
      <c r="D266" s="2">
        <v>34.25</v>
      </c>
      <c r="E266" s="6">
        <f t="shared" ca="1" si="4"/>
        <v>7.0533990147783232</v>
      </c>
    </row>
    <row r="267" spans="4:5" x14ac:dyDescent="0.2">
      <c r="D267" s="2">
        <v>34</v>
      </c>
      <c r="E267" s="6">
        <f t="shared" ca="1" si="4"/>
        <v>6.9730049261083735</v>
      </c>
    </row>
    <row r="268" spans="4:5" x14ac:dyDescent="0.2">
      <c r="D268" s="2">
        <v>33.75</v>
      </c>
      <c r="E268" s="6">
        <f t="shared" ca="1" si="4"/>
        <v>6.8926108374384221</v>
      </c>
    </row>
    <row r="269" spans="4:5" x14ac:dyDescent="0.2">
      <c r="D269" s="2">
        <v>33.5</v>
      </c>
      <c r="E269" s="6">
        <f t="shared" ca="1" si="4"/>
        <v>6.8122167487684724</v>
      </c>
    </row>
    <row r="270" spans="4:5" x14ac:dyDescent="0.2">
      <c r="D270" s="2">
        <v>33.25</v>
      </c>
      <c r="E270" s="6">
        <f t="shared" ca="1" si="4"/>
        <v>6.7318226600985209</v>
      </c>
    </row>
    <row r="271" spans="4:5" x14ac:dyDescent="0.2">
      <c r="D271" s="2">
        <v>33</v>
      </c>
      <c r="E271" s="6">
        <f t="shared" ca="1" si="4"/>
        <v>6.6514285714285695</v>
      </c>
    </row>
    <row r="272" spans="4:5" x14ac:dyDescent="0.2">
      <c r="D272" s="2">
        <v>32.75</v>
      </c>
      <c r="E272" s="6">
        <f t="shared" ca="1" si="4"/>
        <v>6.5710344827586198</v>
      </c>
    </row>
    <row r="273" spans="4:5" x14ac:dyDescent="0.2">
      <c r="D273" s="2">
        <v>32.5</v>
      </c>
      <c r="E273" s="6">
        <f t="shared" ca="1" si="4"/>
        <v>6.4906403940886683</v>
      </c>
    </row>
    <row r="274" spans="4:5" x14ac:dyDescent="0.2">
      <c r="D274" s="2">
        <v>32.25</v>
      </c>
      <c r="E274" s="6">
        <f t="shared" ca="1" si="4"/>
        <v>6.4102463054187186</v>
      </c>
    </row>
    <row r="275" spans="4:5" x14ac:dyDescent="0.2">
      <c r="D275" s="2">
        <v>32</v>
      </c>
      <c r="E275" s="6">
        <f t="shared" ca="1" si="4"/>
        <v>6.3298522167487672</v>
      </c>
    </row>
    <row r="276" spans="4:5" x14ac:dyDescent="0.2">
      <c r="D276" s="2">
        <v>31.75</v>
      </c>
      <c r="E276" s="6">
        <f t="shared" ca="1" si="4"/>
        <v>6.2494581280788157</v>
      </c>
    </row>
    <row r="277" spans="4:5" x14ac:dyDescent="0.2">
      <c r="D277" s="2">
        <v>31.5</v>
      </c>
      <c r="E277" s="6">
        <f t="shared" ca="1" si="4"/>
        <v>6.1690640394088661</v>
      </c>
    </row>
    <row r="278" spans="4:5" x14ac:dyDescent="0.2">
      <c r="D278" s="2">
        <v>31.25</v>
      </c>
      <c r="E278" s="6">
        <f t="shared" ca="1" si="4"/>
        <v>6.0886699507389146</v>
      </c>
    </row>
    <row r="279" spans="4:5" x14ac:dyDescent="0.2">
      <c r="D279" s="2">
        <v>31</v>
      </c>
      <c r="E279" s="6">
        <f t="shared" ca="1" si="4"/>
        <v>6.0082758620689649</v>
      </c>
    </row>
    <row r="280" spans="4:5" x14ac:dyDescent="0.2">
      <c r="D280" s="2">
        <v>30.75</v>
      </c>
      <c r="E280" s="6">
        <f t="shared" ca="1" si="4"/>
        <v>5.9278817733990135</v>
      </c>
    </row>
    <row r="281" spans="4:5" x14ac:dyDescent="0.2">
      <c r="D281" s="2">
        <v>30.5</v>
      </c>
      <c r="E281" s="6">
        <f t="shared" ca="1" si="4"/>
        <v>5.847487684729062</v>
      </c>
    </row>
    <row r="282" spans="4:5" x14ac:dyDescent="0.2">
      <c r="D282" s="2">
        <v>30.25</v>
      </c>
      <c r="E282" s="6">
        <f t="shared" ca="1" si="4"/>
        <v>5.7670935960591123</v>
      </c>
    </row>
    <row r="283" spans="4:5" x14ac:dyDescent="0.2">
      <c r="D283" s="2">
        <v>30</v>
      </c>
      <c r="E283" s="6">
        <f t="shared" ca="1" si="4"/>
        <v>5.6866995073891609</v>
      </c>
    </row>
    <row r="284" spans="4:5" x14ac:dyDescent="0.2">
      <c r="D284" s="2">
        <v>29.75</v>
      </c>
      <c r="E284" s="6">
        <f t="shared" ca="1" si="4"/>
        <v>5.6063054187192112</v>
      </c>
    </row>
    <row r="285" spans="4:5" x14ac:dyDescent="0.2">
      <c r="D285" s="2">
        <v>29.5</v>
      </c>
      <c r="E285" s="6">
        <f t="shared" ca="1" si="4"/>
        <v>5.5259113300492597</v>
      </c>
    </row>
    <row r="286" spans="4:5" x14ac:dyDescent="0.2">
      <c r="D286" s="2">
        <v>29.25</v>
      </c>
      <c r="E286" s="6">
        <f t="shared" ca="1" si="4"/>
        <v>5.4455172413793083</v>
      </c>
    </row>
    <row r="287" spans="4:5" x14ac:dyDescent="0.2">
      <c r="D287" s="2">
        <v>29</v>
      </c>
      <c r="E287" s="6">
        <f t="shared" ca="1" si="4"/>
        <v>5.3651231527093586</v>
      </c>
    </row>
    <row r="288" spans="4:5" x14ac:dyDescent="0.2">
      <c r="D288" s="2">
        <v>28.75</v>
      </c>
      <c r="E288" s="6">
        <f t="shared" ca="1" si="4"/>
        <v>5.2847290640394071</v>
      </c>
    </row>
    <row r="289" spans="4:5" x14ac:dyDescent="0.2">
      <c r="D289" s="2">
        <v>28.5</v>
      </c>
      <c r="E289" s="6">
        <f t="shared" ca="1" si="4"/>
        <v>5.2043349753694574</v>
      </c>
    </row>
    <row r="290" spans="4:5" x14ac:dyDescent="0.2">
      <c r="D290" s="2">
        <v>28.25</v>
      </c>
      <c r="E290" s="6">
        <f t="shared" ca="1" si="4"/>
        <v>5.123940886699506</v>
      </c>
    </row>
    <row r="291" spans="4:5" x14ac:dyDescent="0.2">
      <c r="D291" s="2">
        <v>28</v>
      </c>
      <c r="E291" s="6">
        <f t="shared" ca="1" si="4"/>
        <v>5.0435467980295545</v>
      </c>
    </row>
    <row r="292" spans="4:5" x14ac:dyDescent="0.2">
      <c r="D292" s="2">
        <v>27.75</v>
      </c>
      <c r="E292" s="6">
        <f t="shared" ca="1" si="4"/>
        <v>4.9631527093596048</v>
      </c>
    </row>
    <row r="293" spans="4:5" x14ac:dyDescent="0.2">
      <c r="D293" s="2">
        <v>27.5</v>
      </c>
      <c r="E293" s="6">
        <f t="shared" ca="1" si="4"/>
        <v>4.8827586206896534</v>
      </c>
    </row>
    <row r="294" spans="4:5" x14ac:dyDescent="0.2">
      <c r="D294" s="2">
        <v>27.25</v>
      </c>
      <c r="E294" s="6">
        <f t="shared" ca="1" si="4"/>
        <v>4.8023645320197037</v>
      </c>
    </row>
    <row r="295" spans="4:5" x14ac:dyDescent="0.2">
      <c r="D295" s="2">
        <v>27</v>
      </c>
      <c r="E295" s="6">
        <f t="shared" ca="1" si="4"/>
        <v>4.7219704433497522</v>
      </c>
    </row>
    <row r="296" spans="4:5" x14ac:dyDescent="0.2">
      <c r="D296" s="2">
        <v>26.75</v>
      </c>
      <c r="E296" s="6">
        <f t="shared" ca="1" si="4"/>
        <v>4.6415763546798008</v>
      </c>
    </row>
    <row r="297" spans="4:5" x14ac:dyDescent="0.2">
      <c r="D297" s="2">
        <v>26.5</v>
      </c>
      <c r="E297" s="6">
        <f t="shared" ca="1" si="4"/>
        <v>4.5611822660098511</v>
      </c>
    </row>
    <row r="298" spans="4:5" x14ac:dyDescent="0.2">
      <c r="D298" s="2">
        <v>26.25</v>
      </c>
      <c r="E298" s="6">
        <f t="shared" ca="1" si="4"/>
        <v>4.4807881773398996</v>
      </c>
    </row>
    <row r="299" spans="4:5" x14ac:dyDescent="0.2">
      <c r="D299" s="2">
        <v>26</v>
      </c>
      <c r="E299" s="6">
        <f t="shared" ca="1" si="4"/>
        <v>4.40039408866995</v>
      </c>
    </row>
    <row r="300" spans="4:5" x14ac:dyDescent="0.2">
      <c r="D300" s="2">
        <v>25.75</v>
      </c>
      <c r="E300" s="6">
        <f t="shared" ca="1" si="4"/>
        <v>4.3199999999999985</v>
      </c>
    </row>
    <row r="301" spans="4:5" x14ac:dyDescent="0.2">
      <c r="D301" s="2">
        <v>25.5</v>
      </c>
      <c r="E301" s="6">
        <f t="shared" ca="1" si="4"/>
        <v>4.2396059113300471</v>
      </c>
    </row>
    <row r="302" spans="4:5" x14ac:dyDescent="0.2">
      <c r="D302" s="2">
        <v>25.25</v>
      </c>
      <c r="E302" s="6">
        <f t="shared" ca="1" si="4"/>
        <v>4.1592118226600974</v>
      </c>
    </row>
    <row r="303" spans="4:5" x14ac:dyDescent="0.2">
      <c r="D303" s="2">
        <v>25</v>
      </c>
      <c r="E303" s="6">
        <f t="shared" ca="1" si="4"/>
        <v>4.0788177339901459</v>
      </c>
    </row>
    <row r="304" spans="4:5" x14ac:dyDescent="0.2">
      <c r="D304" s="2">
        <v>24.75</v>
      </c>
      <c r="E304" s="6">
        <f t="shared" ca="1" si="4"/>
        <v>3.9986206896551719</v>
      </c>
    </row>
    <row r="305" spans="4:5" x14ac:dyDescent="0.2">
      <c r="D305" s="2">
        <v>24.5</v>
      </c>
      <c r="E305" s="6">
        <f t="shared" ca="1" si="4"/>
        <v>3.9282758620689648</v>
      </c>
    </row>
    <row r="306" spans="4:5" x14ac:dyDescent="0.2">
      <c r="D306" s="2">
        <v>24.25</v>
      </c>
      <c r="E306" s="6">
        <f t="shared" ca="1" si="4"/>
        <v>3.8579310344827578</v>
      </c>
    </row>
    <row r="307" spans="4:5" x14ac:dyDescent="0.2">
      <c r="D307" s="2">
        <v>24</v>
      </c>
      <c r="E307" s="6">
        <f t="shared" ca="1" si="4"/>
        <v>3.7875862068965516</v>
      </c>
    </row>
    <row r="308" spans="4:5" x14ac:dyDescent="0.2">
      <c r="D308" s="2">
        <v>23.75</v>
      </c>
      <c r="E308" s="6">
        <f t="shared" ca="1" si="4"/>
        <v>3.7172413793103445</v>
      </c>
    </row>
    <row r="309" spans="4:5" x14ac:dyDescent="0.2">
      <c r="D309" s="2">
        <v>23.5</v>
      </c>
      <c r="E309" s="6">
        <f t="shared" ca="1" si="4"/>
        <v>3.6468965517241374</v>
      </c>
    </row>
    <row r="310" spans="4:5" x14ac:dyDescent="0.2">
      <c r="D310" s="2">
        <v>23.25</v>
      </c>
      <c r="E310" s="6">
        <f t="shared" ca="1" si="4"/>
        <v>3.5765517241379303</v>
      </c>
    </row>
    <row r="311" spans="4:5" x14ac:dyDescent="0.2">
      <c r="D311" s="2">
        <v>23</v>
      </c>
      <c r="E311" s="6">
        <f t="shared" ca="1" si="4"/>
        <v>3.5062068965517232</v>
      </c>
    </row>
    <row r="312" spans="4:5" x14ac:dyDescent="0.2">
      <c r="D312" s="2">
        <v>22.75</v>
      </c>
      <c r="E312" s="6">
        <f t="shared" ca="1" si="4"/>
        <v>3.435862068965517</v>
      </c>
    </row>
    <row r="313" spans="4:5" x14ac:dyDescent="0.2">
      <c r="D313" s="2">
        <v>22.5</v>
      </c>
      <c r="E313" s="6">
        <f t="shared" ca="1" si="4"/>
        <v>3.36551724137931</v>
      </c>
    </row>
    <row r="314" spans="4:5" x14ac:dyDescent="0.2">
      <c r="D314" s="2">
        <v>22.25</v>
      </c>
      <c r="E314" s="6">
        <f t="shared" ca="1" si="4"/>
        <v>3.2951724137931029</v>
      </c>
    </row>
    <row r="315" spans="4:5" x14ac:dyDescent="0.2">
      <c r="D315" s="2">
        <v>22</v>
      </c>
      <c r="E315" s="6">
        <f t="shared" ca="1" si="4"/>
        <v>3.2248275862068958</v>
      </c>
    </row>
    <row r="316" spans="4:5" x14ac:dyDescent="0.2">
      <c r="D316" s="2">
        <v>21.75</v>
      </c>
      <c r="E316" s="6">
        <f t="shared" ca="1" si="4"/>
        <v>3.1544827586206896</v>
      </c>
    </row>
    <row r="317" spans="4:5" x14ac:dyDescent="0.2">
      <c r="D317" s="2">
        <v>21.5</v>
      </c>
      <c r="E317" s="6">
        <f t="shared" ca="1" si="4"/>
        <v>3.0841379310344825</v>
      </c>
    </row>
    <row r="318" spans="4:5" x14ac:dyDescent="0.2">
      <c r="D318" s="2">
        <v>21.25</v>
      </c>
      <c r="E318" s="6">
        <f t="shared" ca="1" si="4"/>
        <v>3.0137931034482754</v>
      </c>
    </row>
    <row r="319" spans="4:5" x14ac:dyDescent="0.2">
      <c r="D319" s="2">
        <v>21</v>
      </c>
      <c r="E319" s="6">
        <f t="shared" ca="1" si="4"/>
        <v>2.9434482758620684</v>
      </c>
    </row>
    <row r="320" spans="4:5" x14ac:dyDescent="0.2">
      <c r="D320" s="2">
        <v>20.75</v>
      </c>
      <c r="E320" s="6">
        <f t="shared" ca="1" si="4"/>
        <v>2.8731034482758622</v>
      </c>
    </row>
    <row r="321" spans="4:5" x14ac:dyDescent="0.2">
      <c r="D321" s="2">
        <v>20.5</v>
      </c>
      <c r="E321" s="6">
        <f t="shared" ca="1" si="4"/>
        <v>2.8027586206896551</v>
      </c>
    </row>
    <row r="322" spans="4:5" x14ac:dyDescent="0.2">
      <c r="D322" s="2">
        <v>20.25</v>
      </c>
      <c r="E322" s="6">
        <f t="shared" ca="1" si="4"/>
        <v>2.732413793103448</v>
      </c>
    </row>
    <row r="323" spans="4:5" x14ac:dyDescent="0.2">
      <c r="D323" s="2">
        <v>20</v>
      </c>
      <c r="E323" s="6">
        <f t="shared" ca="1" si="4"/>
        <v>2.6620689655172409</v>
      </c>
    </row>
    <row r="324" spans="4:5" x14ac:dyDescent="0.2">
      <c r="D324" s="2">
        <v>19.75</v>
      </c>
      <c r="E324" s="6">
        <f t="shared" ca="1" si="4"/>
        <v>2.5917241379310338</v>
      </c>
    </row>
    <row r="325" spans="4:5" x14ac:dyDescent="0.2">
      <c r="D325" s="2">
        <v>19.5</v>
      </c>
      <c r="E325" s="6">
        <f t="shared" ref="E325:E388" ca="1" si="5">FORECAST(D325,OFFSET($B$4:$B$19,MATCH(D325,$A$4:$A$19,1)-1,0,2),OFFSET($A$4:$A$19,MATCH(D325,$A$4:$A$19,1)-1,0,2))</f>
        <v>2.5213793103448277</v>
      </c>
    </row>
    <row r="326" spans="4:5" x14ac:dyDescent="0.2">
      <c r="D326" s="2">
        <v>19.25</v>
      </c>
      <c r="E326" s="6">
        <f t="shared" ca="1" si="5"/>
        <v>2.4510344827586206</v>
      </c>
    </row>
    <row r="327" spans="4:5" x14ac:dyDescent="0.2">
      <c r="D327" s="2">
        <v>19</v>
      </c>
      <c r="E327" s="6">
        <f t="shared" ca="1" si="5"/>
        <v>2.3806896551724135</v>
      </c>
    </row>
    <row r="328" spans="4:5" x14ac:dyDescent="0.2">
      <c r="D328" s="2">
        <v>18.75</v>
      </c>
      <c r="E328" s="6">
        <f t="shared" ca="1" si="5"/>
        <v>2.3103448275862064</v>
      </c>
    </row>
    <row r="329" spans="4:5" x14ac:dyDescent="0.2">
      <c r="D329" s="2">
        <v>18.5</v>
      </c>
      <c r="E329" s="6">
        <f t="shared" ca="1" si="5"/>
        <v>2.2400000000000002</v>
      </c>
    </row>
    <row r="330" spans="4:5" x14ac:dyDescent="0.2">
      <c r="D330" s="2">
        <v>18.25</v>
      </c>
      <c r="E330" s="6">
        <f t="shared" ca="1" si="5"/>
        <v>2.1696551724137931</v>
      </c>
    </row>
    <row r="331" spans="4:5" x14ac:dyDescent="0.2">
      <c r="D331" s="2">
        <v>18</v>
      </c>
      <c r="E331" s="6">
        <f t="shared" ca="1" si="5"/>
        <v>2.0993103448275861</v>
      </c>
    </row>
    <row r="332" spans="4:5" x14ac:dyDescent="0.2">
      <c r="D332" s="2">
        <v>17.75</v>
      </c>
      <c r="E332" s="6">
        <f t="shared" ca="1" si="5"/>
        <v>2.028965517241379</v>
      </c>
    </row>
    <row r="333" spans="4:5" x14ac:dyDescent="0.2">
      <c r="D333" s="2">
        <v>17.5</v>
      </c>
      <c r="E333" s="6">
        <f t="shared" ca="1" si="5"/>
        <v>1.953846153846154</v>
      </c>
    </row>
    <row r="334" spans="4:5" x14ac:dyDescent="0.2">
      <c r="D334" s="2">
        <v>17.25</v>
      </c>
      <c r="E334" s="6">
        <f t="shared" ca="1" si="5"/>
        <v>1.8753846153846156</v>
      </c>
    </row>
    <row r="335" spans="4:5" x14ac:dyDescent="0.2">
      <c r="D335" s="2">
        <v>17</v>
      </c>
      <c r="E335" s="6">
        <f t="shared" ca="1" si="5"/>
        <v>1.7969230769230773</v>
      </c>
    </row>
    <row r="336" spans="4:5" x14ac:dyDescent="0.2">
      <c r="D336" s="2">
        <v>16.75</v>
      </c>
      <c r="E336" s="6">
        <f t="shared" ca="1" si="5"/>
        <v>1.718461538461538</v>
      </c>
    </row>
    <row r="337" spans="4:5" x14ac:dyDescent="0.2">
      <c r="D337" s="2">
        <v>16.5</v>
      </c>
      <c r="E337" s="6">
        <f t="shared" ca="1" si="5"/>
        <v>1.6399999999999997</v>
      </c>
    </row>
    <row r="338" spans="4:5" x14ac:dyDescent="0.2">
      <c r="D338" s="2">
        <v>16.25</v>
      </c>
      <c r="E338" s="6">
        <f t="shared" ca="1" si="5"/>
        <v>1.5615384615384613</v>
      </c>
    </row>
    <row r="339" spans="4:5" x14ac:dyDescent="0.2">
      <c r="D339" s="2">
        <v>16</v>
      </c>
      <c r="E339" s="6">
        <f t="shared" ca="1" si="5"/>
        <v>1.483076923076923</v>
      </c>
    </row>
    <row r="340" spans="4:5" x14ac:dyDescent="0.2">
      <c r="D340" s="2">
        <v>15.75</v>
      </c>
      <c r="E340" s="6">
        <f t="shared" ca="1" si="5"/>
        <v>1.4046153846153846</v>
      </c>
    </row>
    <row r="341" spans="4:5" x14ac:dyDescent="0.2">
      <c r="D341" s="2">
        <v>15.5</v>
      </c>
      <c r="E341" s="6">
        <f t="shared" ca="1" si="5"/>
        <v>1.3261538461538462</v>
      </c>
    </row>
    <row r="342" spans="4:5" x14ac:dyDescent="0.2">
      <c r="D342" s="2">
        <v>15.25</v>
      </c>
      <c r="E342" s="6">
        <f t="shared" ca="1" si="5"/>
        <v>1.2476923076923079</v>
      </c>
    </row>
    <row r="343" spans="4:5" x14ac:dyDescent="0.2">
      <c r="D343" s="2">
        <v>15</v>
      </c>
      <c r="E343" s="6">
        <f t="shared" ca="1" si="5"/>
        <v>1.1692307692307686</v>
      </c>
    </row>
    <row r="344" spans="4:5" x14ac:dyDescent="0.2">
      <c r="D344" s="2">
        <v>14.75</v>
      </c>
      <c r="E344" s="6">
        <f t="shared" ca="1" si="5"/>
        <v>1.0907692307692303</v>
      </c>
    </row>
    <row r="345" spans="4:5" x14ac:dyDescent="0.2">
      <c r="D345" s="2">
        <v>14.5</v>
      </c>
      <c r="E345" s="6">
        <f t="shared" ca="1" si="5"/>
        <v>1.0123076923076919</v>
      </c>
    </row>
    <row r="346" spans="4:5" x14ac:dyDescent="0.2">
      <c r="D346" s="2">
        <v>14.25</v>
      </c>
      <c r="E346" s="6">
        <f t="shared" ca="1" si="5"/>
        <v>0.95627118644067766</v>
      </c>
    </row>
    <row r="347" spans="4:5" x14ac:dyDescent="0.2">
      <c r="D347" s="2">
        <v>14</v>
      </c>
      <c r="E347" s="6">
        <f t="shared" ca="1" si="5"/>
        <v>0.9044067796610169</v>
      </c>
    </row>
    <row r="348" spans="4:5" x14ac:dyDescent="0.2">
      <c r="D348" s="2">
        <v>13.75</v>
      </c>
      <c r="E348" s="6">
        <f t="shared" ca="1" si="5"/>
        <v>0.8525423728813557</v>
      </c>
    </row>
    <row r="349" spans="4:5" x14ac:dyDescent="0.2">
      <c r="D349" s="2">
        <v>13.5</v>
      </c>
      <c r="E349" s="6">
        <f t="shared" ca="1" si="5"/>
        <v>0.80067796610169495</v>
      </c>
    </row>
    <row r="350" spans="4:5" x14ac:dyDescent="0.2">
      <c r="D350" s="2">
        <v>13.25</v>
      </c>
      <c r="E350" s="6">
        <f t="shared" ca="1" si="5"/>
        <v>0.74881355932203375</v>
      </c>
    </row>
    <row r="351" spans="4:5" x14ac:dyDescent="0.2">
      <c r="D351" s="2">
        <v>13</v>
      </c>
      <c r="E351" s="6">
        <f t="shared" ca="1" si="5"/>
        <v>0.696949152542373</v>
      </c>
    </row>
    <row r="352" spans="4:5" x14ac:dyDescent="0.2">
      <c r="D352" s="2">
        <v>12.75</v>
      </c>
      <c r="E352" s="6">
        <f t="shared" ca="1" si="5"/>
        <v>0.6450847457627118</v>
      </c>
    </row>
    <row r="353" spans="4:5" x14ac:dyDescent="0.2">
      <c r="D353" s="2">
        <v>12.5</v>
      </c>
      <c r="E353" s="6">
        <f t="shared" ca="1" si="5"/>
        <v>0.59322033898305104</v>
      </c>
    </row>
    <row r="354" spans="4:5" x14ac:dyDescent="0.2">
      <c r="D354" s="2">
        <v>12.25</v>
      </c>
      <c r="E354" s="6">
        <f t="shared" ca="1" si="5"/>
        <v>0.54135593220338984</v>
      </c>
    </row>
    <row r="355" spans="4:5" x14ac:dyDescent="0.2">
      <c r="D355" s="2">
        <v>12</v>
      </c>
      <c r="E355" s="6">
        <f t="shared" ca="1" si="5"/>
        <v>0.49771217712177124</v>
      </c>
    </row>
    <row r="356" spans="4:5" x14ac:dyDescent="0.2">
      <c r="D356" s="2">
        <v>11.75</v>
      </c>
      <c r="E356" s="6">
        <f t="shared" ca="1" si="5"/>
        <v>0.48642066420664204</v>
      </c>
    </row>
    <row r="357" spans="4:5" x14ac:dyDescent="0.2">
      <c r="D357" s="2">
        <v>11.5</v>
      </c>
      <c r="E357" s="6">
        <f t="shared" ca="1" si="5"/>
        <v>0.47512915129151295</v>
      </c>
    </row>
    <row r="358" spans="4:5" x14ac:dyDescent="0.2">
      <c r="D358" s="2">
        <v>11.25</v>
      </c>
      <c r="E358" s="6">
        <f t="shared" ca="1" si="5"/>
        <v>0.46383763837638375</v>
      </c>
    </row>
    <row r="359" spans="4:5" x14ac:dyDescent="0.2">
      <c r="D359" s="2">
        <v>11</v>
      </c>
      <c r="E359" s="6">
        <f t="shared" ca="1" si="5"/>
        <v>0.45254612546125461</v>
      </c>
    </row>
    <row r="360" spans="4:5" x14ac:dyDescent="0.2">
      <c r="D360" s="2">
        <v>10.75</v>
      </c>
      <c r="E360" s="6">
        <f t="shared" ca="1" si="5"/>
        <v>0.44125461254612547</v>
      </c>
    </row>
    <row r="361" spans="4:5" x14ac:dyDescent="0.2">
      <c r="D361" s="2">
        <v>10.5</v>
      </c>
      <c r="E361" s="6">
        <f t="shared" ca="1" si="5"/>
        <v>0.42996309963099633</v>
      </c>
    </row>
    <row r="362" spans="4:5" x14ac:dyDescent="0.2">
      <c r="D362" s="2">
        <v>10.25</v>
      </c>
      <c r="E362" s="6">
        <f t="shared" ca="1" si="5"/>
        <v>0.41867158671586713</v>
      </c>
    </row>
    <row r="363" spans="4:5" x14ac:dyDescent="0.2">
      <c r="D363" s="2">
        <v>10</v>
      </c>
      <c r="E363" s="6">
        <f t="shared" ca="1" si="5"/>
        <v>0.40738007380073799</v>
      </c>
    </row>
    <row r="364" spans="4:5" x14ac:dyDescent="0.2">
      <c r="D364" s="2">
        <v>9.75</v>
      </c>
      <c r="E364" s="6">
        <f t="shared" ca="1" si="5"/>
        <v>0.39608856088560884</v>
      </c>
    </row>
    <row r="365" spans="4:5" x14ac:dyDescent="0.2">
      <c r="D365" s="2">
        <v>9.5</v>
      </c>
      <c r="E365" s="6">
        <f t="shared" ca="1" si="5"/>
        <v>0.3847970479704797</v>
      </c>
    </row>
    <row r="366" spans="4:5" x14ac:dyDescent="0.2">
      <c r="D366" s="2">
        <v>9.25</v>
      </c>
      <c r="E366" s="6">
        <f t="shared" ca="1" si="5"/>
        <v>0.37350553505535056</v>
      </c>
    </row>
    <row r="367" spans="4:5" x14ac:dyDescent="0.2">
      <c r="D367" s="2">
        <v>9</v>
      </c>
      <c r="E367" s="6">
        <f t="shared" ca="1" si="5"/>
        <v>0.36221402214022141</v>
      </c>
    </row>
    <row r="368" spans="4:5" x14ac:dyDescent="0.2">
      <c r="D368" s="2">
        <v>8.75</v>
      </c>
      <c r="E368" s="6">
        <f t="shared" ca="1" si="5"/>
        <v>0.35092250922509222</v>
      </c>
    </row>
    <row r="369" spans="4:5" x14ac:dyDescent="0.2">
      <c r="D369" s="2">
        <v>8.5</v>
      </c>
      <c r="E369" s="6">
        <f t="shared" ca="1" si="5"/>
        <v>0.33963099630996307</v>
      </c>
    </row>
    <row r="370" spans="4:5" x14ac:dyDescent="0.2">
      <c r="D370" s="2">
        <v>8.25</v>
      </c>
      <c r="E370" s="6">
        <f t="shared" ca="1" si="5"/>
        <v>0.32833948339483393</v>
      </c>
    </row>
    <row r="371" spans="4:5" x14ac:dyDescent="0.2">
      <c r="D371" s="2">
        <v>8</v>
      </c>
      <c r="E371" s="6">
        <f t="shared" ca="1" si="5"/>
        <v>0.31704797047970479</v>
      </c>
    </row>
    <row r="372" spans="4:5" x14ac:dyDescent="0.2">
      <c r="D372" s="2">
        <v>7.75</v>
      </c>
      <c r="E372" s="6">
        <f t="shared" ca="1" si="5"/>
        <v>0.30575645756457565</v>
      </c>
    </row>
    <row r="373" spans="4:5" x14ac:dyDescent="0.2">
      <c r="D373" s="2">
        <v>7.5</v>
      </c>
      <c r="E373" s="6">
        <f t="shared" ca="1" si="5"/>
        <v>0.2944649446494465</v>
      </c>
    </row>
    <row r="374" spans="4:5" x14ac:dyDescent="0.2">
      <c r="D374" s="2">
        <v>7.25</v>
      </c>
      <c r="E374" s="6">
        <f t="shared" ca="1" si="5"/>
        <v>0.28317343173431736</v>
      </c>
    </row>
    <row r="375" spans="4:5" x14ac:dyDescent="0.2">
      <c r="D375" s="2">
        <v>7</v>
      </c>
      <c r="E375" s="6">
        <f t="shared" ca="1" si="5"/>
        <v>0.27188191881918816</v>
      </c>
    </row>
    <row r="376" spans="4:5" x14ac:dyDescent="0.2">
      <c r="D376" s="2">
        <v>6.75</v>
      </c>
      <c r="E376" s="6">
        <f t="shared" ca="1" si="5"/>
        <v>0.26059040590405902</v>
      </c>
    </row>
    <row r="377" spans="4:5" x14ac:dyDescent="0.2">
      <c r="D377" s="2">
        <v>6.5</v>
      </c>
      <c r="E377" s="6">
        <f t="shared" ca="1" si="5"/>
        <v>0.24946927374301675</v>
      </c>
    </row>
    <row r="378" spans="4:5" x14ac:dyDescent="0.2">
      <c r="D378" s="2">
        <v>6.25</v>
      </c>
      <c r="E378" s="6">
        <f t="shared" ca="1" si="5"/>
        <v>0.24092178770949718</v>
      </c>
    </row>
    <row r="379" spans="4:5" x14ac:dyDescent="0.2">
      <c r="D379" s="2">
        <v>6</v>
      </c>
      <c r="E379" s="6">
        <f t="shared" ca="1" si="5"/>
        <v>0.23237430167597764</v>
      </c>
    </row>
    <row r="380" spans="4:5" x14ac:dyDescent="0.2">
      <c r="D380" s="2">
        <v>5.75</v>
      </c>
      <c r="E380" s="6">
        <f t="shared" ca="1" si="5"/>
        <v>0.2238268156424581</v>
      </c>
    </row>
    <row r="381" spans="4:5" x14ac:dyDescent="0.2">
      <c r="D381" s="2">
        <v>5.5</v>
      </c>
      <c r="E381" s="6">
        <f t="shared" ca="1" si="5"/>
        <v>0.21527932960893853</v>
      </c>
    </row>
    <row r="382" spans="4:5" x14ac:dyDescent="0.2">
      <c r="D382" s="2">
        <v>5.25</v>
      </c>
      <c r="E382" s="6">
        <f t="shared" ca="1" si="5"/>
        <v>0.20673184357541899</v>
      </c>
    </row>
    <row r="383" spans="4:5" x14ac:dyDescent="0.2">
      <c r="D383" s="2">
        <v>5</v>
      </c>
      <c r="E383" s="6">
        <f t="shared" ca="1" si="5"/>
        <v>0.19818435754189945</v>
      </c>
    </row>
    <row r="384" spans="4:5" x14ac:dyDescent="0.2">
      <c r="D384" s="2">
        <v>4.75</v>
      </c>
      <c r="E384" s="6">
        <f t="shared" ca="1" si="5"/>
        <v>0.18963687150837988</v>
      </c>
    </row>
    <row r="385" spans="4:5" x14ac:dyDescent="0.2">
      <c r="D385" s="2">
        <v>4.5</v>
      </c>
      <c r="E385" s="6">
        <f t="shared" ca="1" si="5"/>
        <v>0.18108938547486034</v>
      </c>
    </row>
    <row r="386" spans="4:5" x14ac:dyDescent="0.2">
      <c r="D386" s="2">
        <v>4.25</v>
      </c>
      <c r="E386" s="6">
        <f t="shared" ca="1" si="5"/>
        <v>0.17254189944134077</v>
      </c>
    </row>
    <row r="387" spans="4:5" x14ac:dyDescent="0.2">
      <c r="D387" s="2">
        <v>4</v>
      </c>
      <c r="E387" s="6">
        <f t="shared" ca="1" si="5"/>
        <v>0.16399441340782123</v>
      </c>
    </row>
    <row r="388" spans="4:5" x14ac:dyDescent="0.2">
      <c r="D388" s="2">
        <v>3.75</v>
      </c>
      <c r="E388" s="6">
        <f t="shared" ca="1" si="5"/>
        <v>0.15544692737430169</v>
      </c>
    </row>
    <row r="389" spans="4:5" x14ac:dyDescent="0.2">
      <c r="D389" s="2">
        <v>3.5</v>
      </c>
      <c r="E389" s="6">
        <f t="shared" ref="E389:E403" ca="1" si="6">FORECAST(D389,OFFSET($B$4:$B$19,MATCH(D389,$A$4:$A$19,1)-1,0,2),OFFSET($A$4:$A$19,MATCH(D389,$A$4:$A$19,1)-1,0,2))</f>
        <v>0.14689944134078212</v>
      </c>
    </row>
    <row r="390" spans="4:5" x14ac:dyDescent="0.2">
      <c r="D390" s="2">
        <v>3.25</v>
      </c>
      <c r="E390" s="6">
        <f t="shared" ca="1" si="6"/>
        <v>0.13835195530726258</v>
      </c>
    </row>
    <row r="391" spans="4:5" x14ac:dyDescent="0.2">
      <c r="D391" s="2">
        <v>3</v>
      </c>
      <c r="E391" s="6">
        <f t="shared" ca="1" si="6"/>
        <v>0.12980446927374301</v>
      </c>
    </row>
    <row r="392" spans="4:5" x14ac:dyDescent="0.2">
      <c r="D392" s="2">
        <v>2.75</v>
      </c>
      <c r="E392" s="6">
        <f t="shared" ca="1" si="6"/>
        <v>0.12089728395061729</v>
      </c>
    </row>
    <row r="393" spans="4:5" x14ac:dyDescent="0.2">
      <c r="D393" s="2">
        <v>2.5</v>
      </c>
      <c r="E393" s="6">
        <f t="shared" ca="1" si="6"/>
        <v>0.11152839506172839</v>
      </c>
    </row>
    <row r="394" spans="4:5" x14ac:dyDescent="0.2">
      <c r="D394" s="2">
        <v>2.25</v>
      </c>
      <c r="E394" s="6">
        <f t="shared" ca="1" si="6"/>
        <v>0.1021595061728395</v>
      </c>
    </row>
    <row r="395" spans="4:5" x14ac:dyDescent="0.2">
      <c r="D395" s="2">
        <v>2</v>
      </c>
      <c r="E395" s="6">
        <f t="shared" ca="1" si="6"/>
        <v>9.2790617283950619E-2</v>
      </c>
    </row>
    <row r="396" spans="4:5" x14ac:dyDescent="0.2">
      <c r="D396" s="2">
        <v>1.75</v>
      </c>
      <c r="E396" s="6">
        <f t="shared" ca="1" si="6"/>
        <v>8.3421728395061734E-2</v>
      </c>
    </row>
    <row r="397" spans="4:5" x14ac:dyDescent="0.2">
      <c r="D397" s="2">
        <v>1.5</v>
      </c>
      <c r="E397" s="6">
        <f t="shared" ca="1" si="6"/>
        <v>7.4052839506172835E-2</v>
      </c>
    </row>
    <row r="398" spans="4:5" x14ac:dyDescent="0.2">
      <c r="D398" s="2">
        <v>1.25</v>
      </c>
      <c r="E398" s="6">
        <f t="shared" ca="1" si="6"/>
        <v>6.468395061728395E-2</v>
      </c>
    </row>
    <row r="399" spans="4:5" x14ac:dyDescent="0.2">
      <c r="D399" s="2">
        <v>1</v>
      </c>
      <c r="E399" s="6">
        <f t="shared" ca="1" si="6"/>
        <v>5.7554576271186438E-2</v>
      </c>
    </row>
    <row r="400" spans="4:5" x14ac:dyDescent="0.2">
      <c r="D400" s="2">
        <v>0.75</v>
      </c>
      <c r="E400" s="6">
        <f t="shared" ca="1" si="6"/>
        <v>5.091593220338983E-2</v>
      </c>
    </row>
    <row r="401" spans="4:5" x14ac:dyDescent="0.2">
      <c r="D401" s="2">
        <v>0.5</v>
      </c>
      <c r="E401" s="6">
        <f t="shared" ca="1" si="6"/>
        <v>4.4277288135593215E-2</v>
      </c>
    </row>
    <row r="402" spans="4:5" x14ac:dyDescent="0.2">
      <c r="D402" s="2">
        <v>0.25</v>
      </c>
      <c r="E402" s="6">
        <f t="shared" ca="1" si="6"/>
        <v>3.7638644067796607E-2</v>
      </c>
    </row>
    <row r="403" spans="4:5" x14ac:dyDescent="0.2">
      <c r="D403" s="2">
        <v>0</v>
      </c>
      <c r="E403" s="6">
        <f t="shared" ca="1" si="6"/>
        <v>3.0999999999999996E-2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"/>
  <sheetViews>
    <sheetView workbookViewId="0">
      <selection activeCell="N24" sqref="N24"/>
    </sheetView>
  </sheetViews>
  <sheetFormatPr defaultColWidth="11.42578125" defaultRowHeight="12.75" x14ac:dyDescent="0.2"/>
  <cols>
    <col min="1" max="1" width="11.42578125" style="301"/>
    <col min="2" max="2" width="20.85546875" style="301" bestFit="1" customWidth="1"/>
    <col min="3" max="3" width="12.85546875" style="301" bestFit="1" customWidth="1"/>
    <col min="4" max="7" width="11.42578125" style="301"/>
    <col min="8" max="8" width="11.42578125" style="355"/>
    <col min="9" max="12" width="11.42578125" style="301"/>
    <col min="13" max="13" width="12.7109375" style="301" customWidth="1"/>
    <col min="14" max="14" width="11.42578125" style="301"/>
    <col min="15" max="15" width="11.42578125" style="364"/>
    <col min="16" max="16384" width="11.42578125" style="301"/>
  </cols>
  <sheetData>
    <row r="1" spans="1:15" ht="15.75" x14ac:dyDescent="0.25">
      <c r="B1" s="302" t="s">
        <v>2</v>
      </c>
      <c r="C1" s="303"/>
      <c r="D1" s="480" t="s">
        <v>20</v>
      </c>
      <c r="E1" s="481"/>
      <c r="F1" s="481"/>
      <c r="G1" s="482"/>
      <c r="H1" s="304"/>
    </row>
    <row r="2" spans="1:15" ht="16.5" thickBot="1" x14ac:dyDescent="0.3">
      <c r="B2" s="305" t="s">
        <v>3</v>
      </c>
      <c r="C2" s="306"/>
      <c r="D2" s="483" t="s">
        <v>5</v>
      </c>
      <c r="E2" s="484"/>
      <c r="F2" s="484"/>
      <c r="G2" s="485"/>
      <c r="H2" s="304"/>
    </row>
    <row r="3" spans="1:15" ht="13.5" thickBot="1" x14ac:dyDescent="0.25">
      <c r="B3" s="307" t="s">
        <v>1</v>
      </c>
      <c r="C3" s="308"/>
      <c r="D3" s="473">
        <f>Statistik!C3</f>
        <v>44377</v>
      </c>
      <c r="E3" s="473"/>
      <c r="F3" s="473"/>
      <c r="G3" s="474"/>
      <c r="H3" s="309"/>
    </row>
    <row r="4" spans="1:15" ht="13.5" thickBot="1" x14ac:dyDescent="0.25">
      <c r="B4" s="310" t="s">
        <v>42</v>
      </c>
      <c r="C4" s="311"/>
      <c r="D4" s="473">
        <f>Statistik!C4</f>
        <v>0</v>
      </c>
      <c r="E4" s="473"/>
      <c r="F4" s="473"/>
      <c r="G4" s="474"/>
      <c r="H4" s="312"/>
    </row>
    <row r="5" spans="1:15" ht="13.5" thickBot="1" x14ac:dyDescent="0.25">
      <c r="B5" s="310" t="s">
        <v>43</v>
      </c>
      <c r="C5" s="311"/>
      <c r="D5" s="473">
        <f>Statistik!C5</f>
        <v>0</v>
      </c>
      <c r="E5" s="473"/>
      <c r="F5" s="473"/>
      <c r="G5" s="474"/>
      <c r="H5" s="313"/>
    </row>
    <row r="6" spans="1:15" ht="13.5" thickBot="1" x14ac:dyDescent="0.25">
      <c r="B6" s="310" t="s">
        <v>0</v>
      </c>
      <c r="C6" s="311"/>
      <c r="D6" s="473" t="str">
        <f>Statistik!C6</f>
        <v>MS3_FC2-2</v>
      </c>
      <c r="E6" s="473"/>
      <c r="F6" s="473"/>
      <c r="G6" s="474"/>
      <c r="H6" s="314"/>
    </row>
    <row r="7" spans="1:15" ht="13.5" thickBot="1" x14ac:dyDescent="0.25">
      <c r="B7" s="310" t="s">
        <v>4</v>
      </c>
      <c r="C7" s="311"/>
      <c r="D7" s="473">
        <f>Statistik!C7</f>
        <v>0</v>
      </c>
      <c r="E7" s="473"/>
      <c r="F7" s="473"/>
      <c r="G7" s="474"/>
      <c r="H7" s="309"/>
    </row>
    <row r="8" spans="1:15" ht="13.5" thickBot="1" x14ac:dyDescent="0.25">
      <c r="B8" s="310" t="s">
        <v>11</v>
      </c>
      <c r="C8" s="311"/>
      <c r="D8" s="475">
        <f>Statistik!C8</f>
        <v>0</v>
      </c>
      <c r="E8" s="475"/>
      <c r="F8" s="475"/>
      <c r="G8" s="476"/>
      <c r="H8" s="315"/>
      <c r="I8" s="477" t="s">
        <v>202</v>
      </c>
      <c r="J8" s="477"/>
      <c r="M8" s="365" t="s">
        <v>213</v>
      </c>
    </row>
    <row r="9" spans="1:15" ht="13.5" thickBot="1" x14ac:dyDescent="0.25">
      <c r="B9" s="316" t="s">
        <v>6</v>
      </c>
      <c r="C9" s="317"/>
      <c r="D9" s="478">
        <f>Statistik!C9</f>
        <v>24480</v>
      </c>
      <c r="E9" s="478"/>
      <c r="F9" s="478"/>
      <c r="G9" s="479"/>
      <c r="H9" s="313"/>
      <c r="I9" s="477" t="s">
        <v>203</v>
      </c>
      <c r="J9" s="477"/>
      <c r="M9" s="365" t="s">
        <v>214</v>
      </c>
    </row>
    <row r="10" spans="1:15" ht="51.75" thickBot="1" x14ac:dyDescent="0.25">
      <c r="A10" s="318" t="s">
        <v>178</v>
      </c>
      <c r="B10" s="319" t="s">
        <v>177</v>
      </c>
      <c r="C10" s="320" t="s">
        <v>204</v>
      </c>
      <c r="D10" s="321" t="s">
        <v>60</v>
      </c>
      <c r="E10" s="322" t="s">
        <v>61</v>
      </c>
      <c r="F10" s="323" t="s">
        <v>58</v>
      </c>
      <c r="G10" s="324" t="s">
        <v>59</v>
      </c>
      <c r="H10" s="325"/>
      <c r="I10" s="326" t="s">
        <v>205</v>
      </c>
      <c r="J10" s="326" t="s">
        <v>206</v>
      </c>
    </row>
    <row r="11" spans="1:15" x14ac:dyDescent="0.2">
      <c r="A11" s="471" t="s">
        <v>52</v>
      </c>
      <c r="B11" s="327">
        <v>256</v>
      </c>
      <c r="C11" s="328">
        <f>B11/10</f>
        <v>25.6</v>
      </c>
      <c r="D11" s="329">
        <f>Statistik!C11</f>
        <v>0</v>
      </c>
      <c r="E11" s="330">
        <f>E12+D11</f>
        <v>24480</v>
      </c>
      <c r="F11" s="331">
        <f>D11/$E$11</f>
        <v>0</v>
      </c>
      <c r="G11" s="332">
        <f t="shared" ref="G11:G24" si="0">G12+F11</f>
        <v>1</v>
      </c>
      <c r="H11" s="333"/>
      <c r="I11" s="334"/>
      <c r="J11" s="334"/>
      <c r="M11" s="301" t="s">
        <v>215</v>
      </c>
      <c r="N11" s="334">
        <f ca="1">Statistik!C30/1000</f>
        <v>2.1274827836131709E-2</v>
      </c>
      <c r="O11" s="364" t="s">
        <v>114</v>
      </c>
    </row>
    <row r="12" spans="1:15" x14ac:dyDescent="0.2">
      <c r="A12" s="471"/>
      <c r="B12" s="335">
        <v>128</v>
      </c>
      <c r="C12" s="336">
        <f t="shared" ref="C12:C26" si="1">B12/10</f>
        <v>12.8</v>
      </c>
      <c r="D12" s="329">
        <f>Statistik!C12</f>
        <v>670</v>
      </c>
      <c r="E12" s="337">
        <f t="shared" ref="E12:E24" si="2">E13+D12</f>
        <v>24480</v>
      </c>
      <c r="F12" s="331">
        <f t="shared" ref="F12:F26" si="3">D12/$E$11</f>
        <v>2.7369281045751634E-2</v>
      </c>
      <c r="G12" s="338">
        <f t="shared" si="0"/>
        <v>1</v>
      </c>
      <c r="H12" s="333"/>
      <c r="I12" s="334">
        <f>(C11)^0.404*(C12)^0.595</f>
        <v>16.893470506338474</v>
      </c>
      <c r="J12" s="334">
        <f>F12*100/I12</f>
        <v>0.16201100321856665</v>
      </c>
      <c r="M12" s="301" t="s">
        <v>216</v>
      </c>
      <c r="N12" s="366">
        <f>1/J32</f>
        <v>58257.766953004473</v>
      </c>
      <c r="O12" s="364" t="s">
        <v>217</v>
      </c>
    </row>
    <row r="13" spans="1:15" x14ac:dyDescent="0.2">
      <c r="A13" s="472"/>
      <c r="B13" s="335">
        <v>63</v>
      </c>
      <c r="C13" s="336">
        <f t="shared" si="1"/>
        <v>6.3</v>
      </c>
      <c r="D13" s="329">
        <f>Statistik!C13</f>
        <v>5570</v>
      </c>
      <c r="E13" s="337">
        <f t="shared" si="2"/>
        <v>23810</v>
      </c>
      <c r="F13" s="331">
        <f t="shared" si="3"/>
        <v>0.22753267973856209</v>
      </c>
      <c r="G13" s="338">
        <f t="shared" si="0"/>
        <v>0.97263071895424835</v>
      </c>
      <c r="H13" s="333"/>
      <c r="I13" s="334">
        <f t="shared" ref="I13:I26" si="4">(C12)^0.404*(C13)^0.595</f>
        <v>8.3737589438823434</v>
      </c>
      <c r="J13" s="334">
        <f t="shared" ref="J13:J20" si="5">F13*100/I13</f>
        <v>2.717210768346654</v>
      </c>
      <c r="M13" s="301" t="s">
        <v>218</v>
      </c>
      <c r="N13" s="301">
        <f ca="1">10.44/(9.81*N11)</f>
        <v>50.022505078929001</v>
      </c>
      <c r="O13" s="364" t="s">
        <v>219</v>
      </c>
    </row>
    <row r="14" spans="1:15" x14ac:dyDescent="0.2">
      <c r="A14" s="467" t="s">
        <v>53</v>
      </c>
      <c r="B14" s="339">
        <v>31.5</v>
      </c>
      <c r="C14" s="340">
        <f t="shared" si="1"/>
        <v>3.15</v>
      </c>
      <c r="D14" s="329">
        <f>Statistik!C14</f>
        <v>4475</v>
      </c>
      <c r="E14" s="337">
        <f t="shared" si="2"/>
        <v>18240</v>
      </c>
      <c r="F14" s="331">
        <f>D14/$E$11</f>
        <v>0.18280228758169934</v>
      </c>
      <c r="G14" s="338">
        <f t="shared" si="0"/>
        <v>0.74509803921568629</v>
      </c>
      <c r="H14" s="333"/>
      <c r="I14" s="334">
        <f t="shared" si="4"/>
        <v>4.1632104163180852</v>
      </c>
      <c r="J14" s="334">
        <f t="shared" si="5"/>
        <v>4.3908971515153068</v>
      </c>
    </row>
    <row r="15" spans="1:15" x14ac:dyDescent="0.2">
      <c r="A15" s="468"/>
      <c r="B15" s="339">
        <v>16</v>
      </c>
      <c r="C15" s="340">
        <f t="shared" si="1"/>
        <v>1.6</v>
      </c>
      <c r="D15" s="329">
        <f>Statistik!C15</f>
        <v>4660</v>
      </c>
      <c r="E15" s="337">
        <f t="shared" si="2"/>
        <v>13765</v>
      </c>
      <c r="F15" s="331">
        <f t="shared" si="3"/>
        <v>0.190359477124183</v>
      </c>
      <c r="G15" s="338">
        <f t="shared" si="0"/>
        <v>0.56229575163398693</v>
      </c>
      <c r="H15" s="333"/>
      <c r="I15" s="334">
        <f t="shared" si="4"/>
        <v>2.102659033821578</v>
      </c>
      <c r="J15" s="334">
        <f t="shared" si="5"/>
        <v>9.0532736911797382</v>
      </c>
      <c r="M15" s="301" t="s">
        <v>220</v>
      </c>
      <c r="N15" s="301">
        <f ca="1">N13/N12</f>
        <v>8.5864096231634286E-4</v>
      </c>
      <c r="O15" s="364" t="s">
        <v>221</v>
      </c>
    </row>
    <row r="16" spans="1:15" x14ac:dyDescent="0.2">
      <c r="A16" s="468"/>
      <c r="B16" s="339">
        <v>8</v>
      </c>
      <c r="C16" s="340">
        <f t="shared" si="1"/>
        <v>0.8</v>
      </c>
      <c r="D16" s="329">
        <f>Statistik!C16</f>
        <v>3045</v>
      </c>
      <c r="E16" s="337">
        <f t="shared" si="2"/>
        <v>9105</v>
      </c>
      <c r="F16" s="331">
        <f t="shared" si="3"/>
        <v>0.12438725490196079</v>
      </c>
      <c r="G16" s="338">
        <f t="shared" si="0"/>
        <v>0.37193627450980393</v>
      </c>
      <c r="H16" s="333"/>
      <c r="I16" s="334">
        <f t="shared" si="4"/>
        <v>1.0587733840216291</v>
      </c>
      <c r="J16" s="334">
        <f t="shared" si="5"/>
        <v>11.748241576444817</v>
      </c>
      <c r="M16" s="367" t="s">
        <v>223</v>
      </c>
    </row>
    <row r="17" spans="1:11" x14ac:dyDescent="0.2">
      <c r="A17" s="468"/>
      <c r="B17" s="339">
        <v>4</v>
      </c>
      <c r="C17" s="340">
        <f t="shared" si="1"/>
        <v>0.4</v>
      </c>
      <c r="D17" s="329">
        <f>Statistik!C17</f>
        <v>1740</v>
      </c>
      <c r="E17" s="337">
        <f t="shared" si="2"/>
        <v>6060</v>
      </c>
      <c r="F17" s="331">
        <f>D17/$E$11</f>
        <v>7.1078431372549017E-2</v>
      </c>
      <c r="G17" s="338">
        <f t="shared" si="0"/>
        <v>0.24754901960784315</v>
      </c>
      <c r="H17" s="333"/>
      <c r="I17" s="334">
        <f t="shared" si="4"/>
        <v>0.52975376210591196</v>
      </c>
      <c r="J17" s="334">
        <f>F17*100/I17</f>
        <v>13.417258442864732</v>
      </c>
    </row>
    <row r="18" spans="1:11" x14ac:dyDescent="0.2">
      <c r="A18" s="469"/>
      <c r="B18" s="339">
        <v>2</v>
      </c>
      <c r="C18" s="340">
        <f t="shared" si="1"/>
        <v>0.2</v>
      </c>
      <c r="D18" s="329">
        <f>Statistik!C18</f>
        <v>780</v>
      </c>
      <c r="E18" s="337">
        <f t="shared" si="2"/>
        <v>4320</v>
      </c>
      <c r="F18" s="331">
        <f t="shared" si="3"/>
        <v>3.1862745098039214E-2</v>
      </c>
      <c r="G18" s="338">
        <f t="shared" si="0"/>
        <v>0.17647058823529413</v>
      </c>
      <c r="H18" s="333"/>
      <c r="I18" s="334">
        <f t="shared" si="4"/>
        <v>0.26506054336140555</v>
      </c>
      <c r="J18" s="334">
        <f t="shared" si="5"/>
        <v>12.020931027291716</v>
      </c>
    </row>
    <row r="19" spans="1:11" x14ac:dyDescent="0.2">
      <c r="A19" s="470" t="s">
        <v>54</v>
      </c>
      <c r="B19" s="335">
        <v>1</v>
      </c>
      <c r="C19" s="336">
        <f t="shared" si="1"/>
        <v>0.1</v>
      </c>
      <c r="D19" s="329">
        <f>Statistik!C19</f>
        <v>590</v>
      </c>
      <c r="E19" s="337">
        <f t="shared" si="2"/>
        <v>3540</v>
      </c>
      <c r="F19" s="331">
        <f t="shared" si="3"/>
        <v>2.4101307189542485E-2</v>
      </c>
      <c r="G19" s="338">
        <f t="shared" si="0"/>
        <v>0.14460784313725492</v>
      </c>
      <c r="H19" s="333"/>
      <c r="I19" s="334">
        <f t="shared" si="4"/>
        <v>0.1326221665094986</v>
      </c>
      <c r="J19" s="334">
        <f t="shared" si="5"/>
        <v>18.17291017321476</v>
      </c>
    </row>
    <row r="20" spans="1:11" x14ac:dyDescent="0.2">
      <c r="A20" s="471"/>
      <c r="B20" s="335">
        <v>0.5</v>
      </c>
      <c r="C20" s="336">
        <f t="shared" si="1"/>
        <v>0.05</v>
      </c>
      <c r="D20" s="329">
        <f>Statistik!C20</f>
        <v>1355</v>
      </c>
      <c r="E20" s="337">
        <f t="shared" si="2"/>
        <v>2950</v>
      </c>
      <c r="F20" s="331">
        <f t="shared" si="3"/>
        <v>5.5351307189542481E-2</v>
      </c>
      <c r="G20" s="338">
        <f t="shared" si="0"/>
        <v>0.12050653594771242</v>
      </c>
      <c r="H20" s="333"/>
      <c r="I20" s="334">
        <f t="shared" si="4"/>
        <v>6.6357062528508273E-2</v>
      </c>
      <c r="J20" s="334">
        <f t="shared" si="5"/>
        <v>83.414342167063964</v>
      </c>
    </row>
    <row r="21" spans="1:11" x14ac:dyDescent="0.2">
      <c r="A21" s="471"/>
      <c r="B21" s="341">
        <v>0.25</v>
      </c>
      <c r="C21" s="342">
        <f t="shared" si="1"/>
        <v>2.5000000000000001E-2</v>
      </c>
      <c r="D21" s="329">
        <f>Statistik!C21</f>
        <v>895</v>
      </c>
      <c r="E21" s="337">
        <f t="shared" si="2"/>
        <v>1595</v>
      </c>
      <c r="F21" s="331">
        <f t="shared" si="3"/>
        <v>3.6560457516339871E-2</v>
      </c>
      <c r="G21" s="338">
        <f t="shared" si="0"/>
        <v>6.5155228758169939E-2</v>
      </c>
      <c r="H21" s="333"/>
      <c r="I21" s="334">
        <f t="shared" si="4"/>
        <v>3.3201536841859614E-2</v>
      </c>
      <c r="J21" s="334">
        <f>F21*100/I21</f>
        <v>110.11676263806386</v>
      </c>
    </row>
    <row r="22" spans="1:11" x14ac:dyDescent="0.2">
      <c r="A22" s="471"/>
      <c r="B22" s="341">
        <v>0.125</v>
      </c>
      <c r="C22" s="342">
        <f t="shared" si="1"/>
        <v>1.2500000000000001E-2</v>
      </c>
      <c r="D22" s="329">
        <f>Statistik!C22</f>
        <v>405</v>
      </c>
      <c r="E22" s="337">
        <f t="shared" si="2"/>
        <v>700</v>
      </c>
      <c r="F22" s="331">
        <f t="shared" si="3"/>
        <v>1.6544117647058824E-2</v>
      </c>
      <c r="G22" s="338">
        <f t="shared" si="0"/>
        <v>2.8594771241830068E-2</v>
      </c>
      <c r="H22" s="333"/>
      <c r="I22" s="334">
        <f t="shared" si="4"/>
        <v>1.6612279185622081E-2</v>
      </c>
      <c r="J22" s="334">
        <f>F22*100/I22</f>
        <v>99.589691830954479</v>
      </c>
    </row>
    <row r="23" spans="1:11" x14ac:dyDescent="0.2">
      <c r="A23" s="472"/>
      <c r="B23" s="341">
        <v>6.3E-2</v>
      </c>
      <c r="C23" s="342">
        <f t="shared" si="1"/>
        <v>6.3E-3</v>
      </c>
      <c r="D23" s="329">
        <f>Statistik!C23</f>
        <v>295</v>
      </c>
      <c r="E23" s="337">
        <f t="shared" si="2"/>
        <v>295</v>
      </c>
      <c r="F23" s="331">
        <f t="shared" si="3"/>
        <v>1.2050653594771242E-2</v>
      </c>
      <c r="G23" s="338">
        <f t="shared" si="0"/>
        <v>1.2050653594771242E-2</v>
      </c>
      <c r="H23" s="333"/>
      <c r="I23" s="334">
        <f t="shared" si="4"/>
        <v>8.3513997492220722E-3</v>
      </c>
      <c r="J23" s="334">
        <f t="shared" ref="J23:J25" si="6">F23*100/I23</f>
        <v>144.29501588513656</v>
      </c>
    </row>
    <row r="24" spans="1:11" x14ac:dyDescent="0.2">
      <c r="A24" s="343" t="s">
        <v>55</v>
      </c>
      <c r="B24" s="344">
        <v>3.1E-2</v>
      </c>
      <c r="C24" s="345">
        <f t="shared" si="1"/>
        <v>3.0999999999999999E-3</v>
      </c>
      <c r="D24" s="329">
        <f>Statistik!C24</f>
        <v>0</v>
      </c>
      <c r="E24" s="337">
        <f t="shared" si="2"/>
        <v>0</v>
      </c>
      <c r="F24" s="331">
        <f t="shared" si="3"/>
        <v>0</v>
      </c>
      <c r="G24" s="338">
        <f t="shared" si="0"/>
        <v>0</v>
      </c>
      <c r="H24" s="333"/>
      <c r="I24" s="334">
        <f t="shared" si="4"/>
        <v>4.1523484406827604E-3</v>
      </c>
      <c r="J24" s="334">
        <f t="shared" si="6"/>
        <v>0</v>
      </c>
    </row>
    <row r="25" spans="1:11" x14ac:dyDescent="0.2">
      <c r="A25" s="343" t="s">
        <v>56</v>
      </c>
      <c r="B25" s="346">
        <v>3.8999999999999998E-3</v>
      </c>
      <c r="C25" s="347">
        <f t="shared" si="1"/>
        <v>3.8999999999999999E-4</v>
      </c>
      <c r="D25" s="329">
        <f>Statistik!C25</f>
        <v>0</v>
      </c>
      <c r="E25" s="337">
        <f>E26+D25</f>
        <v>0</v>
      </c>
      <c r="F25" s="331">
        <f t="shared" si="3"/>
        <v>0</v>
      </c>
      <c r="G25" s="338">
        <f>G26+F25</f>
        <v>0</v>
      </c>
      <c r="H25" s="333"/>
      <c r="I25" s="334">
        <f t="shared" si="4"/>
        <v>9.0822523688901678E-4</v>
      </c>
      <c r="J25" s="334">
        <f t="shared" si="6"/>
        <v>0</v>
      </c>
    </row>
    <row r="26" spans="1:11" ht="13.5" thickBot="1" x14ac:dyDescent="0.25">
      <c r="A26" s="348" t="s">
        <v>57</v>
      </c>
      <c r="B26" s="349">
        <v>6.0000000000000002E-5</v>
      </c>
      <c r="C26" s="350">
        <f t="shared" si="1"/>
        <v>6.0000000000000002E-6</v>
      </c>
      <c r="D26" s="351">
        <f>Statistik!C26</f>
        <v>0</v>
      </c>
      <c r="E26" s="352">
        <f>D26</f>
        <v>0</v>
      </c>
      <c r="F26" s="353">
        <f t="shared" si="3"/>
        <v>0</v>
      </c>
      <c r="G26" s="354">
        <f>F26</f>
        <v>0</v>
      </c>
      <c r="H26" s="333"/>
      <c r="I26" s="334">
        <f t="shared" si="4"/>
        <v>3.279367552225615E-5</v>
      </c>
      <c r="J26" s="334"/>
    </row>
    <row r="27" spans="1:11" ht="15" x14ac:dyDescent="0.25">
      <c r="I27" s="356" t="s">
        <v>206</v>
      </c>
      <c r="J27" s="357">
        <f>100/SUM(J11:J26)</f>
        <v>0.19642562469665931</v>
      </c>
    </row>
    <row r="28" spans="1:11" ht="15" x14ac:dyDescent="0.25">
      <c r="I28" s="358" t="s">
        <v>207</v>
      </c>
      <c r="J28" s="359">
        <v>6.1</v>
      </c>
      <c r="K28" s="301" t="s">
        <v>208</v>
      </c>
    </row>
    <row r="29" spans="1:11" x14ac:dyDescent="0.2">
      <c r="I29" s="360" t="s">
        <v>209</v>
      </c>
      <c r="J29" s="334">
        <f>[1]Daten!$L$14</f>
        <v>0.1778257819846718</v>
      </c>
      <c r="K29" s="301" t="s">
        <v>222</v>
      </c>
    </row>
    <row r="30" spans="1:11" x14ac:dyDescent="0.2">
      <c r="I30" s="360" t="s">
        <v>210</v>
      </c>
      <c r="J30" s="358">
        <f>J29/(1-J29)</f>
        <v>0.21628722731531397</v>
      </c>
    </row>
    <row r="31" spans="1:11" x14ac:dyDescent="0.2">
      <c r="I31" s="358">
        <f>1.99*10^4</f>
        <v>19900</v>
      </c>
      <c r="J31" s="360"/>
    </row>
    <row r="32" spans="1:11" ht="15" x14ac:dyDescent="0.25">
      <c r="I32" s="361" t="s">
        <v>211</v>
      </c>
      <c r="J32" s="362">
        <f>I31*(J27/100)^2*(1/J28^2)*(J30^3/(1+J30))</f>
        <v>1.7165093210776214E-5</v>
      </c>
      <c r="K32" s="363" t="s">
        <v>212</v>
      </c>
    </row>
  </sheetData>
  <mergeCells count="14">
    <mergeCell ref="D6:G6"/>
    <mergeCell ref="D1:G1"/>
    <mergeCell ref="D2:G2"/>
    <mergeCell ref="D3:G3"/>
    <mergeCell ref="D4:G4"/>
    <mergeCell ref="D5:G5"/>
    <mergeCell ref="A14:A18"/>
    <mergeCell ref="A19:A23"/>
    <mergeCell ref="D7:G7"/>
    <mergeCell ref="D8:G8"/>
    <mergeCell ref="I8:J8"/>
    <mergeCell ref="D9:G9"/>
    <mergeCell ref="I9:J9"/>
    <mergeCell ref="A11:A13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2578125" defaultRowHeight="12.75" x14ac:dyDescent="0.2"/>
  <cols>
    <col min="1" max="1" width="20.5703125" customWidth="1"/>
    <col min="7" max="7" width="14.28515625" bestFit="1" customWidth="1"/>
  </cols>
  <sheetData>
    <row r="1" spans="1:9" ht="18.75" x14ac:dyDescent="0.3">
      <c r="A1" s="36" t="s">
        <v>188</v>
      </c>
      <c r="B1" s="3"/>
      <c r="C1" s="3"/>
      <c r="D1" s="3"/>
      <c r="E1" s="3"/>
      <c r="F1" s="3"/>
      <c r="G1" s="3"/>
      <c r="I1" s="250" t="s">
        <v>189</v>
      </c>
    </row>
    <row r="2" spans="1:9" ht="15" x14ac:dyDescent="0.25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">
      <c r="A3" s="37">
        <f>Statistik!B11</f>
        <v>250</v>
      </c>
      <c r="B3" s="254">
        <f>Statistik!F11</f>
        <v>1</v>
      </c>
      <c r="C3" s="38"/>
      <c r="D3" s="253">
        <f t="shared" ref="D3:D16" si="0">-LOG((A3/1),2)</f>
        <v>-7.965784284662087</v>
      </c>
      <c r="E3" s="251"/>
      <c r="F3" s="29">
        <f>C3*E3</f>
        <v>0</v>
      </c>
      <c r="G3" s="28">
        <f>(E3-$F$19)^2*C3</f>
        <v>0</v>
      </c>
      <c r="H3" s="30"/>
      <c r="I3" s="30"/>
    </row>
    <row r="4" spans="1:9" x14ac:dyDescent="0.2">
      <c r="A4" s="37">
        <f>Statistik!B12</f>
        <v>125</v>
      </c>
      <c r="B4" s="254">
        <f>Statistik!F12</f>
        <v>1</v>
      </c>
      <c r="C4" s="38">
        <f t="shared" ref="C4:C17" si="1">B3-B4</f>
        <v>0</v>
      </c>
      <c r="D4" s="253">
        <f t="shared" si="0"/>
        <v>-6.9657842846620879</v>
      </c>
      <c r="E4" s="252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">
      <c r="A5" s="37">
        <f>Statistik!B13</f>
        <v>63</v>
      </c>
      <c r="B5" s="254">
        <f>Statistik!F13</f>
        <v>0.97263071895424835</v>
      </c>
      <c r="C5" s="38">
        <f t="shared" si="1"/>
        <v>2.7369281045751648E-2</v>
      </c>
      <c r="D5" s="253">
        <f t="shared" si="0"/>
        <v>-5.9772799234999168</v>
      </c>
      <c r="E5" s="252">
        <f t="shared" si="2"/>
        <v>-6.4715321040810023</v>
      </c>
      <c r="F5" s="29">
        <f t="shared" si="3"/>
        <v>-0.17712118095319745</v>
      </c>
      <c r="G5" s="28">
        <f t="shared" si="4"/>
        <v>0.32131348385613717</v>
      </c>
      <c r="H5" s="30"/>
      <c r="I5" s="30"/>
    </row>
    <row r="6" spans="1:9" x14ac:dyDescent="0.2">
      <c r="A6" s="37">
        <f>Statistik!B14</f>
        <v>31.5</v>
      </c>
      <c r="B6" s="254">
        <f>Statistik!F14</f>
        <v>0.74509803921568629</v>
      </c>
      <c r="C6" s="38">
        <f t="shared" si="1"/>
        <v>0.22753267973856206</v>
      </c>
      <c r="D6" s="253">
        <f t="shared" si="0"/>
        <v>-4.9772799234999168</v>
      </c>
      <c r="E6" s="252">
        <f t="shared" si="2"/>
        <v>-5.4772799234999168</v>
      </c>
      <c r="F6" s="29">
        <f t="shared" si="3"/>
        <v>-1.2462601786721623</v>
      </c>
      <c r="G6" s="28">
        <f t="shared" si="4"/>
        <v>1.345887738886647</v>
      </c>
      <c r="I6" s="30"/>
    </row>
    <row r="7" spans="1:9" x14ac:dyDescent="0.2">
      <c r="A7" s="37">
        <f>Statistik!B15</f>
        <v>16</v>
      </c>
      <c r="B7" s="254">
        <f>Statistik!F15</f>
        <v>0.56229575163398693</v>
      </c>
      <c r="C7" s="38">
        <f t="shared" si="1"/>
        <v>0.18280228758169936</v>
      </c>
      <c r="D7" s="253">
        <f t="shared" si="0"/>
        <v>-4</v>
      </c>
      <c r="E7" s="252">
        <f t="shared" si="2"/>
        <v>-4.4886399617499588</v>
      </c>
      <c r="F7" s="29">
        <f t="shared" si="3"/>
        <v>-0.820533653138524</v>
      </c>
      <c r="G7" s="28">
        <f t="shared" si="4"/>
        <v>0.38088587061152951</v>
      </c>
      <c r="I7" s="30"/>
    </row>
    <row r="8" spans="1:9" x14ac:dyDescent="0.2">
      <c r="A8" s="37">
        <f>Statistik!B16</f>
        <v>8</v>
      </c>
      <c r="B8" s="254">
        <f>Statistik!F16</f>
        <v>0.37193627450980393</v>
      </c>
      <c r="C8" s="38">
        <f t="shared" si="1"/>
        <v>0.190359477124183</v>
      </c>
      <c r="D8" s="253">
        <f t="shared" si="0"/>
        <v>-3</v>
      </c>
      <c r="E8" s="252">
        <f t="shared" si="2"/>
        <v>-3.5</v>
      </c>
      <c r="F8" s="29">
        <f t="shared" si="3"/>
        <v>-0.66625816993464049</v>
      </c>
      <c r="G8" s="28">
        <f t="shared" si="4"/>
        <v>3.9379075740174983E-2</v>
      </c>
      <c r="I8" s="30"/>
    </row>
    <row r="9" spans="1:9" x14ac:dyDescent="0.2">
      <c r="A9" s="37">
        <f>Statistik!B17</f>
        <v>4</v>
      </c>
      <c r="B9" s="254">
        <f>Statistik!F17</f>
        <v>0.24754901960784315</v>
      </c>
      <c r="C9" s="38">
        <f t="shared" si="1"/>
        <v>0.12438725490196079</v>
      </c>
      <c r="D9" s="253">
        <f t="shared" si="0"/>
        <v>-2</v>
      </c>
      <c r="E9" s="252">
        <f t="shared" si="2"/>
        <v>-2.5</v>
      </c>
      <c r="F9" s="29">
        <f t="shared" si="3"/>
        <v>-0.31096813725490197</v>
      </c>
      <c r="G9" s="28">
        <f t="shared" si="4"/>
        <v>3.6969687527272747E-2</v>
      </c>
      <c r="I9" s="30"/>
    </row>
    <row r="10" spans="1:9" x14ac:dyDescent="0.2">
      <c r="A10" s="37">
        <f>Statistik!B18</f>
        <v>2</v>
      </c>
      <c r="B10" s="254">
        <f>Statistik!F18</f>
        <v>0.17647058823529413</v>
      </c>
      <c r="C10" s="38">
        <f t="shared" si="1"/>
        <v>7.1078431372549017E-2</v>
      </c>
      <c r="D10" s="253">
        <f t="shared" si="0"/>
        <v>-1</v>
      </c>
      <c r="E10" s="252">
        <f t="shared" si="2"/>
        <v>-1.5</v>
      </c>
      <c r="F10" s="29">
        <f t="shared" si="3"/>
        <v>-0.10661764705882353</v>
      </c>
      <c r="G10" s="28">
        <f t="shared" si="4"/>
        <v>0.16970415914305623</v>
      </c>
      <c r="I10" s="30"/>
    </row>
    <row r="11" spans="1:9" x14ac:dyDescent="0.2">
      <c r="A11" s="37">
        <f>Statistik!B19</f>
        <v>1</v>
      </c>
      <c r="B11" s="254">
        <f>Statistik!F19</f>
        <v>0.14460784313725492</v>
      </c>
      <c r="C11" s="38">
        <f t="shared" si="1"/>
        <v>3.1862745098039214E-2</v>
      </c>
      <c r="D11" s="253">
        <f t="shared" si="0"/>
        <v>0</v>
      </c>
      <c r="E11" s="252">
        <f t="shared" si="2"/>
        <v>-0.5</v>
      </c>
      <c r="F11" s="29">
        <f t="shared" si="3"/>
        <v>-1.5931372549019607E-2</v>
      </c>
      <c r="G11" s="28">
        <f t="shared" si="4"/>
        <v>0.20640397892818704</v>
      </c>
      <c r="I11" s="30"/>
    </row>
    <row r="12" spans="1:9" x14ac:dyDescent="0.2">
      <c r="A12" s="37">
        <f>Statistik!B20</f>
        <v>0.5</v>
      </c>
      <c r="B12" s="254">
        <f>Statistik!F20</f>
        <v>0.12050653594771242</v>
      </c>
      <c r="C12" s="38">
        <f t="shared" si="1"/>
        <v>2.4101307189542495E-2</v>
      </c>
      <c r="D12" s="253">
        <f t="shared" si="0"/>
        <v>1</v>
      </c>
      <c r="E12" s="252">
        <f t="shared" si="2"/>
        <v>0.5</v>
      </c>
      <c r="F12" s="29">
        <f t="shared" si="3"/>
        <v>1.2050653594771248E-2</v>
      </c>
      <c r="G12" s="28">
        <f t="shared" si="4"/>
        <v>0.30291142332229115</v>
      </c>
      <c r="I12" s="30"/>
    </row>
    <row r="13" spans="1:9" x14ac:dyDescent="0.2">
      <c r="A13" s="37">
        <f>Statistik!B21</f>
        <v>0.25</v>
      </c>
      <c r="B13" s="254">
        <f>Statistik!F21</f>
        <v>6.5155228758169939E-2</v>
      </c>
      <c r="C13" s="38">
        <f t="shared" si="1"/>
        <v>5.5351307189542481E-2</v>
      </c>
      <c r="D13" s="253">
        <f t="shared" si="0"/>
        <v>2</v>
      </c>
      <c r="E13" s="252">
        <f t="shared" si="2"/>
        <v>1.5</v>
      </c>
      <c r="F13" s="29">
        <f t="shared" si="3"/>
        <v>8.3026960784313722E-2</v>
      </c>
      <c r="G13" s="28">
        <f t="shared" si="4"/>
        <v>1.143480766627063</v>
      </c>
    </row>
    <row r="14" spans="1:9" x14ac:dyDescent="0.2">
      <c r="A14" s="37">
        <f>Statistik!B22</f>
        <v>0.125</v>
      </c>
      <c r="B14" s="254">
        <f>Statistik!F22</f>
        <v>2.8594771241830068E-2</v>
      </c>
      <c r="C14" s="38">
        <f t="shared" si="1"/>
        <v>3.6560457516339871E-2</v>
      </c>
      <c r="D14" s="253">
        <f t="shared" si="0"/>
        <v>3</v>
      </c>
      <c r="E14" s="252">
        <f t="shared" si="2"/>
        <v>2.5</v>
      </c>
      <c r="F14" s="29">
        <f t="shared" si="3"/>
        <v>9.1401143790849682E-2</v>
      </c>
      <c r="G14" s="28">
        <f t="shared" si="4"/>
        <v>1.1241957562188902</v>
      </c>
    </row>
    <row r="15" spans="1:9" x14ac:dyDescent="0.2">
      <c r="A15" s="37">
        <f>Statistik!B23</f>
        <v>6.3E-2</v>
      </c>
      <c r="B15" s="254">
        <f>Statistik!F23</f>
        <v>1.2050653594771242E-2</v>
      </c>
      <c r="C15" s="38">
        <f t="shared" si="1"/>
        <v>1.6544117647058827E-2</v>
      </c>
      <c r="D15" s="253">
        <f t="shared" si="0"/>
        <v>3.9885043611621707</v>
      </c>
      <c r="E15" s="252">
        <f t="shared" si="2"/>
        <v>3.4942521805810856</v>
      </c>
      <c r="F15" s="29">
        <f t="shared" si="3"/>
        <v>5.7809319164025326E-2</v>
      </c>
      <c r="G15" s="28">
        <f t="shared" si="4"/>
        <v>0.70749416405201859</v>
      </c>
    </row>
    <row r="16" spans="1:9" x14ac:dyDescent="0.2">
      <c r="A16" s="37">
        <f>Statistik!B24</f>
        <v>3.1E-2</v>
      </c>
      <c r="B16" s="254">
        <f>Statistik!F24</f>
        <v>0</v>
      </c>
      <c r="C16" s="38">
        <f t="shared" si="1"/>
        <v>1.2050653594771242E-2</v>
      </c>
      <c r="D16" s="253">
        <f t="shared" si="0"/>
        <v>5.0115879742752121</v>
      </c>
      <c r="E16" s="252">
        <f t="shared" si="2"/>
        <v>4.5000461677186916</v>
      </c>
      <c r="F16" s="29">
        <f t="shared" si="3"/>
        <v>5.4228497527655802E-2</v>
      </c>
      <c r="G16" s="28">
        <f t="shared" si="4"/>
        <v>0.68604785250923672</v>
      </c>
    </row>
    <row r="17" spans="1:8" x14ac:dyDescent="0.2">
      <c r="A17" s="37">
        <f>Statistik!B25</f>
        <v>3.8999999999999998E-3</v>
      </c>
      <c r="B17" s="254">
        <f>Statistik!F25</f>
        <v>0</v>
      </c>
      <c r="C17" s="38">
        <f t="shared" si="1"/>
        <v>0</v>
      </c>
      <c r="D17" s="253">
        <f t="shared" ref="D17:D18" si="5">-LOG((A17/1),2)</f>
        <v>8.0023101606872018</v>
      </c>
      <c r="E17" s="252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5" thickBot="1" x14ac:dyDescent="0.25">
      <c r="A18" s="37">
        <f>Statistik!B26</f>
        <v>6.0000000000000002E-5</v>
      </c>
      <c r="B18" s="254">
        <f>Statistik!F26</f>
        <v>0</v>
      </c>
      <c r="C18" s="38">
        <f>B17-B18</f>
        <v>0</v>
      </c>
      <c r="D18" s="253">
        <f t="shared" si="5"/>
        <v>14.024677973715656</v>
      </c>
      <c r="E18" s="252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5" thickBot="1" x14ac:dyDescent="0.25">
      <c r="A19" s="3"/>
      <c r="B19" s="3"/>
      <c r="C19" s="3"/>
      <c r="D19" s="3"/>
      <c r="E19" s="31" t="s">
        <v>74</v>
      </c>
      <c r="F19" s="32">
        <f>SUM(F3:F18)</f>
        <v>-3.045173764699654</v>
      </c>
      <c r="G19" s="3"/>
    </row>
    <row r="20" spans="1:8" x14ac:dyDescent="0.2">
      <c r="G20" s="33">
        <f>SUM(G3:G18)</f>
        <v>6.4646739574225043</v>
      </c>
    </row>
    <row r="21" spans="1:8" ht="18.75" thickBot="1" x14ac:dyDescent="0.3">
      <c r="C21" s="41" t="s">
        <v>75</v>
      </c>
      <c r="F21" s="42"/>
      <c r="G21" s="40">
        <f>SQRT(G20)</f>
        <v>2.5425723111491845</v>
      </c>
      <c r="H21" s="250" t="s">
        <v>192</v>
      </c>
    </row>
    <row r="22" spans="1:8" ht="15" x14ac:dyDescent="0.25">
      <c r="A22" s="34"/>
      <c r="B22" s="34"/>
      <c r="C22" s="34"/>
      <c r="G22" s="3"/>
    </row>
    <row r="23" spans="1:8" ht="15" x14ac:dyDescent="0.25">
      <c r="A23" s="34"/>
      <c r="B23" s="34"/>
      <c r="C23" s="34"/>
    </row>
    <row r="24" spans="1:8" ht="15" x14ac:dyDescent="0.25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40625" defaultRowHeight="12.75" x14ac:dyDescent="0.2"/>
  <cols>
    <col min="1" max="1" width="4.5703125" style="45" customWidth="1"/>
    <col min="2" max="2" width="12" style="45" customWidth="1"/>
    <col min="3" max="3" width="3" style="45" bestFit="1" customWidth="1"/>
    <col min="4" max="4" width="4.140625" style="45" bestFit="1" customWidth="1"/>
    <col min="5" max="20" width="8.85546875" style="45" customWidth="1"/>
    <col min="21" max="21" width="4.140625" style="45" customWidth="1"/>
    <col min="22" max="22" width="4.42578125" style="45" customWidth="1"/>
    <col min="23" max="23" width="3" style="45" customWidth="1"/>
    <col min="24" max="34" width="2.7109375" style="45" bestFit="1" customWidth="1"/>
    <col min="35" max="124" width="4.42578125" style="45" customWidth="1"/>
    <col min="125" max="16384" width="9.140625" style="45"/>
  </cols>
  <sheetData>
    <row r="2" spans="2:31" ht="23.25" x14ac:dyDescent="0.35">
      <c r="B2" s="44"/>
      <c r="G2" s="46" t="s">
        <v>80</v>
      </c>
    </row>
    <row r="3" spans="2:31" ht="26.25" x14ac:dyDescent="0.4">
      <c r="G3" s="47" t="s">
        <v>81</v>
      </c>
    </row>
    <row r="4" spans="2:31" ht="26.25" x14ac:dyDescent="0.4">
      <c r="D4" s="47"/>
      <c r="G4" s="48" t="s">
        <v>82</v>
      </c>
      <c r="Q4" s="49"/>
    </row>
    <row r="5" spans="2:31" x14ac:dyDescent="0.2">
      <c r="R5" s="50" t="s">
        <v>83</v>
      </c>
      <c r="S5" s="51"/>
      <c r="T5" s="50" t="s">
        <v>84</v>
      </c>
    </row>
    <row r="6" spans="2:31" ht="15" x14ac:dyDescent="0.2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14.460784313725492</v>
      </c>
    </row>
    <row r="7" spans="2:31" x14ac:dyDescent="0.2">
      <c r="R7" s="50" t="s">
        <v>79</v>
      </c>
      <c r="T7" s="56"/>
      <c r="U7" s="54"/>
      <c r="V7" s="55"/>
    </row>
    <row r="8" spans="2:31" ht="15.75" x14ac:dyDescent="0.25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0.11259377040383872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2.7369281045751634E-2</v>
      </c>
      <c r="G20" s="87">
        <f>Statistik!E13</f>
        <v>0.22753267973856209</v>
      </c>
      <c r="H20" s="87">
        <f>Statistik!E14</f>
        <v>0.18280228758169934</v>
      </c>
      <c r="I20" s="87">
        <f>Statistik!E15</f>
        <v>0.190359477124183</v>
      </c>
      <c r="J20" s="87">
        <f>Statistik!E16</f>
        <v>0.12438725490196079</v>
      </c>
      <c r="K20" s="87">
        <f>Statistik!E17</f>
        <v>7.1078431372549017E-2</v>
      </c>
      <c r="L20" s="87">
        <f>Statistik!E18</f>
        <v>3.1862745098039214E-2</v>
      </c>
      <c r="M20" s="87">
        <f>Statistik!E19</f>
        <v>2.4101307189542485E-2</v>
      </c>
      <c r="N20" s="87">
        <f>Statistik!E20</f>
        <v>5.5351307189542481E-2</v>
      </c>
      <c r="O20" s="87">
        <f>Statistik!E21</f>
        <v>3.6560457516339871E-2</v>
      </c>
      <c r="P20" s="87">
        <f>Statistik!E22</f>
        <v>1.6544117647058824E-2</v>
      </c>
      <c r="Q20" s="87">
        <f>Statistik!E23</f>
        <v>1.2050653594771242E-2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">
      <c r="O22" s="94"/>
      <c r="P22" s="94"/>
      <c r="Q22" s="94"/>
    </row>
    <row r="23" spans="2:124" x14ac:dyDescent="0.2">
      <c r="E23" s="223"/>
      <c r="F23" s="95"/>
      <c r="Q23" s="50"/>
    </row>
    <row r="24" spans="2:124" x14ac:dyDescent="0.2">
      <c r="Q24" s="50"/>
    </row>
    <row r="25" spans="2:124" x14ac:dyDescent="0.2">
      <c r="G25" s="96"/>
    </row>
    <row r="28" spans="2:124" x14ac:dyDescent="0.2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7109375" defaultRowHeight="11.25" x14ac:dyDescent="0.2"/>
  <cols>
    <col min="1" max="1" width="1.42578125" style="50" customWidth="1"/>
    <col min="2" max="2" width="12.5703125" style="50" customWidth="1"/>
    <col min="3" max="3" width="5" style="50" customWidth="1"/>
    <col min="4" max="4" width="4.5703125" style="50" customWidth="1"/>
    <col min="5" max="6" width="3.7109375" style="64" customWidth="1"/>
    <col min="7" max="7" width="6.140625" style="64" customWidth="1"/>
    <col min="8" max="8" width="3.85546875" style="64" customWidth="1"/>
    <col min="9" max="9" width="4.140625" style="64" customWidth="1"/>
    <col min="10" max="33" width="3.7109375" style="64" customWidth="1"/>
    <col min="34" max="34" width="3.7109375" style="50" customWidth="1"/>
    <col min="35" max="124" width="4.42578125" style="50" customWidth="1"/>
    <col min="125" max="132" width="3.7109375" style="50" customWidth="1"/>
    <col min="133" max="133" width="9.140625" style="50" customWidth="1"/>
    <col min="134" max="148" width="3.7109375" style="50" customWidth="1"/>
    <col min="149" max="149" width="9.140625" style="50" customWidth="1"/>
    <col min="150" max="164" width="3.7109375" style="50" customWidth="1"/>
    <col min="165" max="165" width="9.140625" style="50" customWidth="1"/>
    <col min="166" max="180" width="3.7109375" style="50" customWidth="1"/>
    <col min="181" max="181" width="9.140625" style="50" customWidth="1"/>
    <col min="182" max="196" width="3.7109375" style="50" customWidth="1"/>
    <col min="197" max="197" width="9.140625" style="50" customWidth="1"/>
    <col min="198" max="212" width="3.7109375" style="50" customWidth="1"/>
    <col min="213" max="213" width="9.140625" style="50" customWidth="1"/>
    <col min="214" max="228" width="3.7109375" style="50" customWidth="1"/>
    <col min="229" max="229" width="9.140625" style="50" customWidth="1"/>
    <col min="230" max="244" width="3.7109375" style="50" customWidth="1"/>
    <col min="245" max="245" width="9.140625" style="50" customWidth="1"/>
    <col min="246" max="16384" width="3.7109375" style="50"/>
  </cols>
  <sheetData>
    <row r="2" spans="2:125" ht="12.75" x14ac:dyDescent="0.2">
      <c r="B2" s="97" t="s">
        <v>102</v>
      </c>
      <c r="AB2" s="98"/>
    </row>
    <row r="3" spans="2:125" ht="12.75" x14ac:dyDescent="0.2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25" x14ac:dyDescent="0.25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2.75" x14ac:dyDescent="0.2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2.75" x14ac:dyDescent="0.2">
      <c r="B6" s="97"/>
    </row>
    <row r="7" spans="2:125" ht="12.75" x14ac:dyDescent="0.2">
      <c r="B7" s="97"/>
      <c r="Q7" s="102"/>
    </row>
    <row r="8" spans="2:125" s="103" customFormat="1" ht="9" x14ac:dyDescent="0.15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75" x14ac:dyDescent="0.25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25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x14ac:dyDescent="0.2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x14ac:dyDescent="0.2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x14ac:dyDescent="0.2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2.7369281045751634E-2</v>
      </c>
      <c r="G15" s="124">
        <f>'Eintrag_Yu&amp;Stand'!G20</f>
        <v>0.22753267973856209</v>
      </c>
      <c r="H15" s="124">
        <f>'Eintrag_Yu&amp;Stand'!H20</f>
        <v>0.18280228758169934</v>
      </c>
      <c r="I15" s="124">
        <f>'Eintrag_Yu&amp;Stand'!I20</f>
        <v>0.190359477124183</v>
      </c>
      <c r="J15" s="124">
        <f>'Eintrag_Yu&amp;Stand'!J20</f>
        <v>0.12438725490196079</v>
      </c>
      <c r="K15" s="125">
        <f>'Eintrag_Yu&amp;Stand'!K20</f>
        <v>7.1078431372549017E-2</v>
      </c>
      <c r="L15" s="124">
        <f>'Eintrag_Yu&amp;Stand'!L20</f>
        <v>3.1862745098039214E-2</v>
      </c>
      <c r="M15" s="124">
        <f>'Eintrag_Yu&amp;Stand'!M20</f>
        <v>2.4101307189542485E-2</v>
      </c>
      <c r="N15" s="124">
        <f>'Eintrag_Yu&amp;Stand'!N20</f>
        <v>5.5351307189542481E-2</v>
      </c>
      <c r="O15" s="124">
        <f>'Eintrag_Yu&amp;Stand'!O20</f>
        <v>3.6560457516339871E-2</v>
      </c>
      <c r="P15" s="124">
        <f>'Eintrag_Yu&amp;Stand'!P20</f>
        <v>1.6544117647058824E-2</v>
      </c>
      <c r="Q15" s="124">
        <f>'Eintrag_Yu&amp;Stand'!Q20</f>
        <v>1.2050653594771242E-2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x14ac:dyDescent="0.2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75" x14ac:dyDescent="0.25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x14ac:dyDescent="0.2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x14ac:dyDescent="0.2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x14ac:dyDescent="0.2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75" x14ac:dyDescent="0.25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75" x14ac:dyDescent="0.25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75" x14ac:dyDescent="0.25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.75" x14ac:dyDescent="0.35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-2.3532197517016134E-3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-4.9210654787215672E-3</v>
      </c>
      <c r="G295" s="178">
        <f t="shared" si="153"/>
        <v>-1.6072497385402767E-2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-6.4902786642311939E-3</v>
      </c>
      <c r="G296" s="178">
        <f t="shared" si="156"/>
        <v>-4.239751021328074E-2</v>
      </c>
      <c r="H296" s="178">
        <f t="shared" si="156"/>
        <v>-1.2859314203492867E-2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-4.5463831579342674E-3</v>
      </c>
      <c r="G297" s="178">
        <f t="shared" si="156"/>
        <v>-3.5306064160236822E-2</v>
      </c>
      <c r="H297" s="178">
        <f t="shared" si="156"/>
        <v>-2.2257663804119764E-2</v>
      </c>
      <c r="I297" s="178">
        <f t="shared" si="156"/>
        <v>-9.1497313480898117E-3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-2.6508678047841325E-3</v>
      </c>
      <c r="G298" s="179">
        <f t="shared" si="156"/>
        <v>-2.160637645754657E-2</v>
      </c>
      <c r="H298" s="179">
        <f t="shared" si="156"/>
        <v>-1.6208734251557812E-2</v>
      </c>
      <c r="I298" s="179">
        <f t="shared" si="156"/>
        <v>-1.3373253455517015E-2</v>
      </c>
      <c r="J298" s="179">
        <f t="shared" si="156"/>
        <v>-3.4164232930635782E-3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-1.1955949579189086E-3</v>
      </c>
      <c r="G299" s="179">
        <f t="shared" si="156"/>
        <v>-9.8801872443480231E-3</v>
      </c>
      <c r="H299" s="179">
        <f t="shared" si="156"/>
        <v>-7.7815325352428143E-3</v>
      </c>
      <c r="I299" s="179">
        <f t="shared" si="156"/>
        <v>-7.5867555115359652E-3</v>
      </c>
      <c r="J299" s="179">
        <f t="shared" si="156"/>
        <v>-3.9172727396525166E-3</v>
      </c>
      <c r="K299" s="179">
        <f t="shared" si="156"/>
        <v>-8.7514291250889676E-4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-9.0616988983749499E-4</v>
      </c>
      <c r="G300" s="179">
        <f t="shared" si="160"/>
        <v>-7.518619021281976E-3</v>
      </c>
      <c r="H300" s="179">
        <f t="shared" si="160"/>
        <v>-6.0042729760829243E-3</v>
      </c>
      <c r="I300" s="179">
        <f t="shared" si="160"/>
        <v>-6.1341060177727228E-3</v>
      </c>
      <c r="J300" s="179">
        <f t="shared" si="160"/>
        <v>-3.7498584830664523E-3</v>
      </c>
      <c r="K300" s="179">
        <f t="shared" si="160"/>
        <v>-1.6931801585311245E-3</v>
      </c>
      <c r="L300" s="179">
        <f t="shared" si="160"/>
        <v>-2.9674386113807418E-4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-2.082634485806287E-3</v>
      </c>
      <c r="G301" s="179">
        <f t="shared" si="160"/>
        <v>-1.7301467505657808E-2</v>
      </c>
      <c r="H301" s="179">
        <f t="shared" si="160"/>
        <v>-1.387277067307334E-2</v>
      </c>
      <c r="I301" s="179">
        <f t="shared" si="160"/>
        <v>-1.436283088736497E-2</v>
      </c>
      <c r="J301" s="179">
        <f t="shared" si="160"/>
        <v>-9.2053422843819781E-3</v>
      </c>
      <c r="K301" s="179">
        <f t="shared" si="160"/>
        <v>-4.9211217864939868E-3</v>
      </c>
      <c r="L301" s="179">
        <f t="shared" si="160"/>
        <v>-1.7431542076286237E-3</v>
      </c>
      <c r="M301" s="179">
        <f t="shared" si="160"/>
        <v>-5.1549734851550071E-4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-1.3760204707169974E-3</v>
      </c>
      <c r="G302" s="179">
        <f t="shared" si="160"/>
        <v>-1.143613775935182E-2</v>
      </c>
      <c r="H302" s="179">
        <f t="shared" si="160"/>
        <v>-9.1813073520636713E-3</v>
      </c>
      <c r="I302" s="179">
        <f t="shared" si="160"/>
        <v>-9.5426994745056413E-3</v>
      </c>
      <c r="J302" s="179">
        <f t="shared" si="160"/>
        <v>-6.199050400925451E-3</v>
      </c>
      <c r="K302" s="179">
        <f t="shared" si="160"/>
        <v>-3.4744465343265665E-3</v>
      </c>
      <c r="L302" s="179">
        <f t="shared" si="160"/>
        <v>-1.4571129147692467E-3</v>
      </c>
      <c r="M302" s="179">
        <f t="shared" si="160"/>
        <v>-8.7091738039388308E-4</v>
      </c>
      <c r="N302" s="179">
        <f t="shared" si="160"/>
        <v>-7.8198326596842901E-4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-6.2274948237218378E-4</v>
      </c>
      <c r="G303" s="179">
        <f t="shared" si="160"/>
        <v>-5.1765237554915007E-3</v>
      </c>
      <c r="H303" s="179">
        <f t="shared" si="160"/>
        <v>-4.157662291326289E-3</v>
      </c>
      <c r="I303" s="179">
        <f t="shared" si="160"/>
        <v>-4.3265362348836999E-3</v>
      </c>
      <c r="J303" s="179">
        <f t="shared" si="160"/>
        <v>-2.8216595678056972E-3</v>
      </c>
      <c r="K303" s="179">
        <f t="shared" si="160"/>
        <v>-1.6029467916199888E-3</v>
      </c>
      <c r="L303" s="179">
        <f t="shared" si="160"/>
        <v>-7.0479526115312541E-4</v>
      </c>
      <c r="M303" s="179">
        <f t="shared" si="160"/>
        <v>-4.9874965045711432E-4</v>
      </c>
      <c r="N303" s="179">
        <f t="shared" si="160"/>
        <v>-9.0509930011486235E-4</v>
      </c>
      <c r="O303" s="179">
        <f t="shared" si="160"/>
        <v>-2.3372931565846037E-4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-4.5363495411355548E-4</v>
      </c>
      <c r="G304" s="179">
        <f t="shared" si="164"/>
        <v>-3.7710367125846837E-3</v>
      </c>
      <c r="H304" s="179">
        <f t="shared" si="164"/>
        <v>-3.0292987974739867E-3</v>
      </c>
      <c r="I304" s="179">
        <f t="shared" si="164"/>
        <v>-3.1536333327267549E-3</v>
      </c>
      <c r="J304" s="179">
        <f t="shared" si="164"/>
        <v>-2.0592221773621938E-3</v>
      </c>
      <c r="K304" s="179">
        <f t="shared" si="164"/>
        <v>-1.17440464182887E-3</v>
      </c>
      <c r="L304" s="179">
        <f t="shared" si="164"/>
        <v>-5.2333703276647488E-4</v>
      </c>
      <c r="M304" s="179">
        <f t="shared" si="164"/>
        <v>-3.8816701217320274E-4</v>
      </c>
      <c r="N304" s="179">
        <f t="shared" si="164"/>
        <v>-8.3320083737240089E-4</v>
      </c>
      <c r="O304" s="179">
        <f t="shared" si="164"/>
        <v>-4.3334755708145149E-4</v>
      </c>
      <c r="P304" s="179">
        <f t="shared" si="164"/>
        <v>-7.5337208884093969E-5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.75" x14ac:dyDescent="0.35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7.8569232795990112E-5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3.4081870434123584E-4</v>
      </c>
      <c r="G422" s="179">
        <f t="shared" si="255"/>
        <v>-1.2280245578504719E-4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5.8618238120827521E-4</v>
      </c>
      <c r="G423" s="179">
        <f t="shared" si="258"/>
        <v>-6.991004821100534E-4</v>
      </c>
      <c r="H423" s="179">
        <f t="shared" si="258"/>
        <v>1.583155410248931E-5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2.6138814864893418E-4</v>
      </c>
      <c r="G424" s="179">
        <f t="shared" si="258"/>
        <v>-2.0205610830156344E-3</v>
      </c>
      <c r="H424" s="179">
        <f t="shared" si="258"/>
        <v>-5.7673123322606176E-4</v>
      </c>
      <c r="I424" s="179">
        <f t="shared" si="258"/>
        <v>-1.031075430491658E-4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7.0175036212022609E-5</v>
      </c>
      <c r="G425" s="179">
        <f t="shared" si="258"/>
        <v>-2.0040796843225593E-3</v>
      </c>
      <c r="H425" s="179">
        <f t="shared" si="258"/>
        <v>-1.0047724718514257E-3</v>
      </c>
      <c r="I425" s="179">
        <f t="shared" si="258"/>
        <v>-7.1399768053926585E-4</v>
      </c>
      <c r="J425" s="179">
        <f t="shared" si="258"/>
        <v>-3.1109408575949837E-5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3.278628097052929E-6</v>
      </c>
      <c r="G426" s="179">
        <f t="shared" si="258"/>
        <v>-1.1710398567810413E-3</v>
      </c>
      <c r="H426" s="179">
        <f t="shared" si="258"/>
        <v>-6.9632799082830921E-4</v>
      </c>
      <c r="I426" s="179">
        <f t="shared" si="258"/>
        <v>-6.688716438387291E-4</v>
      </c>
      <c r="J426" s="179">
        <f t="shared" si="258"/>
        <v>-1.6222914919052133E-4</v>
      </c>
      <c r="K426" s="179">
        <f t="shared" si="258"/>
        <v>-5.8621885363660625E-6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-1.8125123225676267E-6</v>
      </c>
      <c r="G427" s="179">
        <f t="shared" si="262"/>
        <v>-9.3347992093591159E-4</v>
      </c>
      <c r="H427" s="179">
        <f t="shared" si="262"/>
        <v>-5.7719483988570325E-4</v>
      </c>
      <c r="I427" s="179">
        <f t="shared" si="262"/>
        <v>-6.0509720853464373E-4</v>
      </c>
      <c r="J427" s="179">
        <f t="shared" si="262"/>
        <v>-2.0918057138085718E-4</v>
      </c>
      <c r="K427" s="179">
        <f t="shared" si="262"/>
        <v>-3.5602286013720082E-5</v>
      </c>
      <c r="L427" s="179">
        <f t="shared" si="262"/>
        <v>-3.9340956353366578E-7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3.5712185366959575E-5</v>
      </c>
      <c r="G428" s="179">
        <f t="shared" si="262"/>
        <v>-1.8233533799065663E-3</v>
      </c>
      <c r="H428" s="179">
        <f t="shared" si="262"/>
        <v>-1.0790842656769699E-3</v>
      </c>
      <c r="I428" s="179">
        <f t="shared" si="262"/>
        <v>-1.1748958134105015E-3</v>
      </c>
      <c r="J428" s="179">
        <f t="shared" si="262"/>
        <v>-3.77056219362089E-4</v>
      </c>
      <c r="K428" s="179">
        <f t="shared" si="262"/>
        <v>-4.3050659897568782E-5</v>
      </c>
      <c r="L428" s="179">
        <f t="shared" si="262"/>
        <v>1.8326542026057254E-5</v>
      </c>
      <c r="M428" s="179">
        <f t="shared" si="262"/>
        <v>2.7516769117402814E-6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7.7546080564380073E-6</v>
      </c>
      <c r="G429" s="179">
        <f t="shared" si="262"/>
        <v>-1.3383747493058895E-3</v>
      </c>
      <c r="H429" s="179">
        <f t="shared" si="262"/>
        <v>-8.2182221882204213E-4</v>
      </c>
      <c r="I429" s="179">
        <f t="shared" si="262"/>
        <v>-8.9581201461467032E-4</v>
      </c>
      <c r="J429" s="179">
        <f t="shared" si="262"/>
        <v>-3.2987657192634341E-4</v>
      </c>
      <c r="K429" s="179">
        <f t="shared" si="262"/>
        <v>-7.1157683991369454E-5</v>
      </c>
      <c r="L429" s="179">
        <f t="shared" si="262"/>
        <v>3.8075535342518733E-6</v>
      </c>
      <c r="M429" s="179">
        <f t="shared" si="262"/>
        <v>4.8568385930011201E-6</v>
      </c>
      <c r="N429" s="179">
        <f t="shared" si="262"/>
        <v>-2.5099487860052597E-6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-4.1345180583815884E-6</v>
      </c>
      <c r="G430" s="179">
        <f t="shared" si="262"/>
        <v>-6.6967302846229477E-4</v>
      </c>
      <c r="H430" s="179">
        <f t="shared" si="262"/>
        <v>-4.2360430073605976E-4</v>
      </c>
      <c r="I430" s="179">
        <f t="shared" si="262"/>
        <v>-4.6030713917686418E-4</v>
      </c>
      <c r="J430" s="179">
        <f t="shared" si="262"/>
        <v>-1.8573305294493657E-4</v>
      </c>
      <c r="K430" s="179">
        <f t="shared" si="262"/>
        <v>-5.2964907448549751E-5</v>
      </c>
      <c r="L430" s="179">
        <f t="shared" si="262"/>
        <v>-6.4058048730431275E-6</v>
      </c>
      <c r="M430" s="179">
        <f t="shared" si="262"/>
        <v>-2.0965696909842819E-6</v>
      </c>
      <c r="N430" s="179">
        <f t="shared" si="262"/>
        <v>-1.5721598761483897E-5</v>
      </c>
      <c r="O430" s="179">
        <f t="shared" si="262"/>
        <v>-7.9913257914767196E-7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-4.262436522883165E-6</v>
      </c>
      <c r="G431" s="179">
        <f t="shared" si="264"/>
        <v>-4.9836653085024503E-4</v>
      </c>
      <c r="H431" s="179">
        <f t="shared" si="264"/>
        <v>-3.1715446747574474E-4</v>
      </c>
      <c r="I431" s="179">
        <f t="shared" si="264"/>
        <v>-3.4460057646375772E-4</v>
      </c>
      <c r="J431" s="179">
        <f t="shared" si="264"/>
        <v>-1.4159075660650529E-4</v>
      </c>
      <c r="K431" s="179">
        <f t="shared" si="264"/>
        <v>-4.2310150717367955E-5</v>
      </c>
      <c r="L431" s="179">
        <f t="shared" si="264"/>
        <v>-6.2813395687855094E-6</v>
      </c>
      <c r="M431" s="179">
        <f t="shared" si="264"/>
        <v>-2.7742560696701416E-6</v>
      </c>
      <c r="N431" s="179">
        <f t="shared" si="264"/>
        <v>-2.0042914560404054E-5</v>
      </c>
      <c r="O431" s="179">
        <f t="shared" si="264"/>
        <v>-4.732571884472416E-6</v>
      </c>
      <c r="P431" s="179">
        <f t="shared" si="264"/>
        <v>-5.6467187732959846E-8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20.25" x14ac:dyDescent="0.35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1.6351932337287214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1.5483422247137695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1.4517516549910641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1.3852555934115494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1.3483575902137477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1.3782517827235132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1.3800995221369212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1.3151490057196948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1.3075227658505955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1.3708627939790825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1.3883299487072023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1.4169265031294653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1.4715803616983647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1.572114092243591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x14ac:dyDescent="0.2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3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0.11011798603299472</v>
      </c>
      <c r="G552" s="175">
        <f t="shared" si="358"/>
        <v>6.1739068139807708E-2</v>
      </c>
      <c r="H552" s="175">
        <f t="shared" si="358"/>
        <v>1.8299463256537075E-2</v>
      </c>
      <c r="I552" s="175">
        <f t="shared" si="358"/>
        <v>4.8686241816320924E-3</v>
      </c>
      <c r="J552" s="175">
        <f t="shared" si="358"/>
        <v>1.2516793812265775E-3</v>
      </c>
      <c r="K552" s="175">
        <f t="shared" si="358"/>
        <v>3.1409633459770077E-4</v>
      </c>
      <c r="L552" s="175">
        <f t="shared" si="358"/>
        <v>7.6081457709128268E-5</v>
      </c>
      <c r="M552" s="175">
        <f t="shared" si="358"/>
        <v>1.8950936806522469E-5</v>
      </c>
      <c r="N552" s="175">
        <f t="shared" si="358"/>
        <v>4.8900010123137169E-6</v>
      </c>
      <c r="O552" s="175">
        <f t="shared" si="358"/>
        <v>1.2329937552059885E-6</v>
      </c>
      <c r="P552" s="175">
        <f t="shared" si="358"/>
        <v>3.1253872435616247E-7</v>
      </c>
      <c r="Q552" s="175">
        <f t="shared" si="358"/>
        <v>8.1472328558975136E-8</v>
      </c>
      <c r="R552" s="175">
        <f t="shared" si="358"/>
        <v>2.0654094974938427E-8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0.12762478666246879</v>
      </c>
      <c r="F553" s="179">
        <f t="shared" si="358"/>
        <v>0</v>
      </c>
      <c r="G553" s="179">
        <f t="shared" si="358"/>
        <v>9.3422865920697276E-2</v>
      </c>
      <c r="H553" s="179">
        <f t="shared" si="358"/>
        <v>5.773852827595824E-2</v>
      </c>
      <c r="I553" s="179">
        <f t="shared" si="358"/>
        <v>1.8388211442191663E-2</v>
      </c>
      <c r="J553" s="179">
        <f t="shared" si="358"/>
        <v>4.9467536766109174E-3</v>
      </c>
      <c r="K553" s="179">
        <f t="shared" si="358"/>
        <v>1.2528304093212832E-3</v>
      </c>
      <c r="L553" s="179">
        <f t="shared" si="358"/>
        <v>3.0407852982024757E-4</v>
      </c>
      <c r="M553" s="179">
        <f t="shared" si="358"/>
        <v>7.5788232551195586E-5</v>
      </c>
      <c r="N553" s="179">
        <f t="shared" si="358"/>
        <v>1.955916411981778E-5</v>
      </c>
      <c r="O553" s="179">
        <f t="shared" si="358"/>
        <v>4.93192434364544E-6</v>
      </c>
      <c r="P553" s="179">
        <f t="shared" si="358"/>
        <v>1.2501518808462196E-6</v>
      </c>
      <c r="Q553" s="179">
        <f t="shared" si="358"/>
        <v>3.2588913396565366E-7</v>
      </c>
      <c r="R553" s="179">
        <f t="shared" si="358"/>
        <v>8.26163703638185E-8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0.49177001228988959</v>
      </c>
      <c r="F554" s="179">
        <f t="shared" si="358"/>
        <v>0.11299368359360876</v>
      </c>
      <c r="G554" s="179">
        <f t="shared" si="358"/>
        <v>0</v>
      </c>
      <c r="H554" s="179">
        <f t="shared" si="358"/>
        <v>8.2084970435874718E-2</v>
      </c>
      <c r="I554" s="179">
        <f t="shared" si="358"/>
        <v>5.5861748926579601E-2</v>
      </c>
      <c r="J554" s="179">
        <f t="shared" si="358"/>
        <v>1.848249891174647E-2</v>
      </c>
      <c r="K554" s="179">
        <f t="shared" si="358"/>
        <v>4.8745433003911445E-3</v>
      </c>
      <c r="L554" s="179">
        <f t="shared" si="358"/>
        <v>1.1931662611363554E-3</v>
      </c>
      <c r="M554" s="179">
        <f t="shared" si="358"/>
        <v>2.9811741337712971E-4</v>
      </c>
      <c r="N554" s="179">
        <f t="shared" si="358"/>
        <v>7.6986689490180849E-5</v>
      </c>
      <c r="O554" s="179">
        <f t="shared" si="358"/>
        <v>1.9415017842039095E-5</v>
      </c>
      <c r="P554" s="179">
        <f t="shared" si="358"/>
        <v>4.9215011933018849E-6</v>
      </c>
      <c r="Q554" s="179">
        <f t="shared" si="358"/>
        <v>1.2829444894884841E-6</v>
      </c>
      <c r="R554" s="179">
        <f t="shared" si="358"/>
        <v>3.2524066597430425E-7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0.75343150618373533</v>
      </c>
      <c r="F555" s="179">
        <f t="shared" si="358"/>
        <v>0.47298530314455378</v>
      </c>
      <c r="G555" s="179">
        <f t="shared" si="358"/>
        <v>0.10291236752815563</v>
      </c>
      <c r="H555" s="179">
        <f t="shared" si="358"/>
        <v>0</v>
      </c>
      <c r="I555" s="179">
        <f t="shared" si="358"/>
        <v>7.4381014678190499E-2</v>
      </c>
      <c r="J555" s="179">
        <f t="shared" si="358"/>
        <v>5.787919869725975E-2</v>
      </c>
      <c r="K555" s="179">
        <f t="shared" si="358"/>
        <v>1.8504482226553758E-2</v>
      </c>
      <c r="L555" s="179">
        <f t="shared" si="358"/>
        <v>4.7065738684029072E-3</v>
      </c>
      <c r="M555" s="179">
        <f t="shared" si="358"/>
        <v>1.1884577542288863E-3</v>
      </c>
      <c r="N555" s="179">
        <f t="shared" si="358"/>
        <v>3.0773389161775031E-4</v>
      </c>
      <c r="O555" s="179">
        <f t="shared" si="358"/>
        <v>7.7647365405375239E-5</v>
      </c>
      <c r="P555" s="179">
        <f t="shared" si="358"/>
        <v>1.9685252616791376E-5</v>
      </c>
      <c r="Q555" s="179">
        <f t="shared" si="358"/>
        <v>5.1317331341482295E-6</v>
      </c>
      <c r="R555" s="179">
        <f t="shared" si="358"/>
        <v>1.3009602962305373E-6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0.88126703815507312</v>
      </c>
      <c r="F556" s="179">
        <f t="shared" si="358"/>
        <v>0.73801733165656547</v>
      </c>
      <c r="G556" s="179">
        <f t="shared" si="358"/>
        <v>0.44431175863436589</v>
      </c>
      <c r="H556" s="179">
        <f t="shared" si="358"/>
        <v>8.6867964863682756E-2</v>
      </c>
      <c r="I556" s="179">
        <f t="shared" si="358"/>
        <v>0</v>
      </c>
      <c r="J556" s="179">
        <f t="shared" si="358"/>
        <v>8.0811906125887817E-2</v>
      </c>
      <c r="K556" s="179">
        <f t="shared" si="358"/>
        <v>5.6805315619258674E-2</v>
      </c>
      <c r="L556" s="179">
        <f t="shared" si="358"/>
        <v>1.7198894730844606E-2</v>
      </c>
      <c r="M556" s="179">
        <f t="shared" si="358"/>
        <v>4.5439756512590844E-3</v>
      </c>
      <c r="N556" s="179">
        <f t="shared" si="358"/>
        <v>1.1895192209323026E-3</v>
      </c>
      <c r="O556" s="179">
        <f t="shared" si="358"/>
        <v>3.0076784427072003E-4</v>
      </c>
      <c r="P556" s="179">
        <f t="shared" si="358"/>
        <v>7.6288318593885891E-5</v>
      </c>
      <c r="Q556" s="179">
        <f t="shared" si="358"/>
        <v>1.9889808769255732E-5</v>
      </c>
      <c r="R556" s="179">
        <f t="shared" si="358"/>
        <v>5.0424563672989876E-6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0.94290739944325785</v>
      </c>
      <c r="F557" s="179">
        <f t="shared" si="358"/>
        <v>0.87603226385586042</v>
      </c>
      <c r="G557" s="179">
        <f t="shared" si="358"/>
        <v>0.72554225295822561</v>
      </c>
      <c r="H557" s="179">
        <f t="shared" si="358"/>
        <v>0.42386321181974207</v>
      </c>
      <c r="I557" s="179">
        <f t="shared" si="358"/>
        <v>8.6522524963477176E-2</v>
      </c>
      <c r="J557" s="179">
        <f t="shared" si="358"/>
        <v>0</v>
      </c>
      <c r="K557" s="179">
        <f t="shared" si="358"/>
        <v>8.1148370973490258E-2</v>
      </c>
      <c r="L557" s="179">
        <f t="shared" si="358"/>
        <v>5.2440189855490205E-2</v>
      </c>
      <c r="M557" s="179">
        <f t="shared" si="358"/>
        <v>1.7103574733189013E-2</v>
      </c>
      <c r="N557" s="179">
        <f t="shared" si="358"/>
        <v>4.7029142975970138E-3</v>
      </c>
      <c r="O557" s="179">
        <f t="shared" si="358"/>
        <v>1.1998891228306916E-3</v>
      </c>
      <c r="P557" s="179">
        <f t="shared" si="358"/>
        <v>3.049686112503648E-4</v>
      </c>
      <c r="Q557" s="179">
        <f t="shared" si="358"/>
        <v>7.9548345632118241E-5</v>
      </c>
      <c r="R557" s="179">
        <f t="shared" si="358"/>
        <v>2.0169253475269704E-5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0.97209272300641369</v>
      </c>
      <c r="F558" s="179">
        <f t="shared" si="358"/>
        <v>0.94049539584482234</v>
      </c>
      <c r="G558" s="179">
        <f t="shared" si="358"/>
        <v>0.8703715003015452</v>
      </c>
      <c r="H558" s="179">
        <f t="shared" si="358"/>
        <v>0.71323201023554306</v>
      </c>
      <c r="I558" s="179">
        <f t="shared" si="358"/>
        <v>0.41893863277995946</v>
      </c>
      <c r="J558" s="179">
        <f t="shared" si="358"/>
        <v>9.149781163051364E-2</v>
      </c>
      <c r="K558" s="179">
        <f t="shared" si="358"/>
        <v>0</v>
      </c>
      <c r="L558" s="179">
        <f t="shared" si="358"/>
        <v>6.904935162131956E-2</v>
      </c>
      <c r="M558" s="179">
        <f t="shared" si="358"/>
        <v>5.188511323800328E-2</v>
      </c>
      <c r="N558" s="179">
        <f t="shared" si="358"/>
        <v>1.7865289520039199E-2</v>
      </c>
      <c r="O558" s="179">
        <f t="shared" si="358"/>
        <v>4.7460973269069723E-3</v>
      </c>
      <c r="P558" s="179">
        <f t="shared" si="358"/>
        <v>1.2168388674112468E-3</v>
      </c>
      <c r="Q558" s="179">
        <f t="shared" si="358"/>
        <v>3.1801670036022957E-4</v>
      </c>
      <c r="R558" s="179">
        <f t="shared" si="358"/>
        <v>8.0667800419954578E-5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0.98621443116227658</v>
      </c>
      <c r="F559" s="179">
        <f t="shared" si="358"/>
        <v>0.97095177573467883</v>
      </c>
      <c r="G559" s="179">
        <f t="shared" si="358"/>
        <v>0.93797448442671694</v>
      </c>
      <c r="H559" s="179">
        <f t="shared" si="358"/>
        <v>0.86490500950970506</v>
      </c>
      <c r="I559" s="179">
        <f t="shared" si="358"/>
        <v>0.71023075425869908</v>
      </c>
      <c r="J559" s="179">
        <f t="shared" si="358"/>
        <v>0.4295636215162526</v>
      </c>
      <c r="K559" s="179">
        <f t="shared" si="358"/>
        <v>9.1798485817249129E-2</v>
      </c>
      <c r="L559" s="179">
        <f t="shared" si="358"/>
        <v>0</v>
      </c>
      <c r="M559" s="179">
        <f t="shared" si="358"/>
        <v>6.7590425453761552E-2</v>
      </c>
      <c r="N559" s="179">
        <f t="shared" si="358"/>
        <v>5.6219138470382818E-2</v>
      </c>
      <c r="O559" s="179">
        <f t="shared" si="358"/>
        <v>1.80654637962986E-2</v>
      </c>
      <c r="P559" s="179">
        <f t="shared" si="358"/>
        <v>4.8163455508246121E-3</v>
      </c>
      <c r="Q559" s="179">
        <f t="shared" si="358"/>
        <v>1.2691626731792835E-3</v>
      </c>
      <c r="R559" s="179">
        <f t="shared" si="358"/>
        <v>3.2252182145200048E-4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0.99315023573823535</v>
      </c>
      <c r="F560" s="179">
        <f t="shared" si="358"/>
        <v>0.98566182068471131</v>
      </c>
      <c r="G560" s="179">
        <f t="shared" si="358"/>
        <v>0.96978807803240674</v>
      </c>
      <c r="H560" s="179">
        <f t="shared" si="358"/>
        <v>0.93560028411366136</v>
      </c>
      <c r="I560" s="179">
        <f t="shared" si="358"/>
        <v>0.86379604654281905</v>
      </c>
      <c r="J560" s="179">
        <f t="shared" si="358"/>
        <v>0.71663609185461941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0.4301905828847214</v>
      </c>
      <c r="L560" s="179">
        <f t="shared" si="358"/>
        <v>8.0730649239539959E-2</v>
      </c>
      <c r="M560" s="179">
        <f t="shared" si="358"/>
        <v>0</v>
      </c>
      <c r="N560" s="179">
        <f t="shared" si="358"/>
        <v>7.9462026887755111E-2</v>
      </c>
      <c r="O560" s="179">
        <f t="shared" si="358"/>
        <v>5.7319315687648788E-2</v>
      </c>
      <c r="P560" s="179">
        <f t="shared" si="358"/>
        <v>1.83862176719908E-2</v>
      </c>
      <c r="Q560" s="179">
        <f t="shared" si="358"/>
        <v>5.0278255554970517E-3</v>
      </c>
      <c r="R560" s="179">
        <f t="shared" si="358"/>
        <v>1.2876348698165291E-3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0.99658599582698759</v>
      </c>
      <c r="F561" s="179">
        <f t="shared" si="358"/>
        <v>0.99287858719654609</v>
      </c>
      <c r="G561" s="179">
        <f t="shared" si="358"/>
        <v>0.98510639602501882</v>
      </c>
      <c r="H561" s="179">
        <f t="shared" si="358"/>
        <v>0.96871251652268509</v>
      </c>
      <c r="I561" s="179">
        <f t="shared" si="358"/>
        <v>0.93522612035389152</v>
      </c>
      <c r="J561" s="179">
        <f t="shared" si="358"/>
        <v>0.86657126305005305</v>
      </c>
      <c r="K561" s="179">
        <f t="shared" si="358"/>
        <v>0.71701203992319895</v>
      </c>
      <c r="L561" s="179">
        <f t="shared" si="358"/>
        <v>0.40591726259502825</v>
      </c>
      <c r="M561" s="179">
        <f t="shared" si="358"/>
        <v>7.9357553883170395E-2</v>
      </c>
      <c r="N561" s="179">
        <f t="shared" si="358"/>
        <v>0</v>
      </c>
      <c r="O561" s="179">
        <f t="shared" si="358"/>
        <v>8.2641826132360791E-2</v>
      </c>
      <c r="P561" s="179">
        <f t="shared" si="358"/>
        <v>5.9049343933564459E-2</v>
      </c>
      <c r="Q561" s="179">
        <f t="shared" si="358"/>
        <v>1.9266482658845941E-2</v>
      </c>
      <c r="R561" s="179">
        <f t="shared" si="358"/>
        <v>5.1093610885754696E-3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0.99829573261195581</v>
      </c>
      <c r="F562" s="179">
        <f t="shared" si="358"/>
        <v>0.99645135897369608</v>
      </c>
      <c r="G562" s="179">
        <f t="shared" si="358"/>
        <v>0.99260774521392148</v>
      </c>
      <c r="H562" s="179">
        <f t="shared" si="358"/>
        <v>0.98459897893927739</v>
      </c>
      <c r="I562" s="179">
        <f t="shared" si="358"/>
        <v>0.96857990088132884</v>
      </c>
      <c r="J562" s="179">
        <f t="shared" si="358"/>
        <v>0.93639685262160932</v>
      </c>
      <c r="K562" s="179">
        <f t="shared" si="358"/>
        <v>0.86673527966086961</v>
      </c>
      <c r="L562" s="179">
        <f t="shared" si="358"/>
        <v>0.70227791155398012</v>
      </c>
      <c r="M562" s="179">
        <f t="shared" si="358"/>
        <v>0.40271641174944239</v>
      </c>
      <c r="N562" s="179">
        <f t="shared" si="358"/>
        <v>9.0287684283557962E-2</v>
      </c>
      <c r="O562" s="179">
        <f t="shared" si="358"/>
        <v>0</v>
      </c>
      <c r="P562" s="179">
        <f t="shared" si="358"/>
        <v>8.7765404554889542E-2</v>
      </c>
      <c r="Q562" s="179">
        <f t="shared" si="358"/>
        <v>6.285731280865943E-2</v>
      </c>
      <c r="R562" s="179">
        <f t="shared" si="358"/>
        <v>1.9723053198375265E-2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0.99914855187184626</v>
      </c>
      <c r="F563" s="179">
        <f t="shared" si="358"/>
        <v>0.99822871390468826</v>
      </c>
      <c r="G563" s="179">
        <f t="shared" si="358"/>
        <v>0.99631768757371697</v>
      </c>
      <c r="H563" s="179">
        <f t="shared" si="358"/>
        <v>0.99236191805223728</v>
      </c>
      <c r="I563" s="179">
        <f t="shared" si="358"/>
        <v>0.98454732883556983</v>
      </c>
      <c r="J563" s="179">
        <f t="shared" si="358"/>
        <v>0.96909832005997509</v>
      </c>
      <c r="K563" s="179">
        <f t="shared" si="358"/>
        <v>0.93646672029765299</v>
      </c>
      <c r="L563" s="179">
        <f t="shared" si="358"/>
        <v>0.86039841943315931</v>
      </c>
      <c r="M563" s="179">
        <f t="shared" si="358"/>
        <v>0.70030272720247777</v>
      </c>
      <c r="N563" s="179">
        <f t="shared" si="358"/>
        <v>0.42702335677979048</v>
      </c>
      <c r="O563" s="179">
        <f t="shared" si="358"/>
        <v>9.312855736083106E-2</v>
      </c>
      <c r="P563" s="179">
        <f t="shared" si="358"/>
        <v>0</v>
      </c>
      <c r="Q563" s="179">
        <f t="shared" si="358"/>
        <v>9.6844105917913356E-2</v>
      </c>
      <c r="R563" s="179">
        <f t="shared" si="358"/>
        <v>6.6525031112915675E-2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0.99957104175905109</v>
      </c>
      <c r="F564" s="179">
        <f t="shared" si="358"/>
        <v>0.99910803260455161</v>
      </c>
      <c r="G564" s="179">
        <f t="shared" si="358"/>
        <v>0.99814759000524955</v>
      </c>
      <c r="H564" s="179">
        <f t="shared" si="358"/>
        <v>0.9961662254098731</v>
      </c>
      <c r="I564" s="179">
        <f t="shared" si="358"/>
        <v>0.99227805734993713</v>
      </c>
      <c r="J564" s="179">
        <f t="shared" si="358"/>
        <v>0.98466470988010446</v>
      </c>
      <c r="K564" s="179">
        <f t="shared" si="358"/>
        <v>0.96887500987925634</v>
      </c>
      <c r="L564" s="179">
        <f t="shared" si="358"/>
        <v>0.93326090511925952</v>
      </c>
      <c r="M564" s="179">
        <f t="shared" si="358"/>
        <v>0.85833374504180815</v>
      </c>
      <c r="N564" s="179">
        <f t="shared" si="358"/>
        <v>0.71265700835398149</v>
      </c>
      <c r="O564" s="179">
        <f t="shared" si="358"/>
        <v>0.42887352354592029</v>
      </c>
      <c r="P564" s="179">
        <f t="shared" si="358"/>
        <v>9.4579158106813485E-2</v>
      </c>
      <c r="Q564" s="179">
        <f t="shared" si="358"/>
        <v>0</v>
      </c>
      <c r="R564" s="179">
        <f t="shared" si="358"/>
        <v>0.11467241882206422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0.9997889689249132</v>
      </c>
      <c r="F565" s="179">
        <f t="shared" si="358"/>
        <v>0.99956128891202323</v>
      </c>
      <c r="G565" s="179">
        <f t="shared" si="358"/>
        <v>0.99908938211262599</v>
      </c>
      <c r="H565" s="179">
        <f t="shared" si="358"/>
        <v>0.99811758371724801</v>
      </c>
      <c r="I565" s="179">
        <f t="shared" si="358"/>
        <v>0.99621735916012655</v>
      </c>
      <c r="J565" s="179">
        <f t="shared" si="358"/>
        <v>0.99251653493550585</v>
      </c>
      <c r="K565" s="179">
        <f t="shared" si="358"/>
        <v>0.984926446963865</v>
      </c>
      <c r="L565" s="179">
        <f t="shared" si="358"/>
        <v>0.96823457942313584</v>
      </c>
      <c r="M565" s="179">
        <f t="shared" si="358"/>
        <v>0.93404756247688692</v>
      </c>
      <c r="N565" s="179">
        <f t="shared" si="358"/>
        <v>0.86706927230711506</v>
      </c>
      <c r="O565" s="179">
        <f t="shared" si="358"/>
        <v>0.72108385712442591</v>
      </c>
      <c r="P565" s="179">
        <f t="shared" si="358"/>
        <v>0.44612773087330493</v>
      </c>
      <c r="Q565" s="179">
        <f t="shared" si="358"/>
        <v>0.11246305835908038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0.99997345557810391</v>
      </c>
      <c r="F566" s="179">
        <f t="shared" si="358"/>
        <v>0.99994482795012496</v>
      </c>
      <c r="G566" s="179">
        <f t="shared" si="358"/>
        <v>0.99988553291792759</v>
      </c>
      <c r="H566" s="179">
        <f t="shared" si="358"/>
        <v>0.99976361254906898</v>
      </c>
      <c r="I566" s="179">
        <f t="shared" si="358"/>
        <v>0.99952595069070227</v>
      </c>
      <c r="J566" s="179">
        <f t="shared" si="358"/>
        <v>0.99906530056499654</v>
      </c>
      <c r="K566" s="179">
        <f t="shared" si="358"/>
        <v>0.99813034312922566</v>
      </c>
      <c r="L566" s="179">
        <f t="shared" si="358"/>
        <v>0.99612769206535312</v>
      </c>
      <c r="M566" s="179">
        <f t="shared" si="358"/>
        <v>0.99218718088606273</v>
      </c>
      <c r="N566" s="179">
        <f t="shared" si="358"/>
        <v>0.98475454594649725</v>
      </c>
      <c r="O566" s="179">
        <f t="shared" si="358"/>
        <v>0.96931792065558398</v>
      </c>
      <c r="P566" s="179">
        <f t="shared" si="358"/>
        <v>0.93791075812898472</v>
      </c>
      <c r="Q566" s="179">
        <f t="shared" si="358"/>
        <v>0.87529358929744427</v>
      </c>
      <c r="R566" s="179">
        <f t="shared" si="358"/>
        <v>0.74602489563218255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0.99999959163441532</v>
      </c>
      <c r="F567" s="179">
        <f t="shared" si="358"/>
        <v>0.99999915124423888</v>
      </c>
      <c r="G567" s="179">
        <f t="shared" si="358"/>
        <v>0.99999823917423658</v>
      </c>
      <c r="H567" s="179">
        <f t="shared" si="358"/>
        <v>0.99999636421519555</v>
      </c>
      <c r="I567" s="179">
        <f t="shared" si="358"/>
        <v>0.99999271094317832</v>
      </c>
      <c r="J567" s="179">
        <f t="shared" si="358"/>
        <v>0.9999856348911913</v>
      </c>
      <c r="K567" s="179">
        <f t="shared" si="358"/>
        <v>0.99997129525692585</v>
      </c>
      <c r="L567" s="179">
        <f t="shared" si="358"/>
        <v>0.99994070653184985</v>
      </c>
      <c r="M567" s="179">
        <f t="shared" si="358"/>
        <v>0.99988094578427367</v>
      </c>
      <c r="N567" s="179">
        <f t="shared" si="358"/>
        <v>0.99976926785228959</v>
      </c>
      <c r="O567" s="179">
        <f t="shared" si="358"/>
        <v>0.99954234554553612</v>
      </c>
      <c r="P567" s="179">
        <f t="shared" si="358"/>
        <v>0.99909683755057976</v>
      </c>
      <c r="Q567" s="179">
        <f t="shared" si="358"/>
        <v>0.99825240000989768</v>
      </c>
      <c r="R567" s="179">
        <f t="shared" si="358"/>
        <v>0.99660289775323563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</v>
      </c>
      <c r="I568" s="179">
        <f t="shared" si="372"/>
        <v>0.99999999999999989</v>
      </c>
      <c r="J568" s="179">
        <f t="shared" si="372"/>
        <v>1.0000000000000002</v>
      </c>
      <c r="K568" s="179">
        <f t="shared" si="372"/>
        <v>0.99999999999999989</v>
      </c>
      <c r="L568" s="179">
        <f t="shared" si="372"/>
        <v>1.0000000000000002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0.99999999999999989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</v>
      </c>
      <c r="I569" s="179">
        <f t="shared" si="372"/>
        <v>0.99999999999999989</v>
      </c>
      <c r="J569" s="179">
        <f t="shared" si="372"/>
        <v>1.0000000000000002</v>
      </c>
      <c r="K569" s="179">
        <f t="shared" si="372"/>
        <v>0.99999999999999989</v>
      </c>
      <c r="L569" s="179">
        <f t="shared" si="372"/>
        <v>1.0000000000000002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0.99999999999999989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</v>
      </c>
      <c r="I570" s="179">
        <f t="shared" si="372"/>
        <v>0.99999999999999989</v>
      </c>
      <c r="J570" s="179">
        <f t="shared" si="372"/>
        <v>1.0000000000000002</v>
      </c>
      <c r="K570" s="179">
        <f t="shared" si="372"/>
        <v>0.99999999999999989</v>
      </c>
      <c r="L570" s="179">
        <f t="shared" si="372"/>
        <v>1.0000000000000002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0.99999999999999989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</v>
      </c>
      <c r="I571" s="179">
        <f t="shared" si="372"/>
        <v>0.99999999999999989</v>
      </c>
      <c r="J571" s="179">
        <f t="shared" si="372"/>
        <v>1.0000000000000002</v>
      </c>
      <c r="K571" s="179">
        <f t="shared" si="372"/>
        <v>0.99999999999999989</v>
      </c>
      <c r="L571" s="179">
        <f t="shared" si="372"/>
        <v>1.0000000000000002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0.99999999999999989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</v>
      </c>
      <c r="I572" s="179">
        <f t="shared" si="372"/>
        <v>0.99999999999999989</v>
      </c>
      <c r="J572" s="179">
        <f t="shared" si="372"/>
        <v>1.0000000000000002</v>
      </c>
      <c r="K572" s="179">
        <f t="shared" si="372"/>
        <v>0.99999999999999989</v>
      </c>
      <c r="L572" s="179">
        <f t="shared" si="372"/>
        <v>1.0000000000000002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0.99999999999999989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</v>
      </c>
      <c r="I573" s="179">
        <f t="shared" si="372"/>
        <v>0.99999999999999989</v>
      </c>
      <c r="J573" s="179">
        <f t="shared" si="372"/>
        <v>1.0000000000000002</v>
      </c>
      <c r="K573" s="179">
        <f t="shared" si="372"/>
        <v>0.99999999999999989</v>
      </c>
      <c r="L573" s="179">
        <f t="shared" si="372"/>
        <v>1.0000000000000002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0.99999999999999989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</v>
      </c>
      <c r="I574" s="179">
        <f t="shared" si="372"/>
        <v>0.99999999999999989</v>
      </c>
      <c r="J574" s="179">
        <f t="shared" si="372"/>
        <v>1.0000000000000002</v>
      </c>
      <c r="K574" s="179">
        <f t="shared" si="372"/>
        <v>0.99999999999999989</v>
      </c>
      <c r="L574" s="179">
        <f t="shared" si="372"/>
        <v>1.0000000000000002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0.99999999999999989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</v>
      </c>
      <c r="I575" s="179">
        <f t="shared" si="372"/>
        <v>0.99999999999999989</v>
      </c>
      <c r="J575" s="179">
        <f t="shared" si="372"/>
        <v>1.0000000000000002</v>
      </c>
      <c r="K575" s="179">
        <f t="shared" si="372"/>
        <v>0.99999999999999989</v>
      </c>
      <c r="L575" s="179">
        <f t="shared" si="372"/>
        <v>1.0000000000000002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0.99999999999999989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</v>
      </c>
      <c r="I576" s="179">
        <f t="shared" si="372"/>
        <v>0.99999999999999989</v>
      </c>
      <c r="J576" s="179">
        <f t="shared" si="372"/>
        <v>1.0000000000000002</v>
      </c>
      <c r="K576" s="179">
        <f t="shared" si="372"/>
        <v>0.99999999999999989</v>
      </c>
      <c r="L576" s="179">
        <f t="shared" si="372"/>
        <v>1.0000000000000002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0.99999999999999989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</v>
      </c>
      <c r="I577" s="179">
        <f t="shared" si="372"/>
        <v>0.99999999999999989</v>
      </c>
      <c r="J577" s="179">
        <f t="shared" si="372"/>
        <v>1.0000000000000002</v>
      </c>
      <c r="K577" s="179">
        <f t="shared" si="372"/>
        <v>0.99999999999999989</v>
      </c>
      <c r="L577" s="179">
        <f t="shared" si="372"/>
        <v>1.0000000000000002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0.99999999999999989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</v>
      </c>
      <c r="I578" s="179">
        <f t="shared" si="372"/>
        <v>0.99999999999999989</v>
      </c>
      <c r="J578" s="179">
        <f t="shared" si="372"/>
        <v>1.0000000000000002</v>
      </c>
      <c r="K578" s="179">
        <f t="shared" si="372"/>
        <v>0.99999999999999989</v>
      </c>
      <c r="L578" s="179">
        <f t="shared" si="372"/>
        <v>1.0000000000000002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0.99999999999999989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</v>
      </c>
      <c r="I579" s="179">
        <f t="shared" si="372"/>
        <v>0.99999999999999989</v>
      </c>
      <c r="J579" s="179">
        <f t="shared" si="372"/>
        <v>1.0000000000000002</v>
      </c>
      <c r="K579" s="179">
        <f t="shared" si="372"/>
        <v>0.99999999999999989</v>
      </c>
      <c r="L579" s="179">
        <f t="shared" si="372"/>
        <v>1.0000000000000002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0.99999999999999989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</v>
      </c>
      <c r="I580" s="179">
        <f t="shared" si="372"/>
        <v>0.99999999999999989</v>
      </c>
      <c r="J580" s="179">
        <f t="shared" si="372"/>
        <v>1.0000000000000002</v>
      </c>
      <c r="K580" s="179">
        <f t="shared" si="372"/>
        <v>0.99999999999999989</v>
      </c>
      <c r="L580" s="179">
        <f t="shared" si="372"/>
        <v>1.0000000000000002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0.99999999999999989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</v>
      </c>
      <c r="I581" s="179">
        <f t="shared" si="372"/>
        <v>0.99999999999999989</v>
      </c>
      <c r="J581" s="179">
        <f t="shared" si="372"/>
        <v>1.0000000000000002</v>
      </c>
      <c r="K581" s="179">
        <f t="shared" si="372"/>
        <v>0.99999999999999989</v>
      </c>
      <c r="L581" s="179">
        <f t="shared" si="372"/>
        <v>1.0000000000000002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0.99999999999999989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</v>
      </c>
      <c r="I582" s="179">
        <f t="shared" si="372"/>
        <v>0.99999999999999989</v>
      </c>
      <c r="J582" s="179">
        <f t="shared" si="372"/>
        <v>1.0000000000000002</v>
      </c>
      <c r="K582" s="179">
        <f t="shared" si="372"/>
        <v>0.99999999999999989</v>
      </c>
      <c r="L582" s="179">
        <f t="shared" si="372"/>
        <v>1.0000000000000002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0.99999999999999989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</v>
      </c>
      <c r="I583" s="179">
        <f t="shared" si="372"/>
        <v>0.99999999999999989</v>
      </c>
      <c r="J583" s="179">
        <f t="shared" si="372"/>
        <v>1.0000000000000002</v>
      </c>
      <c r="K583" s="179">
        <f t="shared" si="372"/>
        <v>0.99999999999999989</v>
      </c>
      <c r="L583" s="179">
        <f t="shared" si="372"/>
        <v>1.0000000000000002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0.99999999999999989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</v>
      </c>
      <c r="I584" s="179">
        <f t="shared" si="381"/>
        <v>0.99999999999999989</v>
      </c>
      <c r="J584" s="179">
        <f t="shared" si="381"/>
        <v>1.0000000000000002</v>
      </c>
      <c r="K584" s="179">
        <f t="shared" si="381"/>
        <v>0.99999999999999989</v>
      </c>
      <c r="L584" s="179">
        <f t="shared" si="381"/>
        <v>1.0000000000000002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0.99999999999999989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</v>
      </c>
      <c r="I585" s="179">
        <f t="shared" si="381"/>
        <v>0.99999999999999989</v>
      </c>
      <c r="J585" s="179">
        <f t="shared" si="381"/>
        <v>1.0000000000000002</v>
      </c>
      <c r="K585" s="179">
        <f t="shared" si="381"/>
        <v>0.99999999999999989</v>
      </c>
      <c r="L585" s="179">
        <f t="shared" si="381"/>
        <v>1.0000000000000002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0.99999999999999989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</v>
      </c>
      <c r="I586" s="179">
        <f t="shared" si="381"/>
        <v>0.99999999999999989</v>
      </c>
      <c r="J586" s="179">
        <f t="shared" si="381"/>
        <v>1.0000000000000002</v>
      </c>
      <c r="K586" s="179">
        <f t="shared" si="381"/>
        <v>0.99999999999999989</v>
      </c>
      <c r="L586" s="179">
        <f t="shared" si="381"/>
        <v>1.0000000000000002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0.99999999999999989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</v>
      </c>
      <c r="I587" s="179">
        <f t="shared" si="381"/>
        <v>0.99999999999999989</v>
      </c>
      <c r="J587" s="179">
        <f t="shared" si="381"/>
        <v>1.0000000000000002</v>
      </c>
      <c r="K587" s="179">
        <f t="shared" si="381"/>
        <v>0.99999999999999989</v>
      </c>
      <c r="L587" s="179">
        <f t="shared" si="381"/>
        <v>1.0000000000000002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0.99999999999999989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</v>
      </c>
      <c r="I588" s="179">
        <f t="shared" si="381"/>
        <v>0.99999999999999989</v>
      </c>
      <c r="J588" s="179">
        <f t="shared" si="381"/>
        <v>1.0000000000000002</v>
      </c>
      <c r="K588" s="179">
        <f t="shared" si="381"/>
        <v>0.99999999999999989</v>
      </c>
      <c r="L588" s="179">
        <f t="shared" si="381"/>
        <v>1.0000000000000002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0.99999999999999989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</v>
      </c>
      <c r="I589" s="179">
        <f t="shared" si="381"/>
        <v>0.99999999999999989</v>
      </c>
      <c r="J589" s="179">
        <f t="shared" si="381"/>
        <v>1.0000000000000002</v>
      </c>
      <c r="K589" s="179">
        <f t="shared" si="381"/>
        <v>0.99999999999999989</v>
      </c>
      <c r="L589" s="179">
        <f t="shared" si="381"/>
        <v>1.0000000000000002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0.99999999999999989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</v>
      </c>
      <c r="I590" s="179">
        <f t="shared" si="381"/>
        <v>0.99999999999999989</v>
      </c>
      <c r="J590" s="179">
        <f t="shared" si="381"/>
        <v>1.0000000000000002</v>
      </c>
      <c r="K590" s="179">
        <f t="shared" si="381"/>
        <v>0.99999999999999989</v>
      </c>
      <c r="L590" s="179">
        <f t="shared" si="381"/>
        <v>1.0000000000000002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0.99999999999999989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</v>
      </c>
      <c r="I591" s="179">
        <f t="shared" si="381"/>
        <v>0.99999999999999989</v>
      </c>
      <c r="J591" s="179">
        <f t="shared" si="381"/>
        <v>1.0000000000000002</v>
      </c>
      <c r="K591" s="179">
        <f t="shared" si="381"/>
        <v>0.99999999999999989</v>
      </c>
      <c r="L591" s="179">
        <f t="shared" si="381"/>
        <v>1.0000000000000002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0.99999999999999989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</v>
      </c>
      <c r="I592" s="179">
        <f t="shared" si="381"/>
        <v>0.99999999999999989</v>
      </c>
      <c r="J592" s="179">
        <f t="shared" si="381"/>
        <v>1.0000000000000002</v>
      </c>
      <c r="K592" s="179">
        <f t="shared" si="381"/>
        <v>0.99999999999999989</v>
      </c>
      <c r="L592" s="179">
        <f t="shared" si="381"/>
        <v>1.0000000000000002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0.99999999999999989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</v>
      </c>
      <c r="I593" s="179">
        <f t="shared" si="381"/>
        <v>0.99999999999999989</v>
      </c>
      <c r="J593" s="179">
        <f t="shared" si="381"/>
        <v>1.0000000000000002</v>
      </c>
      <c r="K593" s="179">
        <f t="shared" si="381"/>
        <v>0.99999999999999989</v>
      </c>
      <c r="L593" s="179">
        <f t="shared" si="381"/>
        <v>1.0000000000000002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0.99999999999999989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</v>
      </c>
      <c r="I594" s="179">
        <f t="shared" si="381"/>
        <v>0.99999999999999989</v>
      </c>
      <c r="J594" s="179">
        <f t="shared" si="381"/>
        <v>1.0000000000000002</v>
      </c>
      <c r="K594" s="179">
        <f t="shared" si="381"/>
        <v>0.99999999999999989</v>
      </c>
      <c r="L594" s="179">
        <f t="shared" si="381"/>
        <v>1.0000000000000002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0.99999999999999989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</v>
      </c>
      <c r="I595" s="179">
        <f t="shared" si="381"/>
        <v>0.99999999999999989</v>
      </c>
      <c r="J595" s="179">
        <f t="shared" si="381"/>
        <v>1.0000000000000002</v>
      </c>
      <c r="K595" s="179">
        <f t="shared" si="381"/>
        <v>0.99999999999999989</v>
      </c>
      <c r="L595" s="179">
        <f t="shared" si="381"/>
        <v>1.0000000000000002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0.99999999999999989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</v>
      </c>
      <c r="I596" s="179">
        <f t="shared" si="381"/>
        <v>0.99999999999999989</v>
      </c>
      <c r="J596" s="179">
        <f t="shared" si="381"/>
        <v>1.0000000000000002</v>
      </c>
      <c r="K596" s="179">
        <f t="shared" si="381"/>
        <v>0.99999999999999989</v>
      </c>
      <c r="L596" s="179">
        <f t="shared" si="381"/>
        <v>1.0000000000000002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0.99999999999999989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</v>
      </c>
      <c r="I597" s="179">
        <f t="shared" si="381"/>
        <v>0.99999999999999989</v>
      </c>
      <c r="J597" s="179">
        <f t="shared" si="381"/>
        <v>1.0000000000000002</v>
      </c>
      <c r="K597" s="179">
        <f t="shared" si="381"/>
        <v>0.99999999999999989</v>
      </c>
      <c r="L597" s="179">
        <f t="shared" si="381"/>
        <v>1.0000000000000002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0.99999999999999989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</v>
      </c>
      <c r="I598" s="179">
        <f t="shared" si="381"/>
        <v>0.99999999999999989</v>
      </c>
      <c r="J598" s="179">
        <f t="shared" si="381"/>
        <v>1.0000000000000002</v>
      </c>
      <c r="K598" s="179">
        <f t="shared" si="381"/>
        <v>0.99999999999999989</v>
      </c>
      <c r="L598" s="179">
        <f t="shared" si="381"/>
        <v>1.0000000000000002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0.99999999999999989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</v>
      </c>
      <c r="I599" s="179">
        <f t="shared" si="381"/>
        <v>0.99999999999999989</v>
      </c>
      <c r="J599" s="179">
        <f t="shared" si="381"/>
        <v>1.0000000000000002</v>
      </c>
      <c r="K599" s="179">
        <f t="shared" si="381"/>
        <v>0.99999999999999989</v>
      </c>
      <c r="L599" s="179">
        <f t="shared" si="381"/>
        <v>1.0000000000000002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0.99999999999999989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</v>
      </c>
      <c r="I600" s="179">
        <f t="shared" si="389"/>
        <v>0.99999999999999989</v>
      </c>
      <c r="J600" s="179">
        <f t="shared" si="389"/>
        <v>1.0000000000000002</v>
      </c>
      <c r="K600" s="179">
        <f t="shared" si="389"/>
        <v>0.99999999999999989</v>
      </c>
      <c r="L600" s="179">
        <f t="shared" si="389"/>
        <v>1.0000000000000002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0.99999999999999989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</v>
      </c>
      <c r="I601" s="179">
        <f t="shared" si="389"/>
        <v>0.99999999999999989</v>
      </c>
      <c r="J601" s="179">
        <f t="shared" si="389"/>
        <v>1.0000000000000002</v>
      </c>
      <c r="K601" s="179">
        <f t="shared" si="389"/>
        <v>0.99999999999999989</v>
      </c>
      <c r="L601" s="179">
        <f t="shared" si="389"/>
        <v>1.0000000000000002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0.99999999999999989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</v>
      </c>
      <c r="I602" s="179">
        <f t="shared" si="389"/>
        <v>0.99999999999999989</v>
      </c>
      <c r="J602" s="179">
        <f t="shared" si="389"/>
        <v>1.0000000000000002</v>
      </c>
      <c r="K602" s="179">
        <f t="shared" si="389"/>
        <v>0.99999999999999989</v>
      </c>
      <c r="L602" s="179">
        <f t="shared" si="389"/>
        <v>1.0000000000000002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0.99999999999999989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</v>
      </c>
      <c r="I603" s="179">
        <f t="shared" si="389"/>
        <v>0.99999999999999989</v>
      </c>
      <c r="J603" s="179">
        <f t="shared" si="389"/>
        <v>1.0000000000000002</v>
      </c>
      <c r="K603" s="179">
        <f t="shared" si="389"/>
        <v>0.99999999999999989</v>
      </c>
      <c r="L603" s="179">
        <f t="shared" si="389"/>
        <v>1.0000000000000002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0.99999999999999989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</v>
      </c>
      <c r="I604" s="179">
        <f t="shared" si="389"/>
        <v>0.99999999999999989</v>
      </c>
      <c r="J604" s="179">
        <f t="shared" si="389"/>
        <v>1.0000000000000002</v>
      </c>
      <c r="K604" s="179">
        <f t="shared" si="389"/>
        <v>0.99999999999999989</v>
      </c>
      <c r="L604" s="179">
        <f t="shared" si="389"/>
        <v>1.0000000000000002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0.99999999999999989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</v>
      </c>
      <c r="I605" s="179">
        <f t="shared" si="389"/>
        <v>0.99999999999999989</v>
      </c>
      <c r="J605" s="179">
        <f t="shared" si="389"/>
        <v>1.0000000000000002</v>
      </c>
      <c r="K605" s="179">
        <f t="shared" si="389"/>
        <v>0.99999999999999989</v>
      </c>
      <c r="L605" s="179">
        <f t="shared" si="389"/>
        <v>1.0000000000000002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0.99999999999999989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</v>
      </c>
      <c r="I606" s="179">
        <f t="shared" si="389"/>
        <v>0.99999999999999989</v>
      </c>
      <c r="J606" s="179">
        <f t="shared" si="389"/>
        <v>1.0000000000000002</v>
      </c>
      <c r="K606" s="179">
        <f t="shared" si="389"/>
        <v>0.99999999999999989</v>
      </c>
      <c r="L606" s="179">
        <f t="shared" si="389"/>
        <v>1.0000000000000002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0.99999999999999989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</v>
      </c>
      <c r="I607" s="179">
        <f t="shared" si="389"/>
        <v>0.99999999999999989</v>
      </c>
      <c r="J607" s="179">
        <f t="shared" si="389"/>
        <v>1.0000000000000002</v>
      </c>
      <c r="K607" s="179">
        <f t="shared" si="389"/>
        <v>0.99999999999999989</v>
      </c>
      <c r="L607" s="179">
        <f t="shared" si="389"/>
        <v>1.0000000000000002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0.99999999999999989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</v>
      </c>
      <c r="I608" s="179">
        <f t="shared" si="389"/>
        <v>0.99999999999999989</v>
      </c>
      <c r="J608" s="179">
        <f t="shared" si="389"/>
        <v>1.0000000000000002</v>
      </c>
      <c r="K608" s="179">
        <f t="shared" si="389"/>
        <v>0.99999999999999989</v>
      </c>
      <c r="L608" s="179">
        <f t="shared" si="389"/>
        <v>1.0000000000000002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0.99999999999999989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</v>
      </c>
      <c r="I609" s="179">
        <f t="shared" si="389"/>
        <v>0.99999999999999989</v>
      </c>
      <c r="J609" s="179">
        <f t="shared" si="389"/>
        <v>1.0000000000000002</v>
      </c>
      <c r="K609" s="179">
        <f t="shared" si="389"/>
        <v>0.99999999999999989</v>
      </c>
      <c r="L609" s="179">
        <f t="shared" si="389"/>
        <v>1.0000000000000002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0.99999999999999989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</v>
      </c>
      <c r="I610" s="179">
        <f t="shared" si="389"/>
        <v>0.99999999999999989</v>
      </c>
      <c r="J610" s="179">
        <f t="shared" si="389"/>
        <v>1.0000000000000002</v>
      </c>
      <c r="K610" s="179">
        <f t="shared" si="389"/>
        <v>0.99999999999999989</v>
      </c>
      <c r="L610" s="179">
        <f t="shared" si="389"/>
        <v>1.0000000000000002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0.99999999999999989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</v>
      </c>
      <c r="I611" s="179">
        <f t="shared" si="389"/>
        <v>0.99999999999999989</v>
      </c>
      <c r="J611" s="179">
        <f t="shared" si="389"/>
        <v>1.0000000000000002</v>
      </c>
      <c r="K611" s="179">
        <f t="shared" si="389"/>
        <v>0.99999999999999989</v>
      </c>
      <c r="L611" s="179">
        <f t="shared" si="389"/>
        <v>1.0000000000000002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0.99999999999999989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</v>
      </c>
      <c r="I612" s="179">
        <f t="shared" si="389"/>
        <v>0.99999999999999989</v>
      </c>
      <c r="J612" s="179">
        <f t="shared" si="389"/>
        <v>1.0000000000000002</v>
      </c>
      <c r="K612" s="179">
        <f t="shared" si="389"/>
        <v>0.99999999999999989</v>
      </c>
      <c r="L612" s="179">
        <f t="shared" si="389"/>
        <v>1.0000000000000002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0.99999999999999989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</v>
      </c>
      <c r="I613" s="179">
        <f t="shared" si="389"/>
        <v>0.99999999999999989</v>
      </c>
      <c r="J613" s="179">
        <f t="shared" si="389"/>
        <v>1.0000000000000002</v>
      </c>
      <c r="K613" s="179">
        <f t="shared" si="389"/>
        <v>0.99999999999999989</v>
      </c>
      <c r="L613" s="179">
        <f t="shared" si="389"/>
        <v>1.0000000000000002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0.99999999999999989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</v>
      </c>
      <c r="I614" s="179">
        <f t="shared" si="389"/>
        <v>0.99999999999999989</v>
      </c>
      <c r="J614" s="179">
        <f t="shared" si="389"/>
        <v>1.0000000000000002</v>
      </c>
      <c r="K614" s="179">
        <f t="shared" si="389"/>
        <v>0.99999999999999989</v>
      </c>
      <c r="L614" s="179">
        <f t="shared" si="389"/>
        <v>1.0000000000000002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0.99999999999999989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</v>
      </c>
      <c r="I615" s="179">
        <f t="shared" si="389"/>
        <v>0.99999999999999989</v>
      </c>
      <c r="J615" s="179">
        <f t="shared" si="389"/>
        <v>1.0000000000000002</v>
      </c>
      <c r="K615" s="179">
        <f t="shared" si="389"/>
        <v>0.99999999999999989</v>
      </c>
      <c r="L615" s="179">
        <f t="shared" si="389"/>
        <v>1.0000000000000002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0.99999999999999989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</v>
      </c>
      <c r="I616" s="179">
        <f t="shared" si="398"/>
        <v>0.99999999999999989</v>
      </c>
      <c r="J616" s="179">
        <f t="shared" si="398"/>
        <v>1.0000000000000002</v>
      </c>
      <c r="K616" s="179">
        <f t="shared" si="398"/>
        <v>0.99999999999999989</v>
      </c>
      <c r="L616" s="179">
        <f t="shared" si="398"/>
        <v>1.0000000000000002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0.99999999999999989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</v>
      </c>
      <c r="I617" s="179">
        <f t="shared" si="398"/>
        <v>0.99999999999999989</v>
      </c>
      <c r="J617" s="179">
        <f t="shared" si="398"/>
        <v>1.0000000000000002</v>
      </c>
      <c r="K617" s="179">
        <f t="shared" si="398"/>
        <v>0.99999999999999989</v>
      </c>
      <c r="L617" s="179">
        <f t="shared" si="398"/>
        <v>1.0000000000000002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0.99999999999999989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</v>
      </c>
      <c r="I618" s="179">
        <f t="shared" si="398"/>
        <v>0.99999999999999989</v>
      </c>
      <c r="J618" s="179">
        <f t="shared" si="398"/>
        <v>1.0000000000000002</v>
      </c>
      <c r="K618" s="179">
        <f t="shared" si="398"/>
        <v>0.99999999999999989</v>
      </c>
      <c r="L618" s="179">
        <f t="shared" si="398"/>
        <v>1.0000000000000002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0.99999999999999989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</v>
      </c>
      <c r="I619" s="179">
        <f t="shared" si="398"/>
        <v>0.99999999999999989</v>
      </c>
      <c r="J619" s="179">
        <f t="shared" si="398"/>
        <v>1.0000000000000002</v>
      </c>
      <c r="K619" s="179">
        <f t="shared" si="398"/>
        <v>0.99999999999999989</v>
      </c>
      <c r="L619" s="179">
        <f t="shared" si="398"/>
        <v>1.0000000000000002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0.99999999999999989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</v>
      </c>
      <c r="I620" s="179">
        <f t="shared" si="398"/>
        <v>0.99999999999999989</v>
      </c>
      <c r="J620" s="179">
        <f t="shared" si="398"/>
        <v>1.0000000000000002</v>
      </c>
      <c r="K620" s="179">
        <f t="shared" si="398"/>
        <v>0.99999999999999989</v>
      </c>
      <c r="L620" s="179">
        <f t="shared" si="398"/>
        <v>1.0000000000000002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0.99999999999999989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</v>
      </c>
      <c r="I621" s="179">
        <f t="shared" si="398"/>
        <v>0.99999999999999989</v>
      </c>
      <c r="J621" s="179">
        <f t="shared" si="398"/>
        <v>1.0000000000000002</v>
      </c>
      <c r="K621" s="179">
        <f t="shared" si="398"/>
        <v>0.99999999999999989</v>
      </c>
      <c r="L621" s="179">
        <f t="shared" si="398"/>
        <v>1.0000000000000002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0.99999999999999989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</v>
      </c>
      <c r="I622" s="179">
        <f t="shared" si="398"/>
        <v>0.99999999999999989</v>
      </c>
      <c r="J622" s="179">
        <f t="shared" si="398"/>
        <v>1.0000000000000002</v>
      </c>
      <c r="K622" s="179">
        <f t="shared" si="398"/>
        <v>0.99999999999999989</v>
      </c>
      <c r="L622" s="179">
        <f t="shared" si="398"/>
        <v>1.0000000000000002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0.99999999999999989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</v>
      </c>
      <c r="I623" s="179">
        <f t="shared" si="398"/>
        <v>0.99999999999999989</v>
      </c>
      <c r="J623" s="179">
        <f t="shared" si="398"/>
        <v>1.0000000000000002</v>
      </c>
      <c r="K623" s="179">
        <f t="shared" si="398"/>
        <v>0.99999999999999989</v>
      </c>
      <c r="L623" s="179">
        <f t="shared" si="398"/>
        <v>1.0000000000000002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0.99999999999999989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</v>
      </c>
      <c r="I624" s="179">
        <f t="shared" si="398"/>
        <v>0.99999999999999989</v>
      </c>
      <c r="J624" s="179">
        <f t="shared" si="398"/>
        <v>1.0000000000000002</v>
      </c>
      <c r="K624" s="179">
        <f t="shared" si="398"/>
        <v>0.99999999999999989</v>
      </c>
      <c r="L624" s="179">
        <f t="shared" si="398"/>
        <v>1.0000000000000002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0.99999999999999989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</v>
      </c>
      <c r="I625" s="179">
        <f t="shared" si="398"/>
        <v>0.99999999999999989</v>
      </c>
      <c r="J625" s="179">
        <f t="shared" si="398"/>
        <v>1.0000000000000002</v>
      </c>
      <c r="K625" s="179">
        <f t="shared" si="398"/>
        <v>0.99999999999999989</v>
      </c>
      <c r="L625" s="179">
        <f t="shared" si="398"/>
        <v>1.0000000000000002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0.99999999999999989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</v>
      </c>
      <c r="I626" s="179">
        <f t="shared" si="398"/>
        <v>0.99999999999999989</v>
      </c>
      <c r="J626" s="179">
        <f t="shared" si="398"/>
        <v>1.0000000000000002</v>
      </c>
      <c r="K626" s="179">
        <f t="shared" si="398"/>
        <v>0.99999999999999989</v>
      </c>
      <c r="L626" s="179">
        <f t="shared" si="398"/>
        <v>1.0000000000000002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0.99999999999999989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</v>
      </c>
      <c r="I627" s="179">
        <f t="shared" si="398"/>
        <v>0.99999999999999989</v>
      </c>
      <c r="J627" s="179">
        <f t="shared" si="398"/>
        <v>1.0000000000000002</v>
      </c>
      <c r="K627" s="179">
        <f t="shared" si="398"/>
        <v>0.99999999999999989</v>
      </c>
      <c r="L627" s="179">
        <f t="shared" si="398"/>
        <v>1.0000000000000002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0.99999999999999989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</v>
      </c>
      <c r="I628" s="179">
        <f t="shared" si="398"/>
        <v>0.99999999999999989</v>
      </c>
      <c r="J628" s="179">
        <f t="shared" si="398"/>
        <v>1.0000000000000002</v>
      </c>
      <c r="K628" s="179">
        <f t="shared" si="398"/>
        <v>0.99999999999999989</v>
      </c>
      <c r="L628" s="179">
        <f t="shared" si="398"/>
        <v>1.0000000000000002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0.99999999999999989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</v>
      </c>
      <c r="I629" s="179">
        <f t="shared" si="398"/>
        <v>0.99999999999999989</v>
      </c>
      <c r="J629" s="179">
        <f t="shared" si="398"/>
        <v>1.0000000000000002</v>
      </c>
      <c r="K629" s="179">
        <f t="shared" si="398"/>
        <v>0.99999999999999989</v>
      </c>
      <c r="L629" s="179">
        <f t="shared" si="398"/>
        <v>1.0000000000000002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0.99999999999999989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</v>
      </c>
      <c r="I630" s="179">
        <f t="shared" si="398"/>
        <v>0.99999999999999989</v>
      </c>
      <c r="J630" s="179">
        <f t="shared" si="398"/>
        <v>1.0000000000000002</v>
      </c>
      <c r="K630" s="179">
        <f t="shared" si="398"/>
        <v>0.99999999999999989</v>
      </c>
      <c r="L630" s="179">
        <f t="shared" si="398"/>
        <v>1.0000000000000002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0.99999999999999989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</v>
      </c>
      <c r="I631" s="179">
        <f t="shared" si="398"/>
        <v>0.99999999999999989</v>
      </c>
      <c r="J631" s="179">
        <f t="shared" si="398"/>
        <v>1.0000000000000002</v>
      </c>
      <c r="K631" s="179">
        <f t="shared" si="398"/>
        <v>0.99999999999999989</v>
      </c>
      <c r="L631" s="179">
        <f t="shared" si="398"/>
        <v>1.0000000000000002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0.99999999999999989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</v>
      </c>
      <c r="I632" s="179">
        <f t="shared" si="407"/>
        <v>0.99999999999999989</v>
      </c>
      <c r="J632" s="179">
        <f t="shared" si="407"/>
        <v>1.0000000000000002</v>
      </c>
      <c r="K632" s="179">
        <f t="shared" si="407"/>
        <v>0.99999999999999989</v>
      </c>
      <c r="L632" s="179">
        <f t="shared" si="407"/>
        <v>1.0000000000000002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0.99999999999999989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</v>
      </c>
      <c r="I633" s="179">
        <f t="shared" si="407"/>
        <v>0.99999999999999989</v>
      </c>
      <c r="J633" s="179">
        <f t="shared" si="407"/>
        <v>1.0000000000000002</v>
      </c>
      <c r="K633" s="179">
        <f t="shared" si="407"/>
        <v>0.99999999999999989</v>
      </c>
      <c r="L633" s="179">
        <f t="shared" si="407"/>
        <v>1.0000000000000002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0.99999999999999989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</v>
      </c>
      <c r="I634" s="179">
        <f t="shared" si="407"/>
        <v>0.99999999999999989</v>
      </c>
      <c r="J634" s="179">
        <f t="shared" si="407"/>
        <v>1.0000000000000002</v>
      </c>
      <c r="K634" s="179">
        <f t="shared" si="407"/>
        <v>0.99999999999999989</v>
      </c>
      <c r="L634" s="179">
        <f t="shared" si="407"/>
        <v>1.0000000000000002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0.99999999999999989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</v>
      </c>
      <c r="I635" s="179">
        <f t="shared" si="407"/>
        <v>0.99999999999999989</v>
      </c>
      <c r="J635" s="179">
        <f t="shared" si="407"/>
        <v>1.0000000000000002</v>
      </c>
      <c r="K635" s="179">
        <f t="shared" si="407"/>
        <v>0.99999999999999989</v>
      </c>
      <c r="L635" s="179">
        <f t="shared" si="407"/>
        <v>1.0000000000000002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0.99999999999999989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</v>
      </c>
      <c r="I636" s="179">
        <f t="shared" si="407"/>
        <v>0.99999999999999989</v>
      </c>
      <c r="J636" s="179">
        <f t="shared" si="407"/>
        <v>1.0000000000000002</v>
      </c>
      <c r="K636" s="179">
        <f t="shared" si="407"/>
        <v>0.99999999999999989</v>
      </c>
      <c r="L636" s="179">
        <f t="shared" si="407"/>
        <v>1.0000000000000002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0.99999999999999989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</v>
      </c>
      <c r="I637" s="179">
        <f t="shared" si="407"/>
        <v>0.99999999999999989</v>
      </c>
      <c r="J637" s="179">
        <f t="shared" si="407"/>
        <v>1.0000000000000002</v>
      </c>
      <c r="K637" s="179">
        <f t="shared" si="407"/>
        <v>0.99999999999999989</v>
      </c>
      <c r="L637" s="179">
        <f t="shared" si="407"/>
        <v>1.0000000000000002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0.99999999999999989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</v>
      </c>
      <c r="I638" s="179">
        <f t="shared" si="407"/>
        <v>0.99999999999999989</v>
      </c>
      <c r="J638" s="179">
        <f t="shared" si="407"/>
        <v>1.0000000000000002</v>
      </c>
      <c r="K638" s="179">
        <f t="shared" si="407"/>
        <v>0.99999999999999989</v>
      </c>
      <c r="L638" s="179">
        <f t="shared" si="407"/>
        <v>1.0000000000000002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0.99999999999999989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</v>
      </c>
      <c r="I639" s="179">
        <f t="shared" si="407"/>
        <v>0.99999999999999989</v>
      </c>
      <c r="J639" s="179">
        <f t="shared" si="407"/>
        <v>1.0000000000000002</v>
      </c>
      <c r="K639" s="179">
        <f t="shared" si="407"/>
        <v>0.99999999999999989</v>
      </c>
      <c r="L639" s="179">
        <f t="shared" si="407"/>
        <v>1.0000000000000002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0.99999999999999989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</v>
      </c>
      <c r="I640" s="179">
        <f t="shared" si="407"/>
        <v>0.99999999999999989</v>
      </c>
      <c r="J640" s="179">
        <f t="shared" si="407"/>
        <v>1.0000000000000002</v>
      </c>
      <c r="K640" s="179">
        <f t="shared" si="407"/>
        <v>0.99999999999999989</v>
      </c>
      <c r="L640" s="179">
        <f t="shared" si="407"/>
        <v>1.0000000000000002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0.99999999999999989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</v>
      </c>
      <c r="I641" s="179">
        <f t="shared" si="407"/>
        <v>0.99999999999999989</v>
      </c>
      <c r="J641" s="179">
        <f t="shared" si="407"/>
        <v>1.0000000000000002</v>
      </c>
      <c r="K641" s="179">
        <f t="shared" si="407"/>
        <v>0.99999999999999989</v>
      </c>
      <c r="L641" s="179">
        <f t="shared" si="407"/>
        <v>1.0000000000000002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0.99999999999999989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</v>
      </c>
      <c r="I642" s="179">
        <f t="shared" si="407"/>
        <v>0.99999999999999989</v>
      </c>
      <c r="J642" s="179">
        <f t="shared" si="407"/>
        <v>1.0000000000000002</v>
      </c>
      <c r="K642" s="179">
        <f t="shared" si="407"/>
        <v>0.99999999999999989</v>
      </c>
      <c r="L642" s="179">
        <f t="shared" si="407"/>
        <v>1.0000000000000002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0.99999999999999989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</v>
      </c>
      <c r="I643" s="179">
        <f t="shared" si="407"/>
        <v>0.99999999999999989</v>
      </c>
      <c r="J643" s="179">
        <f t="shared" si="407"/>
        <v>1.0000000000000002</v>
      </c>
      <c r="K643" s="179">
        <f t="shared" si="407"/>
        <v>0.99999999999999989</v>
      </c>
      <c r="L643" s="179">
        <f t="shared" si="407"/>
        <v>1.0000000000000002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0.99999999999999989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</v>
      </c>
      <c r="I644" s="179">
        <f t="shared" si="407"/>
        <v>0.99999999999999989</v>
      </c>
      <c r="J644" s="179">
        <f t="shared" si="407"/>
        <v>1.0000000000000002</v>
      </c>
      <c r="K644" s="179">
        <f t="shared" si="407"/>
        <v>0.99999999999999989</v>
      </c>
      <c r="L644" s="179">
        <f t="shared" si="407"/>
        <v>1.0000000000000002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0.99999999999999989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</v>
      </c>
      <c r="I645" s="179">
        <f t="shared" si="407"/>
        <v>0.99999999999999989</v>
      </c>
      <c r="J645" s="179">
        <f t="shared" si="407"/>
        <v>1.0000000000000002</v>
      </c>
      <c r="K645" s="179">
        <f t="shared" si="407"/>
        <v>0.99999999999999989</v>
      </c>
      <c r="L645" s="179">
        <f t="shared" si="407"/>
        <v>1.0000000000000002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0.99999999999999989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</v>
      </c>
      <c r="I646" s="179">
        <f t="shared" si="407"/>
        <v>0.99999999999999989</v>
      </c>
      <c r="J646" s="179">
        <f t="shared" si="407"/>
        <v>1.0000000000000002</v>
      </c>
      <c r="K646" s="179">
        <f t="shared" si="407"/>
        <v>0.99999999999999989</v>
      </c>
      <c r="L646" s="179">
        <f t="shared" si="407"/>
        <v>1.0000000000000002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0.99999999999999989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</v>
      </c>
      <c r="I647" s="179">
        <f t="shared" si="407"/>
        <v>0.99999999999999989</v>
      </c>
      <c r="J647" s="179">
        <f t="shared" si="407"/>
        <v>1.0000000000000002</v>
      </c>
      <c r="K647" s="179">
        <f t="shared" si="407"/>
        <v>0.99999999999999989</v>
      </c>
      <c r="L647" s="179">
        <f t="shared" si="407"/>
        <v>1.0000000000000002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0.99999999999999989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</v>
      </c>
      <c r="I648" s="179">
        <f t="shared" si="416"/>
        <v>0.99999999999999989</v>
      </c>
      <c r="J648" s="179">
        <f t="shared" si="416"/>
        <v>1.0000000000000002</v>
      </c>
      <c r="K648" s="179">
        <f t="shared" si="416"/>
        <v>0.99999999999999989</v>
      </c>
      <c r="L648" s="179">
        <f t="shared" si="416"/>
        <v>1.0000000000000002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0.99999999999999989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</v>
      </c>
      <c r="I649" s="179">
        <f t="shared" si="416"/>
        <v>0.99999999999999989</v>
      </c>
      <c r="J649" s="179">
        <f t="shared" si="416"/>
        <v>1.0000000000000002</v>
      </c>
      <c r="K649" s="179">
        <f t="shared" si="416"/>
        <v>0.99999999999999989</v>
      </c>
      <c r="L649" s="179">
        <f t="shared" si="416"/>
        <v>1.0000000000000002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0.99999999999999989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</v>
      </c>
      <c r="I650" s="179">
        <f t="shared" si="416"/>
        <v>0.99999999999999989</v>
      </c>
      <c r="J650" s="179">
        <f t="shared" si="416"/>
        <v>1.0000000000000002</v>
      </c>
      <c r="K650" s="179">
        <f t="shared" si="416"/>
        <v>0.99999999999999989</v>
      </c>
      <c r="L650" s="179">
        <f t="shared" si="416"/>
        <v>1.0000000000000002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0.99999999999999989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</v>
      </c>
      <c r="I651" s="179">
        <f t="shared" si="416"/>
        <v>0.99999999999999989</v>
      </c>
      <c r="J651" s="179">
        <f t="shared" si="416"/>
        <v>1.0000000000000002</v>
      </c>
      <c r="K651" s="179">
        <f t="shared" si="416"/>
        <v>0.99999999999999989</v>
      </c>
      <c r="L651" s="179">
        <f t="shared" si="416"/>
        <v>1.0000000000000002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0.99999999999999989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</v>
      </c>
      <c r="I652" s="179">
        <f t="shared" si="416"/>
        <v>0.99999999999999989</v>
      </c>
      <c r="J652" s="179">
        <f t="shared" si="416"/>
        <v>1.0000000000000002</v>
      </c>
      <c r="K652" s="179">
        <f t="shared" si="416"/>
        <v>0.99999999999999989</v>
      </c>
      <c r="L652" s="179">
        <f t="shared" si="416"/>
        <v>1.0000000000000002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0.99999999999999989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</v>
      </c>
      <c r="I653" s="179">
        <f t="shared" si="416"/>
        <v>0.99999999999999989</v>
      </c>
      <c r="J653" s="179">
        <f t="shared" si="416"/>
        <v>1.0000000000000002</v>
      </c>
      <c r="K653" s="179">
        <f t="shared" si="416"/>
        <v>0.99999999999999989</v>
      </c>
      <c r="L653" s="179">
        <f t="shared" si="416"/>
        <v>1.0000000000000002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0.99999999999999989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</v>
      </c>
      <c r="I654" s="179">
        <f t="shared" si="416"/>
        <v>0.99999999999999989</v>
      </c>
      <c r="J654" s="179">
        <f t="shared" si="416"/>
        <v>1.0000000000000002</v>
      </c>
      <c r="K654" s="179">
        <f t="shared" si="416"/>
        <v>0.99999999999999989</v>
      </c>
      <c r="L654" s="179">
        <f t="shared" si="416"/>
        <v>1.0000000000000002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0.99999999999999989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</v>
      </c>
      <c r="I655" s="179">
        <f t="shared" si="416"/>
        <v>0.99999999999999989</v>
      </c>
      <c r="J655" s="179">
        <f t="shared" si="416"/>
        <v>1.0000000000000002</v>
      </c>
      <c r="K655" s="179">
        <f t="shared" si="416"/>
        <v>0.99999999999999989</v>
      </c>
      <c r="L655" s="179">
        <f t="shared" si="416"/>
        <v>1.0000000000000002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0.99999999999999989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</v>
      </c>
      <c r="I656" s="179">
        <f t="shared" si="416"/>
        <v>0.99999999999999989</v>
      </c>
      <c r="J656" s="179">
        <f t="shared" si="416"/>
        <v>1.0000000000000002</v>
      </c>
      <c r="K656" s="179">
        <f t="shared" si="416"/>
        <v>0.99999999999999989</v>
      </c>
      <c r="L656" s="179">
        <f t="shared" si="416"/>
        <v>1.0000000000000002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0.99999999999999989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</v>
      </c>
      <c r="I657" s="179">
        <f t="shared" si="416"/>
        <v>0.99999999999999989</v>
      </c>
      <c r="J657" s="179">
        <f t="shared" si="416"/>
        <v>1.0000000000000002</v>
      </c>
      <c r="K657" s="179">
        <f t="shared" si="416"/>
        <v>0.99999999999999989</v>
      </c>
      <c r="L657" s="179">
        <f t="shared" si="416"/>
        <v>1.0000000000000002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0.99999999999999989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</v>
      </c>
      <c r="I658" s="179">
        <f t="shared" si="416"/>
        <v>0.99999999999999989</v>
      </c>
      <c r="J658" s="179">
        <f t="shared" si="416"/>
        <v>1.0000000000000002</v>
      </c>
      <c r="K658" s="179">
        <f t="shared" si="416"/>
        <v>0.99999999999999989</v>
      </c>
      <c r="L658" s="179">
        <f t="shared" si="416"/>
        <v>1.0000000000000002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0.99999999999999989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</v>
      </c>
      <c r="I659" s="179">
        <f t="shared" si="416"/>
        <v>0.99999999999999989</v>
      </c>
      <c r="J659" s="179">
        <f t="shared" si="416"/>
        <v>1.0000000000000002</v>
      </c>
      <c r="K659" s="179">
        <f t="shared" si="416"/>
        <v>0.99999999999999989</v>
      </c>
      <c r="L659" s="179">
        <f t="shared" si="416"/>
        <v>1.0000000000000002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0.99999999999999989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</v>
      </c>
      <c r="I660" s="179">
        <f t="shared" si="416"/>
        <v>0.99999999999999989</v>
      </c>
      <c r="J660" s="179">
        <f t="shared" si="416"/>
        <v>1.0000000000000002</v>
      </c>
      <c r="K660" s="179">
        <f t="shared" si="416"/>
        <v>0.99999999999999989</v>
      </c>
      <c r="L660" s="179">
        <f t="shared" si="416"/>
        <v>1.0000000000000002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0.99999999999999989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</v>
      </c>
      <c r="I661" s="179">
        <f t="shared" si="416"/>
        <v>0.99999999999999989</v>
      </c>
      <c r="J661" s="179">
        <f t="shared" si="416"/>
        <v>1.0000000000000002</v>
      </c>
      <c r="K661" s="179">
        <f t="shared" si="416"/>
        <v>0.99999999999999989</v>
      </c>
      <c r="L661" s="179">
        <f t="shared" si="416"/>
        <v>1.0000000000000002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0.99999999999999989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</v>
      </c>
      <c r="I662" s="179">
        <f t="shared" si="416"/>
        <v>0.99999999999999989</v>
      </c>
      <c r="J662" s="179">
        <f t="shared" si="416"/>
        <v>1.0000000000000002</v>
      </c>
      <c r="K662" s="179">
        <f t="shared" si="416"/>
        <v>0.99999999999999989</v>
      </c>
      <c r="L662" s="179">
        <f t="shared" si="416"/>
        <v>1.0000000000000002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0.99999999999999989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</v>
      </c>
      <c r="I663" s="179">
        <f t="shared" si="416"/>
        <v>0.99999999999999989</v>
      </c>
      <c r="J663" s="179">
        <f t="shared" si="416"/>
        <v>1.0000000000000002</v>
      </c>
      <c r="K663" s="179">
        <f t="shared" si="416"/>
        <v>0.99999999999999989</v>
      </c>
      <c r="L663" s="179">
        <f t="shared" si="416"/>
        <v>1.0000000000000002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0.99999999999999989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</v>
      </c>
      <c r="I664" s="179">
        <f t="shared" si="426"/>
        <v>0.99999999999999989</v>
      </c>
      <c r="J664" s="179">
        <f t="shared" si="426"/>
        <v>1.0000000000000002</v>
      </c>
      <c r="K664" s="179">
        <f t="shared" si="426"/>
        <v>0.99999999999999989</v>
      </c>
      <c r="L664" s="179">
        <f t="shared" si="426"/>
        <v>1.0000000000000002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0.99999999999999989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</v>
      </c>
      <c r="I665" s="179">
        <f t="shared" si="426"/>
        <v>0.99999999999999989</v>
      </c>
      <c r="J665" s="179">
        <f t="shared" si="426"/>
        <v>1.0000000000000002</v>
      </c>
      <c r="K665" s="179">
        <f t="shared" si="426"/>
        <v>0.99999999999999989</v>
      </c>
      <c r="L665" s="179">
        <f t="shared" si="426"/>
        <v>1.0000000000000002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0.99999999999999989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</v>
      </c>
      <c r="I666" s="179">
        <f t="shared" si="426"/>
        <v>0.99999999999999989</v>
      </c>
      <c r="J666" s="179">
        <f t="shared" si="426"/>
        <v>1.0000000000000002</v>
      </c>
      <c r="K666" s="179">
        <f t="shared" si="426"/>
        <v>0.99999999999999989</v>
      </c>
      <c r="L666" s="179">
        <f t="shared" si="426"/>
        <v>1.0000000000000002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0.99999999999999989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</v>
      </c>
      <c r="I667" s="179">
        <f t="shared" si="426"/>
        <v>0.99999999999999989</v>
      </c>
      <c r="J667" s="179">
        <f t="shared" si="426"/>
        <v>1.0000000000000002</v>
      </c>
      <c r="K667" s="179">
        <f t="shared" si="426"/>
        <v>0.99999999999999989</v>
      </c>
      <c r="L667" s="179">
        <f t="shared" si="426"/>
        <v>1.0000000000000002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0.99999999999999989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</v>
      </c>
      <c r="I668" s="179">
        <f t="shared" si="426"/>
        <v>0.99999999999999989</v>
      </c>
      <c r="J668" s="179">
        <f t="shared" si="426"/>
        <v>1.0000000000000002</v>
      </c>
      <c r="K668" s="179">
        <f t="shared" si="426"/>
        <v>0.99999999999999989</v>
      </c>
      <c r="L668" s="179">
        <f t="shared" si="426"/>
        <v>1.0000000000000002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0.99999999999999989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</v>
      </c>
      <c r="I669" s="179">
        <f t="shared" si="426"/>
        <v>0.99999999999999989</v>
      </c>
      <c r="J669" s="179">
        <f t="shared" si="426"/>
        <v>1.0000000000000002</v>
      </c>
      <c r="K669" s="179">
        <f t="shared" si="426"/>
        <v>0.99999999999999989</v>
      </c>
      <c r="L669" s="179">
        <f t="shared" si="426"/>
        <v>1.0000000000000002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0.99999999999999989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</v>
      </c>
      <c r="I670" s="179">
        <f t="shared" si="426"/>
        <v>0.99999999999999989</v>
      </c>
      <c r="J670" s="179">
        <f t="shared" si="426"/>
        <v>1.0000000000000002</v>
      </c>
      <c r="K670" s="179">
        <f t="shared" si="426"/>
        <v>0.99999999999999989</v>
      </c>
      <c r="L670" s="179">
        <f t="shared" si="426"/>
        <v>1.0000000000000002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0.99999999999999989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</v>
      </c>
      <c r="I671" s="194">
        <f t="shared" si="426"/>
        <v>0.99999999999999989</v>
      </c>
      <c r="J671" s="194">
        <f t="shared" si="426"/>
        <v>1.0000000000000002</v>
      </c>
      <c r="K671" s="194">
        <f t="shared" si="426"/>
        <v>0.99999999999999989</v>
      </c>
      <c r="L671" s="194">
        <f t="shared" si="426"/>
        <v>1.0000000000000002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0.99999999999999989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3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0.27333760710083471</v>
      </c>
      <c r="G679" s="175">
        <f t="shared" si="428"/>
        <v>0.59080650128342482</v>
      </c>
      <c r="H679" s="175">
        <f t="shared" si="428"/>
        <v>0.77710908180584182</v>
      </c>
      <c r="I679" s="175">
        <f t="shared" si="428"/>
        <v>0.88070403302095157</v>
      </c>
      <c r="J679" s="175">
        <f t="shared" si="428"/>
        <v>0.93996622999299051</v>
      </c>
      <c r="K679" s="175">
        <f t="shared" si="428"/>
        <v>0.96970092019824294</v>
      </c>
      <c r="L679" s="175">
        <f t="shared" si="428"/>
        <v>0.98427826399945872</v>
      </c>
      <c r="M679" s="175">
        <f t="shared" si="428"/>
        <v>0.99208677880178653</v>
      </c>
      <c r="N679" s="175">
        <f t="shared" si="428"/>
        <v>0.9961605924205057</v>
      </c>
      <c r="O679" s="175">
        <f t="shared" si="428"/>
        <v>0.99809532355065589</v>
      </c>
      <c r="P679" s="175">
        <f t="shared" si="428"/>
        <v>0.99906041604740092</v>
      </c>
      <c r="Q679" s="175">
        <f t="shared" si="428"/>
        <v>0.99953847695476983</v>
      </c>
      <c r="R679" s="175">
        <f t="shared" si="428"/>
        <v>0.99978308111854242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-0.47492793505902248</v>
      </c>
      <c r="F680" s="179" t="e">
        <f t="shared" si="428"/>
        <v>#DIV/0!</v>
      </c>
      <c r="G680" s="179">
        <f t="shared" si="428"/>
        <v>0.25897101520703431</v>
      </c>
      <c r="H680" s="179">
        <f t="shared" si="428"/>
        <v>0.58237575539600817</v>
      </c>
      <c r="I680" s="179">
        <f t="shared" si="428"/>
        <v>0.77045258489735591</v>
      </c>
      <c r="J680" s="179">
        <f t="shared" si="428"/>
        <v>0.88228923814730797</v>
      </c>
      <c r="K680" s="179">
        <f t="shared" si="428"/>
        <v>0.94001799211998349</v>
      </c>
      <c r="L680" s="179">
        <f t="shared" si="428"/>
        <v>0.9687310898985626</v>
      </c>
      <c r="M680" s="179">
        <f t="shared" si="428"/>
        <v>0.9842182503268907</v>
      </c>
      <c r="N680" s="179">
        <f t="shared" si="428"/>
        <v>0.99233137780207226</v>
      </c>
      <c r="O680" s="179">
        <f t="shared" si="428"/>
        <v>0.99619313629890294</v>
      </c>
      <c r="P680" s="179">
        <f t="shared" si="428"/>
        <v>0.99812142910356882</v>
      </c>
      <c r="Q680" s="179">
        <f t="shared" si="428"/>
        <v>0.99907709387064003</v>
      </c>
      <c r="R680" s="179">
        <f t="shared" si="428"/>
        <v>0.99956619157323312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-0.20428935679295601</v>
      </c>
      <c r="F681" s="179">
        <f t="shared" si="428"/>
        <v>-0.48433360567886069</v>
      </c>
      <c r="G681" s="179" t="e">
        <f t="shared" si="428"/>
        <v>#DIV/0!</v>
      </c>
      <c r="H681" s="179">
        <f t="shared" si="428"/>
        <v>0.25709286359679923</v>
      </c>
      <c r="I681" s="179">
        <f t="shared" si="428"/>
        <v>0.5746961493106777</v>
      </c>
      <c r="J681" s="179">
        <f t="shared" si="428"/>
        <v>0.77486194044970602</v>
      </c>
      <c r="K681" s="179">
        <f t="shared" si="428"/>
        <v>0.88328344996888952</v>
      </c>
      <c r="L681" s="179">
        <f t="shared" si="428"/>
        <v>0.93862453155263703</v>
      </c>
      <c r="M681" s="179">
        <f t="shared" si="428"/>
        <v>0.96885950377246344</v>
      </c>
      <c r="N681" s="179">
        <f t="shared" si="428"/>
        <v>0.98482404320343142</v>
      </c>
      <c r="O681" s="179">
        <f t="shared" si="428"/>
        <v>0.99245638986172058</v>
      </c>
      <c r="P681" s="179">
        <f t="shared" si="428"/>
        <v>0.99627500457615481</v>
      </c>
      <c r="Q681" s="179">
        <f t="shared" si="428"/>
        <v>0.99816938317366388</v>
      </c>
      <c r="R681" s="179">
        <f t="shared" si="428"/>
        <v>0.99913938350815501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-5.6269622897852319E-2</v>
      </c>
      <c r="F682" s="179">
        <f t="shared" si="428"/>
        <v>-0.22179255758357239</v>
      </c>
      <c r="G682" s="179">
        <f t="shared" si="428"/>
        <v>-0.49306461732954693</v>
      </c>
      <c r="H682" s="179" t="e">
        <f t="shared" si="428"/>
        <v>#DIV/0!</v>
      </c>
      <c r="I682" s="179">
        <f t="shared" si="428"/>
        <v>0.24409404083698502</v>
      </c>
      <c r="J682" s="179">
        <f t="shared" si="428"/>
        <v>0.57860713153249299</v>
      </c>
      <c r="K682" s="179">
        <f t="shared" si="428"/>
        <v>0.77502820366263969</v>
      </c>
      <c r="L682" s="179">
        <f t="shared" si="428"/>
        <v>0.8798153271438981</v>
      </c>
      <c r="M682" s="179">
        <f t="shared" si="428"/>
        <v>0.9383986158773332</v>
      </c>
      <c r="N682" s="179">
        <f t="shared" si="428"/>
        <v>0.96980568803512401</v>
      </c>
      <c r="O682" s="179">
        <f t="shared" si="428"/>
        <v>0.98495161468816128</v>
      </c>
      <c r="P682" s="179">
        <f t="shared" si="428"/>
        <v>0.99255936569537018</v>
      </c>
      <c r="Q682" s="179">
        <f t="shared" si="428"/>
        <v>0.99634096480465406</v>
      </c>
      <c r="R682" s="179">
        <f t="shared" si="428"/>
        <v>0.99827922834743588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-1.4772535382309679E-2</v>
      </c>
      <c r="F683" s="179">
        <f t="shared" si="428"/>
        <v>-6.4280903227592778E-2</v>
      </c>
      <c r="G683" s="179">
        <f t="shared" si="428"/>
        <v>-0.25043382329616365</v>
      </c>
      <c r="H683" s="179">
        <f t="shared" si="428"/>
        <v>-0.50137477003265174</v>
      </c>
      <c r="I683" s="179" t="e">
        <f t="shared" si="428"/>
        <v>#DIV/0!</v>
      </c>
      <c r="J683" s="179">
        <f t="shared" si="428"/>
        <v>0.25638406961001342</v>
      </c>
      <c r="K683" s="179">
        <f t="shared" si="428"/>
        <v>0.58462374025711739</v>
      </c>
      <c r="L683" s="179">
        <f t="shared" si="428"/>
        <v>0.77237754979658513</v>
      </c>
      <c r="M683" s="179">
        <f t="shared" si="428"/>
        <v>0.88120182438163863</v>
      </c>
      <c r="N683" s="179">
        <f t="shared" si="428"/>
        <v>0.94114209249302727</v>
      </c>
      <c r="O683" s="179">
        <f t="shared" si="428"/>
        <v>0.97051984689768411</v>
      </c>
      <c r="P683" s="179">
        <f t="shared" si="428"/>
        <v>0.98538672068109956</v>
      </c>
      <c r="Q683" s="179">
        <f t="shared" si="428"/>
        <v>0.99280463295393218</v>
      </c>
      <c r="R683" s="179">
        <f t="shared" si="428"/>
        <v>0.99661398741426788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-3.706843723003758E-3</v>
      </c>
      <c r="F684" s="179">
        <f t="shared" si="428"/>
        <v>-1.6443621946702933E-2</v>
      </c>
      <c r="G684" s="179">
        <f t="shared" si="428"/>
        <v>-7.279860885916857E-2</v>
      </c>
      <c r="H684" s="179">
        <f t="shared" si="428"/>
        <v>-0.27378888698299164</v>
      </c>
      <c r="I684" s="179">
        <f t="shared" si="428"/>
        <v>-0.50549379502896341</v>
      </c>
      <c r="J684" s="179" t="e">
        <f t="shared" si="428"/>
        <v>#DIV/0!</v>
      </c>
      <c r="K684" s="179">
        <f t="shared" si="428"/>
        <v>0.25657115368573491</v>
      </c>
      <c r="L684" s="179">
        <f t="shared" si="428"/>
        <v>0.57609140839121442</v>
      </c>
      <c r="M684" s="179">
        <f t="shared" si="428"/>
        <v>0.77166305215593667</v>
      </c>
      <c r="N684" s="179">
        <f t="shared" si="428"/>
        <v>0.88456320647735476</v>
      </c>
      <c r="O684" s="179">
        <f t="shared" si="428"/>
        <v>0.94162052538274688</v>
      </c>
      <c r="P684" s="179">
        <f t="shared" si="428"/>
        <v>0.97091584102354778</v>
      </c>
      <c r="Q684" s="179">
        <f t="shared" si="428"/>
        <v>0.98564301797403797</v>
      </c>
      <c r="R684" s="179">
        <f t="shared" si="428"/>
        <v>0.99323508930665849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-9.2747455345924996E-4</v>
      </c>
      <c r="F685" s="179">
        <f t="shared" si="428"/>
        <v>-4.1305749012667693E-3</v>
      </c>
      <c r="G685" s="179">
        <f t="shared" si="428"/>
        <v>-1.8748949042718809E-2</v>
      </c>
      <c r="H685" s="179">
        <f t="shared" si="428"/>
        <v>-8.1937890698890264E-2</v>
      </c>
      <c r="I685" s="179">
        <f t="shared" si="428"/>
        <v>-0.28303672240514716</v>
      </c>
      <c r="J685" s="179">
        <f t="shared" si="428"/>
        <v>-0.50170575473779888</v>
      </c>
      <c r="K685" s="179" t="e">
        <f t="shared" si="428"/>
        <v>#DIV/0!</v>
      </c>
      <c r="L685" s="179">
        <f t="shared" si="428"/>
        <v>0.24995564334402218</v>
      </c>
      <c r="M685" s="179">
        <f t="shared" si="428"/>
        <v>0.57506971859660116</v>
      </c>
      <c r="N685" s="179">
        <f t="shared" si="428"/>
        <v>0.77747315354551771</v>
      </c>
      <c r="O685" s="179">
        <f t="shared" si="428"/>
        <v>0.8854580190915553</v>
      </c>
      <c r="P685" s="179">
        <f t="shared" si="428"/>
        <v>0.94238749446484549</v>
      </c>
      <c r="Q685" s="179">
        <f t="shared" si="428"/>
        <v>0.97141929254983839</v>
      </c>
      <c r="R685" s="179">
        <f t="shared" si="428"/>
        <v>0.98649843480704036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-2.3191349168457171E-4</v>
      </c>
      <c r="F686" s="179">
        <f t="shared" si="428"/>
        <v>-1.0337549037608867E-3</v>
      </c>
      <c r="G686" s="179">
        <f t="shared" si="428"/>
        <v>-4.7169960580695112E-3</v>
      </c>
      <c r="H686" s="179">
        <f t="shared" si="428"/>
        <v>-2.1250239244374379E-2</v>
      </c>
      <c r="I686" s="179">
        <f t="shared" si="428"/>
        <v>-8.5829203221272646E-2</v>
      </c>
      <c r="J686" s="179">
        <f t="shared" si="428"/>
        <v>-0.2702160616184846</v>
      </c>
      <c r="K686" s="179">
        <f t="shared" si="428"/>
        <v>-0.50147708126337609</v>
      </c>
      <c r="L686" s="179" t="e">
        <f t="shared" si="428"/>
        <v>#DIV/0!</v>
      </c>
      <c r="M686" s="179">
        <f t="shared" si="428"/>
        <v>0.24917353897860453</v>
      </c>
      <c r="N686" s="179">
        <f t="shared" si="428"/>
        <v>0.58342848988169949</v>
      </c>
      <c r="O686" s="179">
        <f t="shared" si="428"/>
        <v>0.77902707901924051</v>
      </c>
      <c r="P686" s="179">
        <f t="shared" si="428"/>
        <v>0.8868943603415318</v>
      </c>
      <c r="Q686" s="179">
        <f t="shared" si="428"/>
        <v>0.94335802165457283</v>
      </c>
      <c r="R686" s="179">
        <f t="shared" si="428"/>
        <v>0.97310830494295275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-5.7981087350999243E-5</v>
      </c>
      <c r="F687" s="179">
        <f t="shared" si="428"/>
        <v>-2.5850449484179639E-4</v>
      </c>
      <c r="G687" s="179">
        <f t="shared" si="428"/>
        <v>-1.1809539037399663E-3</v>
      </c>
      <c r="H687" s="179">
        <f t="shared" si="428"/>
        <v>-5.3548563108928304E-3</v>
      </c>
      <c r="I687" s="179">
        <f t="shared" si="428"/>
        <v>-2.2337883031528009E-2</v>
      </c>
      <c r="J687" s="179">
        <f t="shared" si="428"/>
        <v>-8.0634076654836406E-2</v>
      </c>
      <c r="K687" s="179">
        <f t="shared" si="428"/>
        <v>-0.26947330025526545</v>
      </c>
      <c r="L687" s="179">
        <f t="shared" si="428"/>
        <v>-0.50990678120329536</v>
      </c>
      <c r="M687" s="179" t="e">
        <f t="shared" si="428"/>
        <v>#DIV/0!</v>
      </c>
      <c r="N687" s="179">
        <f t="shared" si="428"/>
        <v>0.25563528241406541</v>
      </c>
      <c r="O687" s="179">
        <f t="shared" si="428"/>
        <v>0.58568380267538989</v>
      </c>
      <c r="P687" s="179">
        <f t="shared" si="428"/>
        <v>0.78152783749507615</v>
      </c>
      <c r="Q687" s="179">
        <f t="shared" si="428"/>
        <v>0.88869150334425784</v>
      </c>
      <c r="R687" s="179">
        <f t="shared" si="428"/>
        <v>0.94665001493898882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-1.4495438726817719E-5</v>
      </c>
      <c r="F688" s="179">
        <f t="shared" si="428"/>
        <v>-6.4630119906191783E-5</v>
      </c>
      <c r="G688" s="179">
        <f t="shared" si="428"/>
        <v>-2.9534011688756972E-4</v>
      </c>
      <c r="H688" s="179">
        <f t="shared" si="428"/>
        <v>-1.3411578475155737E-3</v>
      </c>
      <c r="I688" s="179">
        <f t="shared" si="428"/>
        <v>-5.6337031629591847E-3</v>
      </c>
      <c r="J688" s="179">
        <f t="shared" si="428"/>
        <v>-2.0902858221300887E-2</v>
      </c>
      <c r="K688" s="179">
        <f t="shared" si="428"/>
        <v>-8.0338173941163007E-2</v>
      </c>
      <c r="L688" s="179">
        <f t="shared" si="428"/>
        <v>-0.29931482374494606</v>
      </c>
      <c r="M688" s="179">
        <f t="shared" si="428"/>
        <v>-0.51095234053661942</v>
      </c>
      <c r="N688" s="179" t="e">
        <f t="shared" si="428"/>
        <v>#DIV/0!</v>
      </c>
      <c r="O688" s="179">
        <f t="shared" si="428"/>
        <v>0.25740369744748726</v>
      </c>
      <c r="P688" s="179">
        <f t="shared" si="428"/>
        <v>0.5893310142776762</v>
      </c>
      <c r="Q688" s="179">
        <f t="shared" si="428"/>
        <v>0.78455971394874779</v>
      </c>
      <c r="R688" s="179">
        <f t="shared" si="428"/>
        <v>0.89494074096552068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-3.6238700261862012E-6</v>
      </c>
      <c r="F689" s="179">
        <f t="shared" si="428"/>
        <v>-1.6157776177857357E-5</v>
      </c>
      <c r="G689" s="179">
        <f t="shared" si="428"/>
        <v>-7.384122791988899E-5</v>
      </c>
      <c r="H689" s="179">
        <f t="shared" si="428"/>
        <v>-3.3543574452472803E-4</v>
      </c>
      <c r="I689" s="179">
        <f t="shared" si="428"/>
        <v>-1.4112861159453938E-3</v>
      </c>
      <c r="J689" s="179">
        <f t="shared" si="428"/>
        <v>-5.2669483254798822E-3</v>
      </c>
      <c r="K689" s="179">
        <f t="shared" si="428"/>
        <v>-2.0821463808246954E-2</v>
      </c>
      <c r="L689" s="179">
        <f t="shared" si="428"/>
        <v>-9.2673168527946645E-2</v>
      </c>
      <c r="M689" s="179">
        <f t="shared" si="428"/>
        <v>-0.30340493531449331</v>
      </c>
      <c r="N689" s="179">
        <f t="shared" si="428"/>
        <v>-0.50262645584298615</v>
      </c>
      <c r="O689" s="179" t="e">
        <f t="shared" si="428"/>
        <v>#DIV/0!</v>
      </c>
      <c r="P689" s="179">
        <f t="shared" si="428"/>
        <v>0.26028638362897927</v>
      </c>
      <c r="Q689" s="179">
        <f t="shared" si="428"/>
        <v>0.59326410739222624</v>
      </c>
      <c r="R689" s="179">
        <f t="shared" si="428"/>
        <v>0.79578535834657504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-9.0596815039053795E-7</v>
      </c>
      <c r="F690" s="179">
        <f t="shared" si="428"/>
        <v>-4.0394593209896638E-6</v>
      </c>
      <c r="G690" s="179">
        <f t="shared" si="428"/>
        <v>-1.8460689591798533E-5</v>
      </c>
      <c r="H690" s="179">
        <f t="shared" si="428"/>
        <v>-8.3867875226638466E-5</v>
      </c>
      <c r="I690" s="179">
        <f t="shared" si="428"/>
        <v>-3.5299320751759302E-4</v>
      </c>
      <c r="J690" s="179">
        <f t="shared" si="428"/>
        <v>-1.3191238539486682E-3</v>
      </c>
      <c r="K690" s="179">
        <f t="shared" si="428"/>
        <v>-5.2461662041508829E-3</v>
      </c>
      <c r="L690" s="179">
        <f t="shared" si="428"/>
        <v>-2.4245833640012163E-2</v>
      </c>
      <c r="M690" s="179">
        <f t="shared" si="428"/>
        <v>-9.4438280836777938E-2</v>
      </c>
      <c r="N690" s="179">
        <f t="shared" si="428"/>
        <v>-0.27324150374434375</v>
      </c>
      <c r="O690" s="179">
        <f t="shared" si="428"/>
        <v>-0.50046599598539432</v>
      </c>
      <c r="P690" s="179" t="e">
        <f t="shared" si="428"/>
        <v>#DIV/0!</v>
      </c>
      <c r="Q690" s="179">
        <f t="shared" si="428"/>
        <v>0.26092320229061328</v>
      </c>
      <c r="R690" s="179">
        <f t="shared" si="428"/>
        <v>0.6110533164298565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-2.3013044627272998E-7</v>
      </c>
      <c r="F691" s="179">
        <f t="shared" si="428"/>
        <v>-1.0260882603092799E-6</v>
      </c>
      <c r="G691" s="179">
        <f t="shared" si="428"/>
        <v>-4.6893345431733408E-6</v>
      </c>
      <c r="H691" s="179">
        <f t="shared" si="428"/>
        <v>-2.1304340385196559E-5</v>
      </c>
      <c r="I691" s="179">
        <f t="shared" si="428"/>
        <v>-8.9676539618221133E-5</v>
      </c>
      <c r="J691" s="179">
        <f t="shared" si="428"/>
        <v>-3.3522311220229737E-4</v>
      </c>
      <c r="K691" s="179">
        <f t="shared" si="428"/>
        <v>-1.3349967541066723E-3</v>
      </c>
      <c r="L691" s="179">
        <f t="shared" si="428"/>
        <v>-6.2204034294798382E-3</v>
      </c>
      <c r="M691" s="179">
        <f t="shared" si="428"/>
        <v>-2.5132826833747745E-2</v>
      </c>
      <c r="N691" s="179">
        <f t="shared" si="428"/>
        <v>-8.3088752039459646E-2</v>
      </c>
      <c r="O691" s="179">
        <f t="shared" si="428"/>
        <v>-0.26943205992647118</v>
      </c>
      <c r="P691" s="179">
        <f t="shared" si="428"/>
        <v>-0.49758922359615637</v>
      </c>
      <c r="Q691" s="179" t="e">
        <f t="shared" si="428"/>
        <v>#DIV/0!</v>
      </c>
      <c r="R691" s="179">
        <f t="shared" si="428"/>
        <v>0.28552244160968504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-5.5720677481029434E-8</v>
      </c>
      <c r="F692" s="179">
        <f t="shared" si="428"/>
        <v>-2.4844319883030857E-7</v>
      </c>
      <c r="G692" s="179">
        <f t="shared" si="428"/>
        <v>-1.1354135633938279E-6</v>
      </c>
      <c r="H692" s="179">
        <f t="shared" si="428"/>
        <v>-5.1583796274469424E-6</v>
      </c>
      <c r="I692" s="179">
        <f t="shared" si="428"/>
        <v>-2.1713721154023054E-5</v>
      </c>
      <c r="J692" s="179">
        <f t="shared" si="428"/>
        <v>-8.1175227859750851E-5</v>
      </c>
      <c r="K692" s="179">
        <f t="shared" si="428"/>
        <v>-3.2338102336681892E-4</v>
      </c>
      <c r="L692" s="179">
        <f t="shared" si="428"/>
        <v>-1.5097160471465509E-3</v>
      </c>
      <c r="M692" s="179">
        <f t="shared" si="428"/>
        <v>-6.150159055049855E-3</v>
      </c>
      <c r="N692" s="179">
        <f t="shared" si="428"/>
        <v>-2.0901657896627818E-2</v>
      </c>
      <c r="O692" s="179">
        <f t="shared" si="428"/>
        <v>-7.7854746971998165E-2</v>
      </c>
      <c r="P692" s="179">
        <f t="shared" si="428"/>
        <v>-0.2525750360095409</v>
      </c>
      <c r="Q692" s="179">
        <f t="shared" si="428"/>
        <v>-0.48878333547537339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-8.8190584453048278E-10</v>
      </c>
      <c r="F693" s="179">
        <f t="shared" si="428"/>
        <v>-3.9321762129916821E-9</v>
      </c>
      <c r="G693" s="179">
        <f t="shared" si="428"/>
        <v>-1.7970496815920697E-8</v>
      </c>
      <c r="H693" s="179">
        <f t="shared" si="428"/>
        <v>-8.1643204388568209E-8</v>
      </c>
      <c r="I693" s="179">
        <f t="shared" si="428"/>
        <v>-3.4367202665992342E-7</v>
      </c>
      <c r="J693" s="179">
        <f t="shared" si="428"/>
        <v>-1.2848251102620406E-6</v>
      </c>
      <c r="K693" s="179">
        <f t="shared" si="428"/>
        <v>-5.1189302451353971E-6</v>
      </c>
      <c r="L693" s="179">
        <f t="shared" si="428"/>
        <v>-2.3911768649722941E-5</v>
      </c>
      <c r="M693" s="179">
        <f t="shared" si="428"/>
        <v>-9.7638403993283396E-5</v>
      </c>
      <c r="N693" s="179">
        <f t="shared" si="428"/>
        <v>-3.3420820223976889E-4</v>
      </c>
      <c r="O693" s="179">
        <f t="shared" si="428"/>
        <v>-1.2871226730639424E-3</v>
      </c>
      <c r="P693" s="179">
        <f t="shared" si="428"/>
        <v>-4.8547275307344855E-3</v>
      </c>
      <c r="Q693" s="179">
        <f t="shared" si="428"/>
        <v>-1.7249522744726992E-2</v>
      </c>
      <c r="R693" s="179">
        <f t="shared" si="428"/>
        <v>-6.0331511497237984E-2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-2.0873511117939987E-13</v>
      </c>
      <c r="F694" s="179">
        <f t="shared" si="428"/>
        <v>-9.306925959245585E-13</v>
      </c>
      <c r="G694" s="179">
        <f t="shared" si="428"/>
        <v>-4.253372055679967E-12</v>
      </c>
      <c r="H694" s="179">
        <f t="shared" si="428"/>
        <v>-1.9323836011301137E-11</v>
      </c>
      <c r="I694" s="179">
        <f t="shared" si="428"/>
        <v>-8.1342503816208919E-11</v>
      </c>
      <c r="J694" s="179">
        <f t="shared" si="428"/>
        <v>-3.0410078158872649E-10</v>
      </c>
      <c r="K694" s="179">
        <f t="shared" si="428"/>
        <v>-1.2115837180189187E-9</v>
      </c>
      <c r="L694" s="179">
        <f t="shared" si="428"/>
        <v>-5.659653269065347E-9</v>
      </c>
      <c r="M694" s="179">
        <f t="shared" si="428"/>
        <v>-2.3110750387095957E-8</v>
      </c>
      <c r="N694" s="179">
        <f t="shared" si="428"/>
        <v>-7.9113957305438392E-8</v>
      </c>
      <c r="O694" s="179">
        <f t="shared" si="428"/>
        <v>-3.0481241679394962E-7</v>
      </c>
      <c r="P694" s="179">
        <f t="shared" si="428"/>
        <v>-1.1514251205744725E-6</v>
      </c>
      <c r="Q694" s="179">
        <f t="shared" si="428"/>
        <v>-4.1126611510096645E-6</v>
      </c>
      <c r="R694" s="179">
        <f t="shared" si="428"/>
        <v>-1.4659060518707092E-5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20.25" x14ac:dyDescent="0.35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3.9042335412657732E-2</v>
      </c>
      <c r="F806" s="179">
        <f t="shared" si="503"/>
        <v>4.237701350319549E-2</v>
      </c>
      <c r="G806" s="179">
        <f t="shared" si="503"/>
        <v>3.6021391041682109E-2</v>
      </c>
      <c r="H806" s="179">
        <f t="shared" si="503"/>
        <v>3.5724382871261902E-2</v>
      </c>
      <c r="I806" s="179">
        <f t="shared" si="503"/>
        <v>3.6224987044497253E-2</v>
      </c>
      <c r="J806" s="179">
        <f t="shared" si="503"/>
        <v>3.7535160136254908E-2</v>
      </c>
      <c r="K806" s="179">
        <f t="shared" si="503"/>
        <v>3.7725009366697621E-2</v>
      </c>
      <c r="L806" s="179">
        <f t="shared" si="503"/>
        <v>3.5983737544369787E-2</v>
      </c>
      <c r="M806" s="179">
        <f t="shared" si="503"/>
        <v>3.5783245897772521E-2</v>
      </c>
      <c r="N806" s="179">
        <f t="shared" si="503"/>
        <v>3.7518795232950791E-2</v>
      </c>
      <c r="O806" s="179">
        <f t="shared" si="503"/>
        <v>3.799740514914967E-2</v>
      </c>
      <c r="P806" s="179">
        <f t="shared" si="503"/>
        <v>3.8780211204109835E-2</v>
      </c>
      <c r="Q806" s="179">
        <f t="shared" si="503"/>
        <v>4.0276083375189176E-2</v>
      </c>
      <c r="R806" s="179">
        <f t="shared" si="503"/>
        <v>4.302762887181473E-2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0.1890919975712636</v>
      </c>
      <c r="F807" s="179">
        <f t="shared" si="503"/>
        <v>0.31249095532551857</v>
      </c>
      <c r="G807" s="179">
        <f t="shared" si="503"/>
        <v>0.33032094437500925</v>
      </c>
      <c r="H807" s="179">
        <f t="shared" si="503"/>
        <v>0.28931848016421136</v>
      </c>
      <c r="I807" s="179">
        <f t="shared" si="503"/>
        <v>0.28965728726087031</v>
      </c>
      <c r="J807" s="179">
        <f t="shared" si="503"/>
        <v>0.30780125932459629</v>
      </c>
      <c r="K807" s="179">
        <f t="shared" si="503"/>
        <v>0.31248704949443651</v>
      </c>
      <c r="L807" s="179">
        <f t="shared" si="503"/>
        <v>0.29888233519763913</v>
      </c>
      <c r="M807" s="179">
        <f t="shared" si="503"/>
        <v>0.297415467562892</v>
      </c>
      <c r="N807" s="179">
        <f t="shared" si="503"/>
        <v>0.3118920716811649</v>
      </c>
      <c r="O807" s="179">
        <f t="shared" si="503"/>
        <v>0.31588430057224592</v>
      </c>
      <c r="P807" s="179">
        <f t="shared" si="503"/>
        <v>0.32239549757200248</v>
      </c>
      <c r="Q807" s="179">
        <f t="shared" si="503"/>
        <v>0.33483219357620259</v>
      </c>
      <c r="R807" s="179">
        <f t="shared" si="503"/>
        <v>0.3577072159219703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7.3703530188202415E-2</v>
      </c>
      <c r="F808" s="179">
        <f t="shared" si="503"/>
        <v>0.14916650364102998</v>
      </c>
      <c r="G808" s="179">
        <f t="shared" si="503"/>
        <v>0.23807227682315132</v>
      </c>
      <c r="H808" s="179">
        <f t="shared" si="503"/>
        <v>0.25322789136097562</v>
      </c>
      <c r="I808" s="179">
        <f t="shared" si="503"/>
        <v>0.22814920733897578</v>
      </c>
      <c r="J808" s="179">
        <f t="shared" si="503"/>
        <v>0.23736505477391415</v>
      </c>
      <c r="K808" s="179">
        <f t="shared" si="503"/>
        <v>0.24761693996681036</v>
      </c>
      <c r="L808" s="179">
        <f t="shared" si="503"/>
        <v>0.23928072875813008</v>
      </c>
      <c r="M808" s="179">
        <f t="shared" si="503"/>
        <v>0.23873408968570611</v>
      </c>
      <c r="N808" s="179">
        <f t="shared" si="503"/>
        <v>0.25051973755469209</v>
      </c>
      <c r="O808" s="179">
        <f t="shared" si="503"/>
        <v>0.25377018442549276</v>
      </c>
      <c r="P808" s="179">
        <f t="shared" si="503"/>
        <v>0.25901230728413277</v>
      </c>
      <c r="Q808" s="179">
        <f t="shared" si="503"/>
        <v>0.26900687600018247</v>
      </c>
      <c r="R808" s="179">
        <f t="shared" si="503"/>
        <v>0.28738567852371127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3.6958546771445264E-2</v>
      </c>
      <c r="F809" s="179">
        <f t="shared" si="503"/>
        <v>7.7217195111652176E-2</v>
      </c>
      <c r="G809" s="179">
        <f t="shared" si="503"/>
        <v>0.15356704943330107</v>
      </c>
      <c r="H809" s="179">
        <f t="shared" si="503"/>
        <v>0.24078974950378609</v>
      </c>
      <c r="I809" s="179">
        <f t="shared" si="503"/>
        <v>0.25667264584951244</v>
      </c>
      <c r="J809" s="179">
        <f t="shared" si="503"/>
        <v>0.24116121124703591</v>
      </c>
      <c r="K809" s="179">
        <f t="shared" si="503"/>
        <v>0.2477914135904046</v>
      </c>
      <c r="L809" s="179">
        <f t="shared" si="503"/>
        <v>0.24604531524892373</v>
      </c>
      <c r="M809" s="179">
        <f t="shared" si="503"/>
        <v>0.24776835744911035</v>
      </c>
      <c r="N809" s="179">
        <f t="shared" si="503"/>
        <v>0.26064631163102719</v>
      </c>
      <c r="O809" s="179">
        <f t="shared" si="503"/>
        <v>0.26420227565557564</v>
      </c>
      <c r="P809" s="179">
        <f t="shared" si="503"/>
        <v>0.26970481136276969</v>
      </c>
      <c r="Q809" s="179">
        <f t="shared" si="503"/>
        <v>0.28012369648154162</v>
      </c>
      <c r="R809" s="179">
        <f t="shared" si="503"/>
        <v>0.29926530753918479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1.1612474955668726E-2</v>
      </c>
      <c r="F810" s="179">
        <f t="shared" si="506"/>
        <v>2.3875447007323389E-2</v>
      </c>
      <c r="G810" s="179">
        <f t="shared" si="506"/>
        <v>4.956141615446201E-2</v>
      </c>
      <c r="H810" s="179">
        <f t="shared" si="506"/>
        <v>9.9273058703777006E-2</v>
      </c>
      <c r="I810" s="179">
        <f t="shared" si="506"/>
        <v>0.15320707123273367</v>
      </c>
      <c r="J810" s="179">
        <f t="shared" si="506"/>
        <v>0.17143695581671151</v>
      </c>
      <c r="K810" s="179">
        <f t="shared" si="506"/>
        <v>0.15773631060615576</v>
      </c>
      <c r="L810" s="179">
        <f t="shared" si="506"/>
        <v>0.15500920065000826</v>
      </c>
      <c r="M810" s="179">
        <f t="shared" si="506"/>
        <v>0.15985745640896651</v>
      </c>
      <c r="N810" s="179">
        <f t="shared" si="506"/>
        <v>0.16971592890948689</v>
      </c>
      <c r="O810" s="179">
        <f t="shared" si="506"/>
        <v>0.17248334170384697</v>
      </c>
      <c r="P810" s="179">
        <f t="shared" si="506"/>
        <v>0.17619384813687322</v>
      </c>
      <c r="Q810" s="179">
        <f t="shared" si="506"/>
        <v>0.18303128056542325</v>
      </c>
      <c r="R810" s="179">
        <f t="shared" si="506"/>
        <v>0.19554701221006277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3.2435782471555408E-3</v>
      </c>
      <c r="F811" s="179">
        <f t="shared" si="506"/>
        <v>6.5487040298329892E-3</v>
      </c>
      <c r="G811" s="179">
        <f t="shared" si="506"/>
        <v>1.3376135490602872E-2</v>
      </c>
      <c r="H811" s="179">
        <f t="shared" si="506"/>
        <v>2.8235690914572051E-2</v>
      </c>
      <c r="I811" s="179">
        <f t="shared" si="506"/>
        <v>5.5688423140349171E-2</v>
      </c>
      <c r="J811" s="179">
        <f t="shared" si="506"/>
        <v>8.9000485443934491E-2</v>
      </c>
      <c r="K811" s="179">
        <f t="shared" si="506"/>
        <v>9.809530917149685E-2</v>
      </c>
      <c r="L811" s="179">
        <f t="shared" si="506"/>
        <v>8.7024082764927638E-2</v>
      </c>
      <c r="M811" s="179">
        <f t="shared" si="506"/>
        <v>8.8114637679931204E-2</v>
      </c>
      <c r="N811" s="179">
        <f t="shared" si="506"/>
        <v>9.5698005061028171E-2</v>
      </c>
      <c r="O811" s="179">
        <f t="shared" si="506"/>
        <v>9.8211968602486668E-2</v>
      </c>
      <c r="P811" s="179">
        <f t="shared" si="506"/>
        <v>0.10059036182538622</v>
      </c>
      <c r="Q811" s="179">
        <f t="shared" si="506"/>
        <v>0.10456435995699816</v>
      </c>
      <c r="R811" s="179">
        <f t="shared" si="506"/>
        <v>0.11173438952077218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7.1825219491448273E-4</v>
      </c>
      <c r="F812" s="179">
        <f t="shared" si="506"/>
        <v>1.4330776921038586E-3</v>
      </c>
      <c r="G812" s="179">
        <f t="shared" si="506"/>
        <v>2.8691014301652946E-3</v>
      </c>
      <c r="H812" s="179">
        <f t="shared" si="506"/>
        <v>5.9628288868659174E-3</v>
      </c>
      <c r="I812" s="179">
        <f t="shared" si="506"/>
        <v>1.2449174766606237E-2</v>
      </c>
      <c r="J812" s="179">
        <f t="shared" si="506"/>
        <v>2.5050648094319616E-2</v>
      </c>
      <c r="K812" s="179">
        <f t="shared" si="506"/>
        <v>3.9937034765831748E-2</v>
      </c>
      <c r="L812" s="179">
        <f t="shared" si="506"/>
        <v>4.1904257535186354E-2</v>
      </c>
      <c r="M812" s="179">
        <f t="shared" si="506"/>
        <v>3.8845361999047964E-2</v>
      </c>
      <c r="N812" s="179">
        <f t="shared" si="506"/>
        <v>4.1223830621632825E-2</v>
      </c>
      <c r="O812" s="179">
        <f t="shared" si="506"/>
        <v>4.3436859352107102E-2</v>
      </c>
      <c r="P812" s="179">
        <f t="shared" si="506"/>
        <v>4.4929723630180232E-2</v>
      </c>
      <c r="Q812" s="179">
        <f t="shared" si="506"/>
        <v>4.6829080707905084E-2</v>
      </c>
      <c r="R812" s="179">
        <f t="shared" si="506"/>
        <v>5.0075714864851448E-2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2.6995122640318108E-4</v>
      </c>
      <c r="F813" s="179">
        <f t="shared" si="506"/>
        <v>5.3505886401281197E-4</v>
      </c>
      <c r="G813" s="179">
        <f t="shared" si="506"/>
        <v>1.0570883395824957E-3</v>
      </c>
      <c r="H813" s="179">
        <f t="shared" si="506"/>
        <v>2.1500792206267352E-3</v>
      </c>
      <c r="I813" s="179">
        <f t="shared" si="506"/>
        <v>4.4262444580087778E-3</v>
      </c>
      <c r="J813" s="179">
        <f t="shared" si="506"/>
        <v>9.4126886773249555E-3</v>
      </c>
      <c r="K813" s="179">
        <f t="shared" si="506"/>
        <v>1.8953116238531412E-2</v>
      </c>
      <c r="L813" s="179">
        <f t="shared" si="506"/>
        <v>2.9137906121663115E-2</v>
      </c>
      <c r="M813" s="179">
        <f t="shared" si="506"/>
        <v>3.1513007837085431E-2</v>
      </c>
      <c r="N813" s="179">
        <f t="shared" si="506"/>
        <v>3.0414192895949807E-2</v>
      </c>
      <c r="O813" s="179">
        <f t="shared" si="506"/>
        <v>3.1542629795677929E-2</v>
      </c>
      <c r="P813" s="179">
        <f t="shared" si="506"/>
        <v>3.3521895611538052E-2</v>
      </c>
      <c r="Q813" s="179">
        <f t="shared" si="506"/>
        <v>3.5288688410368529E-2</v>
      </c>
      <c r="R813" s="179">
        <f t="shared" si="506"/>
        <v>3.7841216182935539E-2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3.0900180104251199E-4</v>
      </c>
      <c r="F814" s="179">
        <f t="shared" si="509"/>
        <v>6.103247759004372E-4</v>
      </c>
      <c r="G814" s="179">
        <f t="shared" si="509"/>
        <v>1.1967956808565717E-3</v>
      </c>
      <c r="H814" s="179">
        <f t="shared" si="509"/>
        <v>2.3989899436245177E-3</v>
      </c>
      <c r="I814" s="179">
        <f t="shared" si="509"/>
        <v>4.8342919658379089E-3</v>
      </c>
      <c r="J814" s="179">
        <f t="shared" si="509"/>
        <v>1.0179016529386601E-2</v>
      </c>
      <c r="K814" s="179">
        <f t="shared" si="509"/>
        <v>2.1617538732852576E-2</v>
      </c>
      <c r="L814" s="179">
        <f t="shared" si="509"/>
        <v>4.3246381556990773E-2</v>
      </c>
      <c r="M814" s="179">
        <f t="shared" si="509"/>
        <v>6.6629742541699871E-2</v>
      </c>
      <c r="N814" s="179">
        <f t="shared" si="509"/>
        <v>7.5879047624250684E-2</v>
      </c>
      <c r="O814" s="179">
        <f t="shared" si="509"/>
        <v>7.0495193826359409E-2</v>
      </c>
      <c r="P814" s="179">
        <f t="shared" si="509"/>
        <v>7.3797568843232658E-2</v>
      </c>
      <c r="Q814" s="179">
        <f t="shared" si="509"/>
        <v>7.9884566567075557E-2</v>
      </c>
      <c r="R814" s="179">
        <f t="shared" si="509"/>
        <v>8.6573960760952112E-2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1.0188692070048897E-4</v>
      </c>
      <c r="F815" s="179">
        <f t="shared" si="509"/>
        <v>2.0088182653322235E-4</v>
      </c>
      <c r="G815" s="179">
        <f t="shared" si="509"/>
        <v>3.9235652439646951E-4</v>
      </c>
      <c r="H815" s="179">
        <f t="shared" si="509"/>
        <v>7.7999361760255253E-4</v>
      </c>
      <c r="I815" s="179">
        <f t="shared" si="509"/>
        <v>1.5489031279851326E-3</v>
      </c>
      <c r="J815" s="179">
        <f t="shared" si="509"/>
        <v>3.2049317965146453E-3</v>
      </c>
      <c r="K815" s="179">
        <f t="shared" si="509"/>
        <v>6.7241473156732495E-3</v>
      </c>
      <c r="L815" s="179">
        <f t="shared" si="509"/>
        <v>1.4315207238460533E-2</v>
      </c>
      <c r="M815" s="179">
        <f t="shared" si="509"/>
        <v>2.8552323975872179E-2</v>
      </c>
      <c r="N815" s="179">
        <f t="shared" si="509"/>
        <v>4.5594209000081681E-2</v>
      </c>
      <c r="O815" s="179">
        <f t="shared" si="509"/>
        <v>5.075797810837198E-2</v>
      </c>
      <c r="P815" s="179">
        <f t="shared" si="509"/>
        <v>4.7256927734689445E-2</v>
      </c>
      <c r="Q815" s="179">
        <f t="shared" si="509"/>
        <v>5.0419824070633557E-2</v>
      </c>
      <c r="R815" s="179">
        <f t="shared" si="509"/>
        <v>5.6343584400313645E-2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2.303408081296298E-5</v>
      </c>
      <c r="F816" s="179">
        <f t="shared" si="509"/>
        <v>4.5373186545543994E-5</v>
      </c>
      <c r="G816" s="179">
        <f t="shared" si="509"/>
        <v>8.8441596381351004E-5</v>
      </c>
      <c r="H816" s="179">
        <f t="shared" si="509"/>
        <v>1.7504827512806399E-4</v>
      </c>
      <c r="I816" s="179">
        <f t="shared" si="509"/>
        <v>3.4470870971089839E-4</v>
      </c>
      <c r="J816" s="179">
        <f t="shared" si="509"/>
        <v>7.0461885882061918E-4</v>
      </c>
      <c r="K816" s="179">
        <f t="shared" si="509"/>
        <v>1.4506254423033167E-3</v>
      </c>
      <c r="L816" s="179">
        <f t="shared" si="509"/>
        <v>3.0374483803573631E-3</v>
      </c>
      <c r="M816" s="179">
        <f t="shared" si="509"/>
        <v>6.4829946018655701E-3</v>
      </c>
      <c r="N816" s="179">
        <f t="shared" si="509"/>
        <v>1.2994947165600203E-2</v>
      </c>
      <c r="O816" s="179">
        <f t="shared" si="509"/>
        <v>2.0829652667259883E-2</v>
      </c>
      <c r="P816" s="179">
        <f t="shared" si="509"/>
        <v>2.3441798765009538E-2</v>
      </c>
      <c r="Q816" s="179">
        <f t="shared" si="509"/>
        <v>2.1988232160937395E-2</v>
      </c>
      <c r="R816" s="179">
        <f t="shared" si="509"/>
        <v>2.427897496341231E-2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8.4526852892070639E-6</v>
      </c>
      <c r="F817" s="179">
        <f t="shared" si="509"/>
        <v>1.6642805577001977E-5</v>
      </c>
      <c r="G817" s="179">
        <f t="shared" si="509"/>
        <v>3.2407090943720616E-5</v>
      </c>
      <c r="H817" s="179">
        <f t="shared" si="509"/>
        <v>6.3998101306431674E-5</v>
      </c>
      <c r="I817" s="179">
        <f t="shared" si="509"/>
        <v>1.2547068198959249E-4</v>
      </c>
      <c r="J817" s="179">
        <f t="shared" si="509"/>
        <v>2.5470130021106415E-4</v>
      </c>
      <c r="K817" s="179">
        <f t="shared" si="509"/>
        <v>5.1764286265055723E-4</v>
      </c>
      <c r="L817" s="179">
        <f t="shared" si="509"/>
        <v>1.0577082112392269E-3</v>
      </c>
      <c r="M817" s="179">
        <f t="shared" si="509"/>
        <v>2.2321649013740215E-3</v>
      </c>
      <c r="N817" s="179">
        <f t="shared" si="509"/>
        <v>4.7468466432050603E-3</v>
      </c>
      <c r="O817" s="179">
        <f t="shared" si="509"/>
        <v>9.5551077438497233E-3</v>
      </c>
      <c r="P817" s="179">
        <f t="shared" si="509"/>
        <v>1.5459961694136173E-2</v>
      </c>
      <c r="Q817" s="179">
        <f t="shared" si="509"/>
        <v>1.7733505175695163E-2</v>
      </c>
      <c r="R817" s="179">
        <f t="shared" si="509"/>
        <v>1.6772533094502474E-2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20.25" x14ac:dyDescent="0.35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5.3010581857568108E-2</v>
      </c>
      <c r="F933" s="179" t="e">
        <f t="shared" si="605"/>
        <v>#DIV/0!</v>
      </c>
      <c r="G933" s="179">
        <f t="shared" si="605"/>
        <v>3.6531450861327697E-2</v>
      </c>
      <c r="H933" s="179">
        <f t="shared" si="605"/>
        <v>3.1772781496700729E-2</v>
      </c>
      <c r="I933" s="179">
        <f t="shared" si="605"/>
        <v>2.955785422894272E-2</v>
      </c>
      <c r="J933" s="179">
        <f t="shared" si="605"/>
        <v>2.8587879276800281E-2</v>
      </c>
      <c r="K933" s="179">
        <f t="shared" si="605"/>
        <v>2.7993276911619482E-2</v>
      </c>
      <c r="L933" s="179">
        <f t="shared" si="605"/>
        <v>2.7638987956373869E-2</v>
      </c>
      <c r="M933" s="179">
        <f t="shared" si="605"/>
        <v>2.7502110935348132E-2</v>
      </c>
      <c r="N933" s="179">
        <f t="shared" si="605"/>
        <v>2.7447119463168985E-2</v>
      </c>
      <c r="O933" s="179">
        <f t="shared" si="605"/>
        <v>2.7409741579022637E-2</v>
      </c>
      <c r="P933" s="179">
        <f t="shared" si="605"/>
        <v>2.7390717378123732E-2</v>
      </c>
      <c r="Q933" s="179">
        <f t="shared" si="605"/>
        <v>2.7381192824845555E-2</v>
      </c>
      <c r="R933" s="179">
        <f t="shared" si="605"/>
        <v>2.7376073770529922E-2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0.40158527089204438</v>
      </c>
      <c r="F934" s="179">
        <f t="shared" si="605"/>
        <v>0.4127267136014437</v>
      </c>
      <c r="G934" s="179" t="e">
        <f t="shared" si="605"/>
        <v>#DIV/0!</v>
      </c>
      <c r="H934" s="179">
        <f t="shared" si="605"/>
        <v>0.29265460998136122</v>
      </c>
      <c r="I934" s="179">
        <f t="shared" si="605"/>
        <v>0.2612434265791917</v>
      </c>
      <c r="J934" s="179">
        <f t="shared" si="605"/>
        <v>0.24690910617556489</v>
      </c>
      <c r="K934" s="179">
        <f t="shared" si="605"/>
        <v>0.23762691790237267</v>
      </c>
      <c r="L934" s="179">
        <f t="shared" si="605"/>
        <v>0.23193371190613529</v>
      </c>
      <c r="M934" s="179">
        <f t="shared" si="605"/>
        <v>0.22971162631622857</v>
      </c>
      <c r="N934" s="179">
        <f t="shared" si="605"/>
        <v>0.22881327865218826</v>
      </c>
      <c r="O934" s="179">
        <f t="shared" si="605"/>
        <v>0.22819921618631631</v>
      </c>
      <c r="P934" s="179">
        <f t="shared" si="605"/>
        <v>0.22788604921125163</v>
      </c>
      <c r="Q934" s="179">
        <f t="shared" si="605"/>
        <v>0.2277291048204321</v>
      </c>
      <c r="R934" s="179">
        <f t="shared" si="605"/>
        <v>0.22764471019134477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0.30545079843235778</v>
      </c>
      <c r="F935" s="179">
        <f t="shared" si="605"/>
        <v>0.30527259027816006</v>
      </c>
      <c r="G935" s="179">
        <f t="shared" si="605"/>
        <v>0.30610140903575656</v>
      </c>
      <c r="H935" s="179" t="e">
        <f t="shared" si="605"/>
        <v>#DIV/0!</v>
      </c>
      <c r="I935" s="179">
        <f t="shared" si="605"/>
        <v>0.23093880568509073</v>
      </c>
      <c r="J935" s="179">
        <f t="shared" si="605"/>
        <v>0.2119396201661978</v>
      </c>
      <c r="K935" s="179">
        <f t="shared" si="605"/>
        <v>0.19843401688980664</v>
      </c>
      <c r="L935" s="179">
        <f t="shared" si="605"/>
        <v>0.18972612167835903</v>
      </c>
      <c r="M935" s="179">
        <f t="shared" si="605"/>
        <v>0.18626526268033833</v>
      </c>
      <c r="N935" s="179">
        <f t="shared" si="605"/>
        <v>0.18484929789079349</v>
      </c>
      <c r="O935" s="179">
        <f t="shared" si="605"/>
        <v>0.18387053638340767</v>
      </c>
      <c r="P935" s="179">
        <f t="shared" si="605"/>
        <v>0.18336937640713163</v>
      </c>
      <c r="Q935" s="179">
        <f t="shared" si="605"/>
        <v>0.18311771825594261</v>
      </c>
      <c r="R935" s="179">
        <f t="shared" si="605"/>
        <v>0.18298225235951976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0.31306075085124163</v>
      </c>
      <c r="F936" s="179">
        <f t="shared" si="605"/>
        <v>0.3014513944932305</v>
      </c>
      <c r="G936" s="179">
        <f t="shared" si="605"/>
        <v>0.29789079489173775</v>
      </c>
      <c r="H936" s="179">
        <f t="shared" si="605"/>
        <v>0.30046587868885571</v>
      </c>
      <c r="I936" s="179" t="e">
        <f t="shared" si="605"/>
        <v>#DIV/0!</v>
      </c>
      <c r="J936" s="179">
        <f t="shared" si="605"/>
        <v>0.24390265846427009</v>
      </c>
      <c r="K936" s="179">
        <f t="shared" si="605"/>
        <v>0.22041425331341738</v>
      </c>
      <c r="L936" s="179">
        <f t="shared" si="605"/>
        <v>0.2040149120952886</v>
      </c>
      <c r="M936" s="179">
        <f t="shared" si="605"/>
        <v>0.19731390722695261</v>
      </c>
      <c r="N936" s="179">
        <f t="shared" si="605"/>
        <v>0.19451468339053185</v>
      </c>
      <c r="O936" s="179">
        <f t="shared" si="605"/>
        <v>0.19253871743276957</v>
      </c>
      <c r="P936" s="179">
        <f t="shared" si="605"/>
        <v>0.19151927335199689</v>
      </c>
      <c r="Q936" s="179">
        <f t="shared" si="605"/>
        <v>0.19100540372061597</v>
      </c>
      <c r="R936" s="179">
        <f t="shared" si="605"/>
        <v>0.19072823874625577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0.20369007508783876</v>
      </c>
      <c r="F937" s="179">
        <f t="shared" si="608"/>
        <v>0.19371560555253584</v>
      </c>
      <c r="G937" s="179">
        <f t="shared" si="608"/>
        <v>0.18467011338598091</v>
      </c>
      <c r="H937" s="179">
        <f t="shared" si="608"/>
        <v>0.18542834656111573</v>
      </c>
      <c r="I937" s="179">
        <f t="shared" si="608"/>
        <v>0.18962217443331006</v>
      </c>
      <c r="J937" s="179" t="e">
        <f t="shared" si="608"/>
        <v>#DIV/0!</v>
      </c>
      <c r="K937" s="179">
        <f t="shared" si="608"/>
        <v>0.15953622591486</v>
      </c>
      <c r="L937" s="179">
        <f t="shared" si="608"/>
        <v>0.14100469200109905</v>
      </c>
      <c r="M937" s="179">
        <f t="shared" si="608"/>
        <v>0.13312157988885942</v>
      </c>
      <c r="N937" s="179">
        <f t="shared" si="608"/>
        <v>0.12971242401352961</v>
      </c>
      <c r="O937" s="179">
        <f t="shared" si="608"/>
        <v>0.12720717596316503</v>
      </c>
      <c r="P937" s="179">
        <f t="shared" si="608"/>
        <v>0.12589556936874896</v>
      </c>
      <c r="Q937" s="179">
        <f t="shared" si="608"/>
        <v>0.12522941517626848</v>
      </c>
      <c r="R937" s="179">
        <f t="shared" si="608"/>
        <v>0.1248686709867079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0.11626884416518747</v>
      </c>
      <c r="F938" s="179">
        <f t="shared" si="608"/>
        <v>0.11021472697791625</v>
      </c>
      <c r="G938" s="179">
        <f t="shared" si="608"/>
        <v>0.1037902553646157</v>
      </c>
      <c r="H938" s="179">
        <f t="shared" si="608"/>
        <v>0.1007055296552784</v>
      </c>
      <c r="I938" s="179">
        <f t="shared" si="608"/>
        <v>0.10284733294708644</v>
      </c>
      <c r="J938" s="179">
        <f t="shared" si="608"/>
        <v>0.11145260658533385</v>
      </c>
      <c r="K938" s="179" t="e">
        <f t="shared" si="608"/>
        <v>#DIV/0!</v>
      </c>
      <c r="L938" s="179">
        <f t="shared" si="608"/>
        <v>8.7879647706196537E-2</v>
      </c>
      <c r="M938" s="179">
        <f t="shared" si="608"/>
        <v>8.0366657665427707E-2</v>
      </c>
      <c r="N938" s="179">
        <f t="shared" si="608"/>
        <v>7.6944315961599119E-2</v>
      </c>
      <c r="O938" s="179">
        <f t="shared" si="608"/>
        <v>7.4240005797938546E-2</v>
      </c>
      <c r="P938" s="179">
        <f t="shared" si="608"/>
        <v>7.2785748121592331E-2</v>
      </c>
      <c r="Q938" s="179">
        <f t="shared" si="608"/>
        <v>7.2036433603802283E-2</v>
      </c>
      <c r="R938" s="179">
        <f t="shared" si="608"/>
        <v>7.162747214635512E-2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5.2106438889516785E-2</v>
      </c>
      <c r="F939" s="179">
        <f t="shared" si="608"/>
        <v>4.9352495074283291E-2</v>
      </c>
      <c r="G939" s="179">
        <f t="shared" si="608"/>
        <v>4.6324689595513432E-2</v>
      </c>
      <c r="H939" s="179">
        <f t="shared" si="608"/>
        <v>4.4398898946674301E-2</v>
      </c>
      <c r="I939" s="179">
        <f t="shared" si="608"/>
        <v>4.391504651968723E-2</v>
      </c>
      <c r="J939" s="179">
        <f t="shared" si="608"/>
        <v>4.7171567075406894E-2</v>
      </c>
      <c r="K939" s="179">
        <f t="shared" si="608"/>
        <v>5.0047155328776294E-2</v>
      </c>
      <c r="L939" s="179" t="e">
        <f t="shared" si="608"/>
        <v>#DIV/0!</v>
      </c>
      <c r="M939" s="179">
        <f t="shared" si="608"/>
        <v>3.9219732817579601E-2</v>
      </c>
      <c r="N939" s="179">
        <f t="shared" si="608"/>
        <v>3.6785248440561913E-2</v>
      </c>
      <c r="O939" s="179">
        <f t="shared" si="608"/>
        <v>3.4596900097823055E-2</v>
      </c>
      <c r="P939" s="179">
        <f t="shared" si="608"/>
        <v>3.3365288246939566E-2</v>
      </c>
      <c r="Q939" s="179">
        <f t="shared" si="608"/>
        <v>3.2713838677109849E-2</v>
      </c>
      <c r="R939" s="179">
        <f t="shared" si="608"/>
        <v>3.2352957181823294E-2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3.94111820720843E-2</v>
      </c>
      <c r="F940" s="179">
        <f t="shared" si="608"/>
        <v>3.7320487926867082E-2</v>
      </c>
      <c r="G940" s="179">
        <f t="shared" si="608"/>
        <v>3.5001970596168816E-2</v>
      </c>
      <c r="H940" s="179">
        <f t="shared" si="608"/>
        <v>3.3436191308691555E-2</v>
      </c>
      <c r="I940" s="179">
        <f t="shared" si="608"/>
        <v>3.2684726518671638E-2</v>
      </c>
      <c r="J940" s="179">
        <f t="shared" si="608"/>
        <v>3.3952759065368342E-2</v>
      </c>
      <c r="K940" s="179">
        <f t="shared" si="608"/>
        <v>3.5730819237240113E-2</v>
      </c>
      <c r="L940" s="179">
        <f t="shared" si="608"/>
        <v>3.5569808671859875E-2</v>
      </c>
      <c r="M940" s="179" t="e">
        <f t="shared" si="608"/>
        <v>#DIV/0!</v>
      </c>
      <c r="N940" s="179">
        <f t="shared" si="608"/>
        <v>3.0754646060171101E-2</v>
      </c>
      <c r="O940" s="179">
        <f t="shared" si="608"/>
        <v>2.7978999947582558E-2</v>
      </c>
      <c r="P940" s="179">
        <f t="shared" si="608"/>
        <v>2.6296618974638194E-2</v>
      </c>
      <c r="Q940" s="179">
        <f t="shared" si="608"/>
        <v>2.5366406521923183E-2</v>
      </c>
      <c r="R940" s="179">
        <f t="shared" si="608"/>
        <v>2.4836933994358251E-2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9.0510592636260184E-2</v>
      </c>
      <c r="F941" s="179">
        <f t="shared" si="611"/>
        <v>8.570472773310113E-2</v>
      </c>
      <c r="G941" s="179">
        <f t="shared" si="611"/>
        <v>8.0363736811140535E-2</v>
      </c>
      <c r="H941" s="179">
        <f t="shared" si="611"/>
        <v>7.6704307274293532E-2</v>
      </c>
      <c r="I941" s="179">
        <f t="shared" si="611"/>
        <v>7.4741984512009196E-2</v>
      </c>
      <c r="J941" s="179">
        <f t="shared" si="611"/>
        <v>7.6725675321842074E-2</v>
      </c>
      <c r="K941" s="179">
        <f t="shared" si="611"/>
        <v>7.8080547878311882E-2</v>
      </c>
      <c r="L941" s="179">
        <f t="shared" si="611"/>
        <v>7.8016437290899049E-2</v>
      </c>
      <c r="M941" s="179">
        <f t="shared" si="611"/>
        <v>8.107041621874965E-2</v>
      </c>
      <c r="N941" s="179" t="e">
        <f t="shared" si="611"/>
        <v>#DIV/0!</v>
      </c>
      <c r="O941" s="179">
        <f t="shared" si="611"/>
        <v>7.1313095605756063E-2</v>
      </c>
      <c r="P941" s="179">
        <f t="shared" si="611"/>
        <v>6.4828490708254236E-2</v>
      </c>
      <c r="Q941" s="179">
        <f t="shared" si="611"/>
        <v>6.0974856530543624E-2</v>
      </c>
      <c r="R941" s="179">
        <f t="shared" si="611"/>
        <v>5.8678246362024934E-2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5.9783496909716738E-2</v>
      </c>
      <c r="F942" s="179">
        <f t="shared" si="611"/>
        <v>5.6608424052725134E-2</v>
      </c>
      <c r="G942" s="179">
        <f t="shared" si="611"/>
        <v>5.3077924286550053E-2</v>
      </c>
      <c r="H942" s="179">
        <f t="shared" si="611"/>
        <v>5.0650302925162594E-2</v>
      </c>
      <c r="I942" s="179">
        <f t="shared" si="611"/>
        <v>4.9314544693119265E-2</v>
      </c>
      <c r="J942" s="179">
        <f t="shared" si="611"/>
        <v>5.0462352684184607E-2</v>
      </c>
      <c r="K942" s="179">
        <f t="shared" si="611"/>
        <v>5.0746417760198587E-2</v>
      </c>
      <c r="L942" s="179">
        <f t="shared" si="611"/>
        <v>4.915022884236777E-2</v>
      </c>
      <c r="M942" s="179">
        <f t="shared" si="611"/>
        <v>5.1214864714234087E-2</v>
      </c>
      <c r="N942" s="179">
        <f t="shared" si="611"/>
        <v>5.6934439539221018E-2</v>
      </c>
      <c r="O942" s="179" t="e">
        <f t="shared" si="611"/>
        <v>#DIV/0!</v>
      </c>
      <c r="P942" s="179">
        <f t="shared" si="611"/>
        <v>4.78359297056693E-2</v>
      </c>
      <c r="Q942" s="179">
        <f t="shared" si="611"/>
        <v>4.3573069857833116E-2</v>
      </c>
      <c r="R942" s="179">
        <f t="shared" si="611"/>
        <v>4.0831964727430455E-2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2.7052838755040522E-2</v>
      </c>
      <c r="F943" s="179">
        <f t="shared" si="611"/>
        <v>2.5615992568895078E-2</v>
      </c>
      <c r="G943" s="179">
        <f t="shared" si="611"/>
        <v>2.4018088146586864E-2</v>
      </c>
      <c r="H943" s="179">
        <f t="shared" si="611"/>
        <v>2.291836605848583E-2</v>
      </c>
      <c r="I943" s="179">
        <f t="shared" si="611"/>
        <v>2.2309420997595447E-2</v>
      </c>
      <c r="J943" s="179">
        <f t="shared" si="611"/>
        <v>2.2810214509294342E-2</v>
      </c>
      <c r="K943" s="179">
        <f t="shared" si="611"/>
        <v>2.2865518909260162E-2</v>
      </c>
      <c r="L943" s="179">
        <f t="shared" si="611"/>
        <v>2.1884394310216378E-2</v>
      </c>
      <c r="M943" s="179">
        <f t="shared" si="611"/>
        <v>2.2112283427539098E-2</v>
      </c>
      <c r="N943" s="179">
        <f t="shared" si="611"/>
        <v>2.4356215281983094E-2</v>
      </c>
      <c r="O943" s="179">
        <f t="shared" si="611"/>
        <v>2.618397600978159E-2</v>
      </c>
      <c r="P943" s="179" t="e">
        <f t="shared" si="611"/>
        <v>#DIV/0!</v>
      </c>
      <c r="Q943" s="179">
        <f t="shared" si="611"/>
        <v>2.2310306860808742E-2</v>
      </c>
      <c r="R943" s="179">
        <f t="shared" si="611"/>
        <v>2.0225545789001823E-2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1.9705148981710663E-2</v>
      </c>
      <c r="F944" s="179">
        <f t="shared" si="611"/>
        <v>1.8658542576453441E-2</v>
      </c>
      <c r="G944" s="179">
        <f t="shared" si="611"/>
        <v>1.7494581828214169E-2</v>
      </c>
      <c r="H944" s="179">
        <f t="shared" si="611"/>
        <v>1.6693334203562695E-2</v>
      </c>
      <c r="I944" s="179">
        <f t="shared" si="611"/>
        <v>1.6248966697978408E-2</v>
      </c>
      <c r="J944" s="179">
        <f t="shared" si="611"/>
        <v>1.6610362807666569E-2</v>
      </c>
      <c r="K944" s="179">
        <f t="shared" si="611"/>
        <v>1.6637216150356921E-2</v>
      </c>
      <c r="L944" s="179">
        <f t="shared" si="611"/>
        <v>1.5872028639882473E-2</v>
      </c>
      <c r="M944" s="179">
        <f t="shared" si="611"/>
        <v>1.5849642413001852E-2</v>
      </c>
      <c r="N944" s="179">
        <f t="shared" si="611"/>
        <v>1.6891127843507277E-2</v>
      </c>
      <c r="O944" s="179">
        <f t="shared" si="611"/>
        <v>1.7991125554818823E-2</v>
      </c>
      <c r="P944" s="179">
        <f t="shared" si="611"/>
        <v>1.9574896578631675E-2</v>
      </c>
      <c r="Q944" s="179" t="e">
        <f t="shared" si="611"/>
        <v>#DIV/0!</v>
      </c>
      <c r="R944" s="179">
        <f t="shared" si="611"/>
        <v>1.6976511050871456E-2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20.25" x14ac:dyDescent="0.35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0.12694870907163477</v>
      </c>
      <c r="F1058" s="199">
        <f t="array" ref="F1058">IF(F33=MAX(IF(ISNUMBER($E$33:$DT$33),$E$33:$DT$33)),0,SUM(IF($D$805:$D$924&gt;=F33+1,IF($D$805:$D$924&lt;=MAX(IF(ISNUMBER($E$33:$DT$33),$E$33:$DT$33)),F$805:F$924))))</f>
        <v>0.11048270529948143</v>
      </c>
      <c r="G1058" s="199">
        <f t="array" ref="G1058">IF(G33=MAX(IF(ISNUMBER($E$33:$DT$33),$E$33:$DT$33)),0,SUM(IF($D$805:$D$924&gt;=G33+1,IF($D$805:$D$924&lt;=MAX(IF(ISNUMBER($E$33:$DT$33),$E$33:$DT$33)),G$805:G$924))))</f>
        <v>6.8573742307390786E-2</v>
      </c>
      <c r="H1058" s="199">
        <f t="array" ref="H1058">IF(H33=MAX(IF(ISNUMBER($E$33:$DT$33),$E$33:$DT$33)),0,SUM(IF($D$805:$D$924&gt;=H33+1,IF($D$805:$D$924&lt;=MAX(IF(ISNUMBER($E$33:$DT$33),$E$33:$DT$33)),H$805:H$924))))</f>
        <v>3.9766628959726269E-2</v>
      </c>
      <c r="I1058" s="199">
        <f t="array" ref="I1058">IF(I33=MAX(IF(ISNUMBER($E$33:$DT$33),$E$33:$DT$33)),0,SUM(IF($D$805:$D$924&gt;=I33+1,IF($D$805:$D$924&lt;=MAX(IF(ISNUMBER($E$33:$DT$33),$E$33:$DT$33)),I$805:I$924))))</f>
        <v>2.3728793710138547E-2</v>
      </c>
      <c r="J1058" s="199">
        <f t="array" ref="J1058">IF(J33=MAX(IF(ISNUMBER($E$33:$DT$33),$E$33:$DT$33)),0,SUM(IF($D$805:$D$924&gt;=J33+1,IF($D$805:$D$924&lt;=MAX(IF(ISNUMBER($E$33:$DT$33),$E$33:$DT$33)),J$805:J$924))))</f>
        <v>2.3755957162257889E-2</v>
      </c>
      <c r="K1058" s="199">
        <f t="array" ref="K1058">IF(K33=MAX(IF(ISNUMBER($E$33:$DT$33),$E$33:$DT$33)),0,SUM(IF($D$805:$D$924&gt;=K33+1,IF($D$805:$D$924&lt;=MAX(IF(ISNUMBER($E$33:$DT$33),$E$33:$DT$33)),K$805:K$924))))</f>
        <v>3.03099543534797E-2</v>
      </c>
      <c r="L1058" s="199">
        <f t="array" ref="L1058">IF(L33=MAX(IF(ISNUMBER($E$33:$DT$33),$E$33:$DT$33)),0,SUM(IF($D$805:$D$924&gt;=L33+1,IF($D$805:$D$924&lt;=MAX(IF(ISNUMBER($E$33:$DT$33),$E$33:$DT$33)),L$805:L$924))))</f>
        <v>1.8410363830057123E-2</v>
      </c>
      <c r="M1058" s="199">
        <f t="array" ref="M1058">IF(M33=MAX(IF(ISNUMBER($E$33:$DT$33),$E$33:$DT$33)),0,SUM(IF($D$805:$D$924&gt;=M33+1,IF($D$805:$D$924&lt;=MAX(IF(ISNUMBER($E$33:$DT$33),$E$33:$DT$33)),M$805:M$924))))</f>
        <v>8.7151595032395925E-3</v>
      </c>
      <c r="N1058" s="199">
        <f t="array" ref="N1058">IF(N33=MAX(IF(ISNUMBER($E$33:$DT$33),$E$33:$DT$33)),0,SUM(IF($D$805:$D$924&gt;=N33+1,IF($D$805:$D$924&lt;=MAX(IF(ISNUMBER($E$33:$DT$33),$E$33:$DT$33)),N$805:N$924))))</f>
        <v>4.7468466432050603E-3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20.25" x14ac:dyDescent="0.35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2.955785422894272E-2</v>
      </c>
      <c r="J1065" s="199">
        <f t="array" ref="J1065">IF(J32=MIN($E$12:$DT$12),0,SUM(IF($D$932:$D$1051&gt;=MIN($E$12:$DT$12),IF($D$932:$D$1051&lt;=J32-1,J$932:J$1051))))</f>
        <v>0.27549698545236517</v>
      </c>
      <c r="K1065" s="199">
        <f t="array" ref="K1065">IF(K32=MIN($E$12:$DT$12),0,SUM(IF($D$932:$D$1051&gt;=MIN($E$12:$DT$12),IF($D$932:$D$1051&lt;=K32-1,K$932:K$1051))))</f>
        <v>0.46405421170379879</v>
      </c>
      <c r="L1065" s="199">
        <f t="array" ref="L1065">IF(L32=MIN($E$12:$DT$12),0,SUM(IF($D$932:$D$1051&gt;=MIN($E$12:$DT$12),IF($D$932:$D$1051&lt;=L32-1,L$932:L$1051))))</f>
        <v>0.65331373363615675</v>
      </c>
      <c r="M1065" s="199">
        <f t="array" ref="M1065">IF(M32=MIN($E$12:$DT$12),0,SUM(IF($D$932:$D$1051&gt;=MIN($E$12:$DT$12),IF($D$932:$D$1051&lt;=M32-1,M$932:M$1051))))</f>
        <v>0.77391448704772703</v>
      </c>
      <c r="N1065" s="199">
        <f t="array" ref="N1065">IF(N32=MIN($E$12:$DT$12),0,SUM(IF($D$932:$D$1051&gt;=MIN($E$12:$DT$12),IF($D$932:$D$1051&lt;=N32-1,N$932:N$1051))))</f>
        <v>0.84228111937181127</v>
      </c>
      <c r="O1065" s="199">
        <f t="array" ref="O1065">IF(O32=MIN($E$12:$DT$12),0,SUM(IF($D$932:$D$1051&gt;=MIN($E$12:$DT$12),IF($D$932:$D$1051&lt;=O32-1,O$932:O$1051))))</f>
        <v>0.86806229344044272</v>
      </c>
      <c r="P1065" s="199">
        <f t="array" ref="P1065">IF(P32=MIN($E$12:$DT$12),0,SUM(IF($D$932:$D$1051&gt;=MIN($E$12:$DT$12),IF($D$932:$D$1051&lt;=P32-1,P$932:P$1051))))</f>
        <v>0.88850864106042293</v>
      </c>
      <c r="Q1065" s="199">
        <f t="array" ref="Q1065">IF(Q32=MIN($E$12:$DT$12),0,SUM(IF($D$932:$D$1051&gt;=MIN($E$12:$DT$12),IF($D$932:$D$1051&lt;=Q32-1,Q$932:Q$1051))))</f>
        <v>0.9455543701314838</v>
      </c>
      <c r="R1065" s="199">
        <f t="array" ref="R1065">IF(R32=MIN($E$12:$DT$12),0,SUM(IF($D$932:$D$1051&gt;=MIN($E$12:$DT$12),IF($D$932:$D$1051&lt;=R32-1,R$932:R$1051))))</f>
        <v>0.98192752046635012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20.25" x14ac:dyDescent="0.35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0.41681396153869366</v>
      </c>
      <c r="F1072" s="199">
        <f t="array" ref="F1072">(F$545)*SUM(IF($E$12:$DT$12&gt;=F32,IF($E$12:$DT$12&lt;=F33,$E$15:$DT$15)))</f>
        <v>0.677715969681701</v>
      </c>
      <c r="G1072" s="199">
        <f t="array" ref="G1072">(G$545)*SUM(IF($E$12:$DT$12&gt;=G32,IF($E$12:$DT$12&lt;=G33,$E$15:$DT$15)))</f>
        <v>0.91179255292024552</v>
      </c>
      <c r="H1072" s="199">
        <f t="array" ref="H1072">(H$545)*SUM(IF($E$12:$DT$12&gt;=H32,IF($E$12:$DT$12&lt;=H33,$E$15:$DT$15)))</f>
        <v>1.0423369293562392</v>
      </c>
      <c r="I1072" s="199">
        <f t="array" ref="I1072">(I$545)*SUM(IF($E$12:$DT$12&gt;=I32,IF($E$12:$DT$12&lt;=I33,$E$15:$DT$15)))</f>
        <v>1.0735085552804715</v>
      </c>
      <c r="J1072" s="199">
        <f t="array" ref="J1072">(J$545)*SUM(IF($E$12:$DT$12&gt;=J32,IF($E$12:$DT$12&lt;=J33,$E$15:$DT$15)))</f>
        <v>0.82762668325308997</v>
      </c>
      <c r="K1072" s="199">
        <f t="array" ref="K1072">(K$545)*SUM(IF($E$12:$DT$12&gt;=K32,IF($E$12:$DT$12&lt;=K33,$E$15:$DT$15)))</f>
        <v>0.60971308545387271</v>
      </c>
      <c r="L1072" s="199">
        <f t="array" ref="L1072">(L$545)*SUM(IF($E$12:$DT$12&gt;=L32,IF($E$12:$DT$12&lt;=L33,$E$15:$DT$15)))</f>
        <v>0.40346278729390966</v>
      </c>
      <c r="M1072" s="199">
        <f t="array" ref="M1072">(M$545)*SUM(IF($E$12:$DT$12&gt;=M32,IF($E$12:$DT$12&lt;=M33,$E$15:$DT$15)))</f>
        <v>0.28628766441826764</v>
      </c>
      <c r="N1072" s="199">
        <f t="array" ref="N1072">(N$545)*SUM(IF($E$12:$DT$12&gt;=N32,IF($E$12:$DT$12&lt;=N33,$E$15:$DT$15)))</f>
        <v>0.22539717098716533</v>
      </c>
      <c r="O1072" s="199">
        <f t="array" ref="O1072">(O$545)*SUM(IF($E$12:$DT$12&gt;=O32,IF($E$12:$DT$12&lt;=O33,$E$15:$DT$15)))</f>
        <v>0.20076339944540428</v>
      </c>
      <c r="P1072" s="199">
        <f t="array" ref="P1072">(P$545)*SUM(IF($E$12:$DT$12&gt;=P32,IF($E$12:$DT$12&lt;=P33,$E$15:$DT$15)))</f>
        <v>0.17074890458463737</v>
      </c>
      <c r="Q1072" s="199">
        <f t="array" ref="Q1072">(Q$545)*SUM(IF($E$12:$DT$12&gt;=Q32,IF($E$12:$DT$12&lt;=Q33,$E$15:$DT$15)))</f>
        <v>9.5881155102487417E-2</v>
      </c>
      <c r="R1072" s="199">
        <f t="array" ref="R1072">(R$545)*SUM(IF($E$12:$DT$12&gt;=R32,IF($E$12:$DT$12&lt;=R33,$E$15:$DT$15)))</f>
        <v>4.4954242833762821E-2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75" x14ac:dyDescent="0.25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0.54376267061032846</v>
      </c>
      <c r="F1079" s="199">
        <f t="shared" si="705"/>
        <v>0.78819867498118246</v>
      </c>
      <c r="G1079" s="199">
        <f t="shared" si="705"/>
        <v>0.9803662952276363</v>
      </c>
      <c r="H1079" s="199">
        <f t="shared" si="705"/>
        <v>1.0821035583159655</v>
      </c>
      <c r="I1079" s="199">
        <f t="shared" si="705"/>
        <v>1.1267952032195527</v>
      </c>
      <c r="J1079" s="199">
        <f t="shared" si="705"/>
        <v>1.126879625867713</v>
      </c>
      <c r="K1079" s="199">
        <f t="shared" si="705"/>
        <v>1.1040772515111512</v>
      </c>
      <c r="L1079" s="199">
        <f t="shared" si="705"/>
        <v>1.0751868847601236</v>
      </c>
      <c r="M1079" s="199">
        <f t="shared" si="705"/>
        <v>1.0689173109692343</v>
      </c>
      <c r="N1079" s="199">
        <f t="shared" si="705"/>
        <v>1.0724251370021816</v>
      </c>
      <c r="O1079" s="199">
        <f t="shared" si="705"/>
        <v>1.0688256928858471</v>
      </c>
      <c r="P1079" s="199">
        <f t="shared" si="705"/>
        <v>1.0592575456450604</v>
      </c>
      <c r="Q1079" s="199">
        <f t="shared" si="705"/>
        <v>1.0414355252339713</v>
      </c>
      <c r="R1079" s="199">
        <f t="shared" si="705"/>
        <v>1.026881763300113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75" x14ac:dyDescent="0.25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75" x14ac:dyDescent="0.25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1.126879625867713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0.11259377040383872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0.60049019607843135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0.14460784313725492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2.6437517510058607E-2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2578125" defaultRowHeight="12.75" x14ac:dyDescent="0.2"/>
  <sheetData>
    <row r="1" spans="1:9" ht="18" x14ac:dyDescent="0.25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8" x14ac:dyDescent="0.25">
      <c r="A2" s="39"/>
      <c r="B2" s="39"/>
      <c r="C2" s="39"/>
      <c r="D2" s="39"/>
      <c r="E2" s="39"/>
      <c r="F2" s="39"/>
      <c r="G2" s="39"/>
      <c r="H2" s="39"/>
      <c r="I2" s="39"/>
    </row>
    <row r="3" spans="1:9" ht="18" x14ac:dyDescent="0.25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8" x14ac:dyDescent="0.25">
      <c r="A4" s="39"/>
      <c r="B4" s="39"/>
      <c r="C4" s="39"/>
      <c r="D4" s="39"/>
      <c r="E4" s="39"/>
      <c r="F4" s="39"/>
      <c r="G4" s="39"/>
      <c r="H4" s="39"/>
      <c r="I4" s="39"/>
    </row>
    <row r="5" spans="1:9" ht="18" x14ac:dyDescent="0.25">
      <c r="A5" s="39"/>
      <c r="B5" s="39"/>
      <c r="C5" s="39"/>
      <c r="D5" s="39"/>
      <c r="E5" s="39"/>
      <c r="F5" s="39"/>
      <c r="G5" s="39"/>
      <c r="H5" s="39"/>
      <c r="I5" s="39"/>
    </row>
    <row r="6" spans="1:9" ht="18" x14ac:dyDescent="0.25">
      <c r="A6" s="39"/>
      <c r="B6" s="39"/>
      <c r="C6" s="39"/>
      <c r="D6" s="39"/>
      <c r="E6" s="39"/>
      <c r="F6" s="39"/>
      <c r="G6" s="39"/>
      <c r="H6" s="39"/>
      <c r="I6" s="39"/>
    </row>
    <row r="7" spans="1:9" ht="18" x14ac:dyDescent="0.25">
      <c r="A7" s="39"/>
      <c r="B7" s="39"/>
      <c r="C7" s="39"/>
      <c r="D7" s="39"/>
      <c r="E7" s="39"/>
      <c r="F7" s="39"/>
      <c r="G7" s="39"/>
      <c r="H7" s="39"/>
      <c r="I7" s="39"/>
    </row>
    <row r="8" spans="1:9" ht="18" x14ac:dyDescent="0.25">
      <c r="A8" s="39"/>
      <c r="B8" s="39"/>
      <c r="C8" s="39"/>
      <c r="D8" s="39"/>
      <c r="E8" s="39"/>
      <c r="F8" s="39"/>
      <c r="G8" s="39"/>
      <c r="H8" s="39"/>
      <c r="I8" s="39"/>
    </row>
    <row r="9" spans="1:9" ht="18" x14ac:dyDescent="0.25">
      <c r="A9" s="39"/>
      <c r="B9" s="39"/>
      <c r="C9" s="39"/>
      <c r="D9" s="39"/>
      <c r="E9" s="39"/>
      <c r="F9" s="39"/>
      <c r="G9" s="39"/>
      <c r="H9" s="39"/>
      <c r="I9" s="39"/>
    </row>
    <row r="10" spans="1:9" ht="18" x14ac:dyDescent="0.25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8" x14ac:dyDescent="0.25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8" x14ac:dyDescent="0.25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8" x14ac:dyDescent="0.25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8" x14ac:dyDescent="0.25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8" x14ac:dyDescent="0.25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8" x14ac:dyDescent="0.25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8" x14ac:dyDescent="0.25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8" x14ac:dyDescent="0.25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8" x14ac:dyDescent="0.25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8" x14ac:dyDescent="0.25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8" x14ac:dyDescent="0.25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8" x14ac:dyDescent="0.25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8" x14ac:dyDescent="0.25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8" x14ac:dyDescent="0.25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8" x14ac:dyDescent="0.25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8" x14ac:dyDescent="0.25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8" x14ac:dyDescent="0.25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8" x14ac:dyDescent="0.25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8" x14ac:dyDescent="0.25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8" x14ac:dyDescent="0.25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8" x14ac:dyDescent="0.25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8" x14ac:dyDescent="0.25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8" x14ac:dyDescent="0.25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8" x14ac:dyDescent="0.25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8" x14ac:dyDescent="0.25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8" x14ac:dyDescent="0.25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8" x14ac:dyDescent="0.25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Input-data</vt:lpstr>
      <vt:lpstr>Statistik</vt:lpstr>
      <vt:lpstr>Frequency distribution</vt:lpstr>
      <vt:lpstr>Cumulative Curves</vt:lpstr>
      <vt:lpstr>Interpolation</vt:lpstr>
      <vt:lpstr>Kf_Kozeny-Carman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2021-07-01T10:25:34Z</dcterms:modified>
</cp:coreProperties>
</file>