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greiros\PythonProject\datasets\"/>
    </mc:Choice>
  </mc:AlternateContent>
  <bookViews>
    <workbookView xWindow="-108" yWindow="-108" windowWidth="25824" windowHeight="14016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<sst xmlns="http://schemas.openxmlformats.org/spreadsheetml/2006/main" count="401" uniqueCount="226">
  <si>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</si>
  <si>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</si>
  <si>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</si>
  <si>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</si>
  <si>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</si>
  <si>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</si>
  <si>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</si>
  <si>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</si>
  <si>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</si>
  <si>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</si>
  <si>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</si>
  <si>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</si>
  <si>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</si>
  <si>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</si>
  <si>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</si>
  <si>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</si>
  <si>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</si>
  <si>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</si>
  <si>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</si>
  <si>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</si>
  <si>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</si>
  <si>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</si>
  <si>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</si>
  <si>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</si>
  <si>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</si>
  <si>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</si>
  <si>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</si>
  <si>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</si>
  <si>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</si>
  <si>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</si>
  <si>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</si>
  <si>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</si>
  <si>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</si>
  <si>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</si>
  <si>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</si>
  <si>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</si>
  <si>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</si>
  <si>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</si>
  <si>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</si>
  <si>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</si>
  <si>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</si>
  <si>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</si>
  <si>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</si>
  <si>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</si>
  <si>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</si>
  <si>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</si>
  <si>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</si>
  <si>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</si>
  <si>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</si>
  <si>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</si>
  <si>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</si>
  <si>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</si>
  <si>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</si>
  <si>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</si>
  <si>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</si>
  <si>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</si>
  <si>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</si>
  <si>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</si>
  <si>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</si>
  <si>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</si>
  <si>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</si>
  <si>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</si>
  <si>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</si>
  <si>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</si>
  <si>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</si>
  <si>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</si>
  <si>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</si>
  <si>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</si>
  <si>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</si>
  <si>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</si>
  <si>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</si>
  <si>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</si>
  <si>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</si>
  <si>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</si>
  <si>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</si>
  <si>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</si>
  <si>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</si>
  <si>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</si>
  <si>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</si>
  <si>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</si>
  <si>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</si>
  <si>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</si>
  <si>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</si>
  <si>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</si>
  <si>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</si>
  <si>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</si>
  <si>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</si>
  <si>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</si>
  <si>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</si>
  <si>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</si>
  <si>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</si>
  <si>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</si>
  <si>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</si>
  <si>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</si>
  <si>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</si>
  <si>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</si>
  <si>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</si>
  <si>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</si>
  <si>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</si>
  <si>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</si>
  <si>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</si>
  <si>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</si>
  <si>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</si>
  <si>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</si>
  <si>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</si>
  <si>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</si>
  <si>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</si>
  <si>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</si>
  <si>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</si>
  <si>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</si>
  <si>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</si>
  <si>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</si>
  <si>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</si>
  <si>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</si>
  <si>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</si>
  <si>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</si>
  <si>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</si>
  <si>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</si>
  <si>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</si>
  <si>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</si>
  <si>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</si>
  <si>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</si>
  <si>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</si>
  <si>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</si>
  <si>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</si>
  <si>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</si>
  <si>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</si>
  <si>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</si>
  <si>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</si>
  <si>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</si>
  <si>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</si>
  <si>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</si>
  <si>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</si>
  <si>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</si>
  <si>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</si>
  <si>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</si>
  <si>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</si>
  <si>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</si>
  <si>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</si>
  <si>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</si>
  <si>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</si>
  <si>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</si>
  <si>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</si>
  <si>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</si>
  <si>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</si>
  <si>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</si>
  <si>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</si>
  <si>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</si>
  <si>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</si>
  <si>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</si>
  <si>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</si>
  <si>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</si>
  <si>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</si>
  <si>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</si>
  <si>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</si>
  <si>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</si>
  <si>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</si>
  <si>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</si>
  <si>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</si>
  <si>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</si>
  <si>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</si>
  <si>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</si>
  <si>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</si>
  <si>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</si>
  <si>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</si>
  <si>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</si>
  <si>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</si>
  <si>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</si>
  <si>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</si>
  <si>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</si>
  <si>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</si>
  <si>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</si>
  <si>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</si>
  <si>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</si>
  <si>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</si>
  <si>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</si>
  <si>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</si>
  <si>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</si>
  <si>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</si>
  <si>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</si>
  <si>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</si>
  <si>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</si>
  <si>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</si>
  <si>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</si>
  <si>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</si>
  <si>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</si>
  <si>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</si>
  <si>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</si>
  <si>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</si>
  <si>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</si>
  <si>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</si>
  <si>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</si>
  <si>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</si>
  <si>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</si>
  <si>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</si>
  <si>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</si>
  <si>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</si>
  <si>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</si>
  <si>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</si>
  <si>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</si>
  <si>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</si>
  <si>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</si>
  <si>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</si>
  <si>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</si>
  <si>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</si>
  <si>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</si>
  <si>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</si>
  <si>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</si>
  <si>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</si>
  <si>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</si>
  <si>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</si>
  <si>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</si>
  <si>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</si>
  <si>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</si>
  <si>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</si>
  <si>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</si>
  <si>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</si>
  <si>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</si>
  <si>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</si>
  <si>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</si>
  <si>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</si>
  <si>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</si>
  <si>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KB07 FC 1 1 Dez2019</t>
  </si>
  <si>
    <t>Dez2019</t>
  </si>
  <si>
    <t>Porosity [-]</t>
  </si>
  <si>
    <t>SF_porosity [-]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</si>
</sst>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72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12" fillId="5" borderId="41" xfId="0" applyFont="1" applyFill="1" applyBorder="1" applyAlignment="1">
      <alignment horizontal="center"/>
    </xf>
    <xf numFmtId="0" fontId="12" fillId="3" borderId="41" xfId="0" applyFont="1" applyFill="1" applyBorder="1" applyAlignment="1">
      <alignment horizontal="center"/>
    </xf>
    <xf numFmtId="0" fontId="16" fillId="5" borderId="41" xfId="0" applyFont="1" applyFill="1" applyBorder="1" applyAlignment="1">
      <alignment horizontal="center"/>
    </xf>
    <xf numFmtId="0" fontId="16" fillId="3" borderId="41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ont="1"/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5" borderId="0" xfId="0" applyFont="1" applyFill="1" applyAlignment="1">
      <alignment horizontal="center"/>
    </xf>
    <xf numFmtId="10" fontId="0" fillId="5" borderId="0" xfId="0" applyNumberFormat="1" applyFill="1" applyAlignment="1">
      <alignment horizontal="center"/>
    </xf>
    <xf numFmtId="0" fontId="19" fillId="0" borderId="0" xfId="0" applyFont="1"/>
    <xf numFmtId="0" fontId="20" fillId="0" borderId="20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1" xfId="2" applyFont="1" applyBorder="1"/>
    <xf numFmtId="0" fontId="23" fillId="0" borderId="41" xfId="2" applyFont="1" applyBorder="1"/>
    <xf numFmtId="0" fontId="23" fillId="0" borderId="41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7" borderId="32" xfId="2" applyFont="1" applyFill="1" applyBorder="1"/>
    <xf numFmtId="0" fontId="9" fillId="7" borderId="27" xfId="2" applyFont="1" applyFill="1" applyBorder="1"/>
    <xf numFmtId="0" fontId="9" fillId="7" borderId="19" xfId="2" applyFont="1" applyFill="1" applyBorder="1"/>
    <xf numFmtId="2" fontId="8" fillId="8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7" borderId="44" xfId="2" applyFont="1" applyFill="1" applyBorder="1"/>
    <xf numFmtId="0" fontId="9" fillId="7" borderId="36" xfId="2" applyFont="1" applyFill="1" applyBorder="1"/>
    <xf numFmtId="0" fontId="8" fillId="7" borderId="44" xfId="2" applyFont="1" applyFill="1" applyBorder="1" applyAlignment="1">
      <alignment horizontal="center"/>
    </xf>
    <xf numFmtId="0" fontId="8" fillId="7" borderId="36" xfId="2" applyFont="1" applyFill="1" applyBorder="1" applyAlignment="1">
      <alignment horizontal="center"/>
    </xf>
    <xf numFmtId="0" fontId="8" fillId="7" borderId="45" xfId="2" applyFont="1" applyFill="1" applyBorder="1" applyAlignment="1">
      <alignment horizontal="center"/>
    </xf>
    <xf numFmtId="0" fontId="9" fillId="7" borderId="46" xfId="2" applyFont="1" applyFill="1" applyBorder="1"/>
    <xf numFmtId="0" fontId="9" fillId="7" borderId="0" xfId="2" applyFont="1" applyFill="1" applyBorder="1"/>
    <xf numFmtId="1" fontId="26" fillId="8" borderId="44" xfId="2" applyNumberFormat="1" applyFont="1" applyFill="1" applyBorder="1" applyAlignment="1">
      <alignment horizontal="center"/>
    </xf>
    <xf numFmtId="1" fontId="26" fillId="8" borderId="36" xfId="2" applyNumberFormat="1" applyFont="1" applyFill="1" applyBorder="1" applyAlignment="1">
      <alignment horizontal="center"/>
    </xf>
    <xf numFmtId="167" fontId="26" fillId="8" borderId="36" xfId="2" applyNumberFormat="1" applyFont="1" applyFill="1" applyBorder="1" applyAlignment="1">
      <alignment horizontal="center"/>
    </xf>
    <xf numFmtId="2" fontId="26" fillId="8" borderId="36" xfId="2" applyNumberFormat="1" applyFont="1" applyFill="1" applyBorder="1" applyAlignment="1">
      <alignment horizontal="center"/>
    </xf>
    <xf numFmtId="2" fontId="8" fillId="8" borderId="36" xfId="2" applyNumberFormat="1" applyFont="1" applyFill="1" applyBorder="1"/>
    <xf numFmtId="0" fontId="8" fillId="8" borderId="36" xfId="2" applyFont="1" applyFill="1" applyBorder="1"/>
    <xf numFmtId="0" fontId="8" fillId="8" borderId="45" xfId="2" applyFont="1" applyFill="1" applyBorder="1"/>
    <xf numFmtId="0" fontId="9" fillId="7" borderId="47" xfId="2" applyFont="1" applyFill="1" applyBorder="1"/>
    <xf numFmtId="0" fontId="9" fillId="7" borderId="41" xfId="2" applyFont="1" applyFill="1" applyBorder="1"/>
    <xf numFmtId="2" fontId="8" fillId="8" borderId="47" xfId="2" applyNumberFormat="1" applyFont="1" applyFill="1" applyBorder="1" applyAlignment="1">
      <alignment horizontal="center"/>
    </xf>
    <xf numFmtId="2" fontId="8" fillId="8" borderId="41" xfId="2" applyNumberFormat="1" applyFont="1" applyFill="1" applyBorder="1" applyAlignment="1">
      <alignment horizontal="center"/>
    </xf>
    <xf numFmtId="2" fontId="8" fillId="8" borderId="41" xfId="2" applyNumberFormat="1" applyFont="1" applyFill="1" applyBorder="1"/>
    <xf numFmtId="0" fontId="8" fillId="8" borderId="41" xfId="2" applyFont="1" applyFill="1" applyBorder="1"/>
    <xf numFmtId="0" fontId="8" fillId="8" borderId="48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7" borderId="32" xfId="2" applyFont="1" applyFill="1" applyBorder="1" applyAlignment="1">
      <alignment horizontal="left"/>
    </xf>
    <xf numFmtId="0" fontId="8" fillId="7" borderId="27" xfId="2" applyFont="1" applyFill="1" applyBorder="1" applyAlignment="1">
      <alignment horizontal="center"/>
    </xf>
    <xf numFmtId="0" fontId="8" fillId="7" borderId="19" xfId="2" applyFont="1" applyFill="1" applyBorder="1"/>
    <xf numFmtId="0" fontId="8" fillId="7" borderId="46" xfId="2" applyFont="1" applyFill="1" applyBorder="1"/>
    <xf numFmtId="0" fontId="8" fillId="7" borderId="0" xfId="2" applyFont="1" applyFill="1" applyBorder="1"/>
    <xf numFmtId="0" fontId="8" fillId="0" borderId="44" xfId="2" applyFont="1" applyFill="1" applyBorder="1" applyAlignment="1">
      <alignment horizontal="center"/>
    </xf>
    <xf numFmtId="0" fontId="8" fillId="0" borderId="36" xfId="2" applyFont="1" applyFill="1" applyBorder="1" applyAlignment="1">
      <alignment horizontal="center"/>
    </xf>
    <xf numFmtId="0" fontId="8" fillId="0" borderId="45" xfId="2" applyFont="1" applyFill="1" applyBorder="1" applyAlignment="1">
      <alignment horizontal="center"/>
    </xf>
    <xf numFmtId="0" fontId="8" fillId="0" borderId="46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4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6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4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27" fillId="0" borderId="41" xfId="2" applyNumberFormat="1" applyFont="1" applyFill="1" applyBorder="1" applyAlignment="1">
      <alignment horizontal="center"/>
    </xf>
    <xf numFmtId="2" fontId="8" fillId="0" borderId="41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0" fontId="26" fillId="7" borderId="44" xfId="2" applyFont="1" applyFill="1" applyBorder="1"/>
    <xf numFmtId="0" fontId="26" fillId="7" borderId="36" xfId="2" applyFont="1" applyFill="1" applyBorder="1"/>
    <xf numFmtId="0" fontId="26" fillId="7" borderId="45" xfId="2" applyFont="1" applyFill="1" applyBorder="1"/>
    <xf numFmtId="0" fontId="26" fillId="7" borderId="0" xfId="2" applyFont="1" applyFill="1" applyBorder="1"/>
    <xf numFmtId="2" fontId="27" fillId="7" borderId="0" xfId="2" applyNumberFormat="1" applyFont="1" applyFill="1" applyBorder="1" applyAlignment="1">
      <alignment horizontal="center"/>
    </xf>
    <xf numFmtId="2" fontId="8" fillId="7" borderId="0" xfId="2" applyNumberFormat="1" applyFont="1" applyFill="1" applyBorder="1" applyAlignment="1">
      <alignment horizontal="center"/>
    </xf>
    <xf numFmtId="2" fontId="27" fillId="7" borderId="34" xfId="2" applyNumberFormat="1" applyFont="1" applyFill="1" applyBorder="1" applyAlignment="1">
      <alignment horizontal="center"/>
    </xf>
    <xf numFmtId="0" fontId="8" fillId="7" borderId="47" xfId="2" applyFont="1" applyFill="1" applyBorder="1"/>
    <xf numFmtId="0" fontId="8" fillId="7" borderId="41" xfId="2" applyFont="1" applyFill="1" applyBorder="1"/>
    <xf numFmtId="0" fontId="8" fillId="7" borderId="48" xfId="2" applyFont="1" applyFill="1" applyBorder="1"/>
    <xf numFmtId="2" fontId="27" fillId="7" borderId="41" xfId="2" applyNumberFormat="1" applyFont="1" applyFill="1" applyBorder="1" applyAlignment="1">
      <alignment horizontal="center"/>
    </xf>
    <xf numFmtId="2" fontId="8" fillId="7" borderId="41" xfId="2" applyNumberFormat="1" applyFont="1" applyFill="1" applyBorder="1" applyAlignment="1">
      <alignment horizontal="center"/>
    </xf>
    <xf numFmtId="2" fontId="27" fillId="7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7" borderId="27" xfId="2" applyNumberFormat="1" applyFont="1" applyFill="1" applyBorder="1" applyAlignment="1">
      <alignment horizontal="center"/>
    </xf>
    <xf numFmtId="0" fontId="8" fillId="7" borderId="27" xfId="2" applyFont="1" applyFill="1" applyBorder="1"/>
    <xf numFmtId="2" fontId="8" fillId="7" borderId="19" xfId="2" applyNumberFormat="1" applyFont="1" applyFill="1" applyBorder="1"/>
    <xf numFmtId="2" fontId="8" fillId="0" borderId="44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2" fontId="27" fillId="0" borderId="45" xfId="2" applyNumberFormat="1" applyFont="1" applyFill="1" applyBorder="1" applyAlignment="1">
      <alignment horizontal="center"/>
    </xf>
    <xf numFmtId="2" fontId="8" fillId="7" borderId="34" xfId="2" applyNumberFormat="1" applyFont="1" applyFill="1" applyBorder="1"/>
    <xf numFmtId="2" fontId="27" fillId="0" borderId="46" xfId="2" applyNumberFormat="1" applyFont="1" applyFill="1" applyBorder="1" applyAlignment="1">
      <alignment horizontal="center"/>
    </xf>
    <xf numFmtId="2" fontId="27" fillId="0" borderId="34" xfId="2" applyNumberFormat="1" applyFont="1" applyFill="1" applyBorder="1" applyAlignment="1">
      <alignment horizontal="center"/>
    </xf>
    <xf numFmtId="0" fontId="8" fillId="7" borderId="46" xfId="2" quotePrefix="1" applyFont="1" applyFill="1" applyBorder="1"/>
    <xf numFmtId="0" fontId="8" fillId="7" borderId="47" xfId="2" quotePrefix="1" applyFont="1" applyFill="1" applyBorder="1"/>
    <xf numFmtId="2" fontId="8" fillId="7" borderId="48" xfId="2" applyNumberFormat="1" applyFont="1" applyFill="1" applyBorder="1"/>
    <xf numFmtId="0" fontId="8" fillId="7" borderId="36" xfId="2" applyFont="1" applyFill="1" applyBorder="1"/>
    <xf numFmtId="0" fontId="8" fillId="7" borderId="45" xfId="2" applyFont="1" applyFill="1" applyBorder="1"/>
    <xf numFmtId="2" fontId="27" fillId="7" borderId="36" xfId="2" applyNumberFormat="1" applyFont="1" applyFill="1" applyBorder="1" applyAlignment="1">
      <alignment horizontal="center"/>
    </xf>
    <xf numFmtId="2" fontId="8" fillId="7" borderId="36" xfId="2" applyNumberFormat="1" applyFont="1" applyFill="1" applyBorder="1" applyAlignment="1">
      <alignment horizontal="center"/>
    </xf>
    <xf numFmtId="2" fontId="27" fillId="7" borderId="45" xfId="2" applyNumberFormat="1" applyFont="1" applyFill="1" applyBorder="1" applyAlignment="1">
      <alignment horizontal="center"/>
    </xf>
    <xf numFmtId="0" fontId="8" fillId="7" borderId="34" xfId="2" applyFont="1" applyFill="1" applyBorder="1"/>
    <xf numFmtId="2" fontId="38" fillId="7" borderId="41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7" borderId="32" xfId="2" applyFont="1" applyFill="1" applyBorder="1"/>
    <xf numFmtId="0" fontId="40" fillId="7" borderId="46" xfId="2" applyFont="1" applyFill="1" applyBorder="1"/>
    <xf numFmtId="1" fontId="8" fillId="0" borderId="44" xfId="2" applyNumberFormat="1" applyFont="1" applyFill="1" applyBorder="1" applyAlignment="1">
      <alignment horizontal="center"/>
    </xf>
    <xf numFmtId="1" fontId="8" fillId="0" borderId="36" xfId="2" applyNumberFormat="1" applyFont="1" applyFill="1" applyBorder="1" applyAlignment="1">
      <alignment horizontal="center"/>
    </xf>
    <xf numFmtId="1" fontId="8" fillId="0" borderId="45" xfId="2" applyNumberFormat="1" applyFont="1" applyFill="1" applyBorder="1" applyAlignment="1">
      <alignment horizontal="center"/>
    </xf>
    <xf numFmtId="2" fontId="40" fillId="7" borderId="47" xfId="2" applyNumberFormat="1" applyFont="1" applyFill="1" applyBorder="1" applyAlignment="1">
      <alignment horizontal="left"/>
    </xf>
    <xf numFmtId="1" fontId="8" fillId="0" borderId="47" xfId="2" applyNumberFormat="1" applyFont="1" applyBorder="1" applyAlignment="1">
      <alignment horizontal="center"/>
    </xf>
    <xf numFmtId="1" fontId="8" fillId="0" borderId="41" xfId="2" applyNumberFormat="1" applyFont="1" applyBorder="1" applyAlignment="1">
      <alignment horizontal="center"/>
    </xf>
    <xf numFmtId="1" fontId="8" fillId="0" borderId="48" xfId="2" applyNumberFormat="1" applyFont="1" applyFill="1" applyBorder="1" applyAlignment="1">
      <alignment horizontal="center"/>
    </xf>
    <xf numFmtId="0" fontId="8" fillId="7" borderId="44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4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46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4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41" xfId="2" applyNumberFormat="1" applyFont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7" borderId="21" xfId="2" applyFont="1" applyFill="1" applyBorder="1"/>
    <xf numFmtId="2" fontId="38" fillId="7" borderId="47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1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2" xfId="2" applyNumberFormat="1" applyFont="1" applyFill="1" applyBorder="1" applyAlignment="1">
      <alignment horizontal="center"/>
    </xf>
    <xf numFmtId="167" fontId="8" fillId="0" borderId="27" xfId="2" applyNumberFormat="1" applyFont="1" applyFill="1" applyBorder="1" applyAlignment="1">
      <alignment horizontal="center"/>
    </xf>
    <xf numFmtId="167" fontId="8" fillId="0" borderId="19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7" borderId="36" xfId="2" applyNumberFormat="1" applyFont="1" applyFill="1" applyBorder="1" applyAlignment="1">
      <alignment horizontal="center"/>
    </xf>
    <xf numFmtId="167" fontId="8" fillId="8" borderId="21" xfId="2" applyNumberFormat="1" applyFont="1" applyFill="1" applyBorder="1"/>
    <xf numFmtId="167" fontId="8" fillId="7" borderId="0" xfId="2" applyNumberFormat="1" applyFont="1" applyFill="1" applyBorder="1" applyAlignment="1">
      <alignment horizontal="center"/>
    </xf>
    <xf numFmtId="2" fontId="8" fillId="8" borderId="35" xfId="2" applyNumberFormat="1" applyFont="1" applyFill="1" applyBorder="1"/>
    <xf numFmtId="0" fontId="8" fillId="8" borderId="35" xfId="2" applyFont="1" applyFill="1" applyBorder="1"/>
    <xf numFmtId="167" fontId="8" fillId="7" borderId="41" xfId="2" applyNumberFormat="1" applyFont="1" applyFill="1" applyBorder="1" applyAlignment="1">
      <alignment horizontal="center"/>
    </xf>
    <xf numFmtId="2" fontId="8" fillId="8" borderId="37" xfId="2" applyNumberFormat="1" applyFont="1" applyFill="1" applyBorder="1"/>
    <xf numFmtId="167" fontId="8" fillId="7" borderId="27" xfId="2" applyNumberFormat="1" applyFont="1" applyFill="1" applyBorder="1" applyAlignment="1">
      <alignment horizontal="center"/>
    </xf>
    <xf numFmtId="2" fontId="8" fillId="8" borderId="6" xfId="2" applyNumberFormat="1" applyFont="1" applyFill="1" applyBorder="1"/>
    <xf numFmtId="0" fontId="45" fillId="9" borderId="44" xfId="2" applyFont="1" applyFill="1" applyBorder="1"/>
    <xf numFmtId="0" fontId="45" fillId="9" borderId="45" xfId="2" applyFont="1" applyFill="1" applyBorder="1"/>
    <xf numFmtId="2" fontId="45" fillId="9" borderId="46" xfId="2" applyNumberFormat="1" applyFont="1" applyFill="1" applyBorder="1"/>
    <xf numFmtId="0" fontId="45" fillId="9" borderId="34" xfId="2" applyFont="1" applyFill="1" applyBorder="1"/>
    <xf numFmtId="2" fontId="45" fillId="9" borderId="47" xfId="2" applyNumberFormat="1" applyFont="1" applyFill="1" applyBorder="1"/>
    <xf numFmtId="0" fontId="45" fillId="9" borderId="48" xfId="2" applyFont="1" applyFill="1" applyBorder="1"/>
    <xf numFmtId="166" fontId="8" fillId="0" borderId="0" xfId="2" applyNumberFormat="1" applyFont="1" applyAlignment="1">
      <alignment horizontal="center"/>
    </xf>
    <xf numFmtId="169" fontId="26" fillId="8" borderId="36" xfId="2" applyNumberFormat="1" applyFont="1" applyFill="1" applyBorder="1" applyAlignment="1">
      <alignment horizontal="center"/>
    </xf>
    <xf numFmtId="165" fontId="26" fillId="8" borderId="36" xfId="2" applyNumberFormat="1" applyFont="1" applyFill="1" applyBorder="1" applyAlignment="1">
      <alignment horizontal="center"/>
    </xf>
    <xf numFmtId="166" fontId="26" fillId="8" borderId="36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2" borderId="17" xfId="0" applyFont="1" applyFill="1" applyBorder="1" applyAlignment="1">
      <alignment horizontal="center"/>
    </xf>
    <xf numFmtId="0" fontId="6" fillId="0" borderId="18" xfId="0" applyFont="1" applyFill="1" applyBorder="1"/>
    <xf numFmtId="0" fontId="6" fillId="4" borderId="4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3" borderId="41" xfId="0" applyNumberFormat="1" applyFill="1" applyBorder="1" applyAlignment="1">
      <alignment horizontal="center"/>
    </xf>
    <xf numFmtId="167" fontId="0" fillId="3" borderId="27" xfId="0" applyNumberFormat="1" applyFill="1" applyBorder="1" applyAlignment="1">
      <alignment horizontal="center"/>
    </xf>
    <xf numFmtId="167" fontId="0" fillId="4" borderId="27" xfId="0" applyNumberFormat="1" applyFill="1" applyBorder="1" applyAlignment="1">
      <alignment horizontal="center"/>
    </xf>
    <xf numFmtId="165" fontId="0" fillId="3" borderId="27" xfId="0" applyNumberFormat="1" applyFill="1" applyBorder="1" applyAlignment="1">
      <alignment horizontal="center"/>
    </xf>
    <xf numFmtId="165" fontId="0" fillId="4" borderId="27" xfId="0" applyNumberFormat="1" applyFill="1" applyBorder="1" applyAlignment="1">
      <alignment horizontal="center"/>
    </xf>
    <xf numFmtId="166" fontId="0" fillId="4" borderId="27" xfId="0" applyNumberFormat="1" applyFill="1" applyBorder="1" applyAlignment="1">
      <alignment horizontal="center"/>
    </xf>
    <xf numFmtId="169" fontId="0" fillId="3" borderId="33" xfId="0" applyNumberFormat="1" applyFill="1" applyBorder="1" applyAlignment="1">
      <alignment horizontal="center"/>
    </xf>
    <xf numFmtId="0" fontId="6" fillId="6" borderId="25" xfId="0" applyFont="1" applyFill="1" applyBorder="1" applyAlignment="1">
      <alignment horizontal="center" wrapText="1"/>
    </xf>
    <xf numFmtId="0" fontId="6" fillId="5" borderId="25" xfId="0" applyFont="1" applyFill="1" applyBorder="1" applyAlignment="1">
      <alignment horizontal="center" wrapText="1"/>
    </xf>
    <xf numFmtId="0" fontId="6" fillId="6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5" borderId="22" xfId="0" applyNumberFormat="1" applyFill="1" applyBorder="1" applyAlignment="1">
      <alignment horizontal="center" vertical="center"/>
    </xf>
    <xf numFmtId="167" fontId="0" fillId="6" borderId="37" xfId="0" applyNumberFormat="1" applyFill="1" applyBorder="1" applyAlignment="1">
      <alignment horizontal="center" vertical="center"/>
    </xf>
    <xf numFmtId="167" fontId="0" fillId="6" borderId="6" xfId="0" applyNumberFormat="1" applyFill="1" applyBorder="1" applyAlignment="1">
      <alignment horizontal="center" vertical="center"/>
    </xf>
    <xf numFmtId="167" fontId="0" fillId="6" borderId="26" xfId="0" applyNumberFormat="1" applyFill="1" applyBorder="1" applyAlignment="1">
      <alignment horizontal="center" vertical="center"/>
    </xf>
    <xf numFmtId="173" fontId="0" fillId="5" borderId="37" xfId="0" applyNumberFormat="1" applyFill="1" applyBorder="1" applyAlignment="1">
      <alignment horizontal="center" vertical="center"/>
    </xf>
    <xf numFmtId="173" fontId="0" fillId="6" borderId="49" xfId="0" applyNumberFormat="1" applyFill="1" applyBorder="1" applyAlignment="1">
      <alignment horizontal="center" vertical="center"/>
    </xf>
    <xf numFmtId="173" fontId="0" fillId="6" borderId="13" xfId="0" applyNumberFormat="1" applyFill="1" applyBorder="1" applyAlignment="1">
      <alignment horizontal="center" vertical="center"/>
    </xf>
    <xf numFmtId="173" fontId="0" fillId="6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5" borderId="0" xfId="0" applyFill="1"/>
    <xf numFmtId="167" fontId="0" fillId="5" borderId="0" xfId="0" applyNumberFormat="1" applyFill="1"/>
    <xf numFmtId="167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4" fillId="0" borderId="0" xfId="3"/>
    <xf numFmtId="0" fontId="5" fillId="2" borderId="1" xfId="3" applyFon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2" borderId="20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4" fillId="2" borderId="15" xfId="3" applyFill="1" applyBorder="1" applyAlignment="1">
      <alignment horizontal="center"/>
    </xf>
    <xf numFmtId="0" fontId="4" fillId="2" borderId="31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2" borderId="16" xfId="3" applyFill="1" applyBorder="1" applyAlignment="1">
      <alignment horizontal="center"/>
    </xf>
    <xf numFmtId="0" fontId="4" fillId="2" borderId="27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2" borderId="17" xfId="3" applyFill="1" applyBorder="1" applyAlignment="1">
      <alignment horizontal="center"/>
    </xf>
    <xf numFmtId="0" fontId="4" fillId="2" borderId="36" xfId="3" applyFill="1" applyBorder="1" applyAlignment="1">
      <alignment horizontal="center"/>
    </xf>
    <xf numFmtId="0" fontId="4" fillId="0" borderId="42" xfId="3" applyBorder="1"/>
    <xf numFmtId="0" fontId="4" fillId="0" borderId="42" xfId="3" applyBorder="1" applyAlignment="1">
      <alignment horizontal="center"/>
    </xf>
    <xf numFmtId="0" fontId="4" fillId="0" borderId="43" xfId="3" applyBorder="1" applyAlignment="1">
      <alignment horizontal="center"/>
    </xf>
    <xf numFmtId="0" fontId="4" fillId="5" borderId="53" xfId="3" applyFill="1" applyBorder="1" applyAlignment="1">
      <alignment horizontal="center" wrapText="1"/>
    </xf>
    <xf numFmtId="0" fontId="4" fillId="6" borderId="54" xfId="3" applyFill="1" applyBorder="1" applyAlignment="1">
      <alignment horizontal="center" wrapText="1"/>
    </xf>
    <xf numFmtId="0" fontId="4" fillId="5" borderId="54" xfId="3" applyFill="1" applyBorder="1" applyAlignment="1">
      <alignment horizontal="center" wrapText="1"/>
    </xf>
    <xf numFmtId="0" fontId="4" fillId="6" borderId="55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3" borderId="30" xfId="3" applyNumberFormat="1" applyFill="1" applyBorder="1" applyAlignment="1">
      <alignment horizontal="center"/>
    </xf>
    <xf numFmtId="167" fontId="4" fillId="3" borderId="9" xfId="3" applyNumberFormat="1" applyFill="1" applyBorder="1" applyAlignment="1">
      <alignment horizontal="center"/>
    </xf>
    <xf numFmtId="167" fontId="4" fillId="5" borderId="48" xfId="3" applyNumberFormat="1" applyFill="1" applyBorder="1" applyAlignment="1">
      <alignment horizontal="center" vertical="center"/>
    </xf>
    <xf numFmtId="167" fontId="4" fillId="6" borderId="37" xfId="3" applyNumberFormat="1" applyFill="1" applyBorder="1" applyAlignment="1">
      <alignment horizontal="center" vertical="center"/>
    </xf>
    <xf numFmtId="10" fontId="4" fillId="5" borderId="37" xfId="1" applyNumberFormat="1" applyFill="1" applyBorder="1" applyAlignment="1">
      <alignment horizontal="center" vertical="center"/>
    </xf>
    <xf numFmtId="10" fontId="4" fillId="6" borderId="49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3" borderId="56" xfId="3" applyNumberFormat="1" applyFill="1" applyBorder="1" applyAlignment="1">
      <alignment horizontal="center"/>
    </xf>
    <xf numFmtId="167" fontId="4" fillId="3" borderId="57" xfId="3" applyNumberFormat="1" applyFill="1" applyBorder="1" applyAlignment="1">
      <alignment horizontal="center"/>
    </xf>
    <xf numFmtId="167" fontId="4" fillId="6" borderId="6" xfId="3" applyNumberFormat="1" applyFill="1" applyBorder="1" applyAlignment="1">
      <alignment horizontal="center" vertical="center"/>
    </xf>
    <xf numFmtId="10" fontId="4" fillId="6" borderId="13" xfId="1" applyNumberFormat="1" applyFill="1" applyBorder="1" applyAlignment="1">
      <alignment horizontal="center" vertical="center"/>
    </xf>
    <xf numFmtId="167" fontId="4" fillId="4" borderId="56" xfId="3" applyNumberFormat="1" applyFill="1" applyBorder="1" applyAlignment="1">
      <alignment horizontal="center"/>
    </xf>
    <xf numFmtId="167" fontId="4" fillId="4" borderId="57" xfId="3" applyNumberFormat="1" applyFill="1" applyBorder="1" applyAlignment="1">
      <alignment horizontal="center"/>
    </xf>
    <xf numFmtId="165" fontId="4" fillId="3" borderId="56" xfId="3" applyNumberFormat="1" applyFill="1" applyBorder="1" applyAlignment="1">
      <alignment horizontal="center"/>
    </xf>
    <xf numFmtId="165" fontId="4" fillId="3" borderId="57" xfId="3" applyNumberFormat="1" applyFill="1" applyBorder="1" applyAlignment="1">
      <alignment horizontal="center"/>
    </xf>
    <xf numFmtId="0" fontId="4" fillId="4" borderId="56" xfId="3" applyFill="1" applyBorder="1" applyAlignment="1">
      <alignment horizontal="center" vertical="center"/>
    </xf>
    <xf numFmtId="165" fontId="4" fillId="4" borderId="56" xfId="3" applyNumberFormat="1" applyFill="1" applyBorder="1" applyAlignment="1">
      <alignment horizontal="center"/>
    </xf>
    <xf numFmtId="165" fontId="4" fillId="4" borderId="57" xfId="3" applyNumberFormat="1" applyFill="1" applyBorder="1" applyAlignment="1">
      <alignment horizontal="center"/>
    </xf>
    <xf numFmtId="166" fontId="4" fillId="4" borderId="56" xfId="3" applyNumberFormat="1" applyFill="1" applyBorder="1" applyAlignment="1">
      <alignment horizontal="center"/>
    </xf>
    <xf numFmtId="166" fontId="4" fillId="4" borderId="10" xfId="3" applyNumberFormat="1" applyFill="1" applyBorder="1" applyAlignment="1">
      <alignment horizontal="center"/>
    </xf>
    <xf numFmtId="0" fontId="4" fillId="3" borderId="59" xfId="3" applyFill="1" applyBorder="1" applyAlignment="1">
      <alignment horizontal="center" vertical="center"/>
    </xf>
    <xf numFmtId="169" fontId="4" fillId="3" borderId="59" xfId="3" applyNumberFormat="1" applyFill="1" applyBorder="1" applyAlignment="1">
      <alignment horizontal="center"/>
    </xf>
    <xf numFmtId="169" fontId="4" fillId="3" borderId="60" xfId="3" applyNumberFormat="1" applyFill="1" applyBorder="1" applyAlignment="1">
      <alignment horizontal="center"/>
    </xf>
    <xf numFmtId="167" fontId="4" fillId="5" borderId="61" xfId="3" applyNumberFormat="1" applyFill="1" applyBorder="1" applyAlignment="1">
      <alignment horizontal="center" vertical="center"/>
    </xf>
    <xf numFmtId="167" fontId="4" fillId="6" borderId="26" xfId="3" applyNumberFormat="1" applyFill="1" applyBorder="1" applyAlignment="1">
      <alignment horizontal="center" vertical="center"/>
    </xf>
    <xf numFmtId="10" fontId="4" fillId="5" borderId="62" xfId="1" applyNumberFormat="1" applyFill="1" applyBorder="1" applyAlignment="1">
      <alignment horizontal="center" vertical="center"/>
    </xf>
    <xf numFmtId="10" fontId="4" fillId="6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1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1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4" fillId="0" borderId="50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 wrapText="1"/>
    </xf>
    <xf numFmtId="0" fontId="5" fillId="2" borderId="11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/>
    </xf>
    <xf numFmtId="0" fontId="5" fillId="2" borderId="39" xfId="0" applyFont="1" applyFill="1" applyBorder="1" applyAlignment="1">
      <alignment horizontal="center"/>
    </xf>
    <xf numFmtId="0" fontId="5" fillId="2" borderId="2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/>
    </xf>
    <xf numFmtId="14" fontId="0" fillId="2" borderId="64" xfId="0" applyNumberFormat="1" applyFill="1" applyBorder="1" applyAlignment="1">
      <alignment horizontal="center"/>
    </xf>
    <xf numFmtId="14" fontId="0" fillId="2" borderId="31" xfId="0" applyNumberFormat="1" applyFill="1" applyBorder="1" applyAlignment="1">
      <alignment horizontal="center"/>
    </xf>
    <xf numFmtId="14" fontId="0" fillId="2" borderId="9" xfId="0" applyNumberFormat="1" applyFill="1" applyBorder="1" applyAlignment="1">
      <alignment horizontal="center"/>
    </xf>
    <xf numFmtId="0" fontId="7" fillId="2" borderId="32" xfId="0" applyFont="1" applyFill="1" applyBorder="1" applyAlignment="1">
      <alignment horizontal="center"/>
    </xf>
    <xf numFmtId="0" fontId="7" fillId="2" borderId="27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6" fillId="2" borderId="63" xfId="0" applyFont="1" applyFill="1" applyBorder="1" applyAlignment="1">
      <alignment horizontal="center"/>
    </xf>
    <xf numFmtId="0" fontId="6" fillId="2" borderId="33" xfId="0" applyFont="1" applyFill="1" applyBorder="1" applyAlignment="1">
      <alignment horizontal="center"/>
    </xf>
    <xf numFmtId="0" fontId="6" fillId="2" borderId="60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14" fontId="0" fillId="2" borderId="32" xfId="0" applyNumberFormat="1" applyFill="1" applyBorder="1" applyAlignment="1">
      <alignment horizontal="center"/>
    </xf>
    <xf numFmtId="14" fontId="0" fillId="2" borderId="27" xfId="0" applyNumberFormat="1" applyFill="1" applyBorder="1" applyAlignment="1">
      <alignment horizontal="center"/>
    </xf>
    <xf numFmtId="14" fontId="0" fillId="2" borderId="10" xfId="0" applyNumberFormat="1" applyFill="1" applyBorder="1" applyAlignment="1">
      <alignment horizontal="center"/>
    </xf>
    <xf numFmtId="168" fontId="0" fillId="2" borderId="32" xfId="0" applyNumberFormat="1" applyFill="1" applyBorder="1" applyAlignment="1">
      <alignment horizontal="center"/>
    </xf>
    <xf numFmtId="168" fontId="0" fillId="2" borderId="27" xfId="0" applyNumberFormat="1" applyFill="1" applyBorder="1" applyAlignment="1">
      <alignment horizontal="center"/>
    </xf>
    <xf numFmtId="168" fontId="0" fillId="2" borderId="10" xfId="0" applyNumberFormat="1" applyFill="1" applyBorder="1" applyAlignment="1">
      <alignment horizontal="center"/>
    </xf>
    <xf numFmtId="0" fontId="0" fillId="2" borderId="32" xfId="0" applyNumberFormat="1" applyFill="1" applyBorder="1" applyAlignment="1">
      <alignment horizontal="center"/>
    </xf>
    <xf numFmtId="0" fontId="0" fillId="2" borderId="27" xfId="0" applyNumberFormat="1" applyFill="1" applyBorder="1" applyAlignment="1">
      <alignment horizontal="center"/>
    </xf>
    <xf numFmtId="0" fontId="0" fillId="2" borderId="10" xfId="0" applyNumberFormat="1" applyFill="1" applyBorder="1" applyAlignment="1">
      <alignment horizontal="center"/>
    </xf>
    <xf numFmtId="164" fontId="0" fillId="2" borderId="32" xfId="0" applyNumberFormat="1" applyFill="1" applyBorder="1" applyAlignment="1">
      <alignment horizontal="center"/>
    </xf>
    <xf numFmtId="164" fontId="0" fillId="2" borderId="27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6" fillId="6" borderId="30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10" borderId="56" xfId="0" applyFont="1" applyFill="1" applyBorder="1" applyAlignment="1">
      <alignment horizontal="center" vertical="center"/>
    </xf>
    <xf numFmtId="0" fontId="6" fillId="10" borderId="19" xfId="0" applyFont="1" applyFill="1" applyBorder="1" applyAlignment="1">
      <alignment horizontal="center" vertical="center"/>
    </xf>
    <xf numFmtId="0" fontId="6" fillId="3" borderId="56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56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6" fillId="0" borderId="56" xfId="0" applyFont="1" applyFill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19" xfId="0" applyFont="1" applyFill="1" applyBorder="1" applyAlignment="1">
      <alignment horizontal="center" vertical="center"/>
    </xf>
    <xf numFmtId="0" fontId="6" fillId="0" borderId="59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2" fontId="0" fillId="6" borderId="32" xfId="0" applyNumberFormat="1" applyFill="1" applyBorder="1" applyAlignment="1">
      <alignment horizontal="center" vertical="center"/>
    </xf>
    <xf numFmtId="2" fontId="0" fillId="6" borderId="10" xfId="0" applyNumberFormat="1" applyFill="1" applyBorder="1" applyAlignment="1">
      <alignment horizontal="center" vertical="center"/>
    </xf>
    <xf numFmtId="2" fontId="0" fillId="0" borderId="32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6" borderId="64" xfId="0" applyNumberFormat="1" applyFill="1" applyBorder="1" applyAlignment="1">
      <alignment horizontal="center" vertical="center"/>
    </xf>
    <xf numFmtId="2" fontId="0" fillId="6" borderId="9" xfId="0" applyNumberFormat="1" applyFill="1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2" fontId="0" fillId="0" borderId="60" xfId="0" applyNumberForma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0" borderId="32" xfId="0" applyNumberFormat="1" applyFont="1" applyFill="1" applyBorder="1" applyAlignment="1">
      <alignment horizontal="center" vertical="center"/>
    </xf>
    <xf numFmtId="2" fontId="6" fillId="10" borderId="10" xfId="0" applyNumberFormat="1" applyFont="1" applyFill="1" applyBorder="1" applyAlignment="1">
      <alignment horizontal="center" vertical="center"/>
    </xf>
    <xf numFmtId="0" fontId="6" fillId="10" borderId="59" xfId="0" applyFont="1" applyFill="1" applyBorder="1" applyAlignment="1">
      <alignment horizontal="center" vertical="center"/>
    </xf>
    <xf numFmtId="0" fontId="6" fillId="10" borderId="65" xfId="0" applyFont="1" applyFill="1" applyBorder="1" applyAlignment="1">
      <alignment horizontal="center" vertical="center"/>
    </xf>
    <xf numFmtId="2" fontId="6" fillId="3" borderId="32" xfId="0" applyNumberFormat="1" applyFont="1" applyFill="1" applyBorder="1" applyAlignment="1">
      <alignment horizontal="center" vertical="center"/>
    </xf>
    <xf numFmtId="2" fontId="6" fillId="3" borderId="10" xfId="0" applyNumberFormat="1" applyFont="1" applyFill="1" applyBorder="1" applyAlignment="1">
      <alignment horizontal="center" vertical="center"/>
    </xf>
    <xf numFmtId="2" fontId="4" fillId="10" borderId="63" xfId="0" applyNumberFormat="1" applyFont="1" applyFill="1" applyBorder="1" applyAlignment="1">
      <alignment horizontal="center" vertical="center"/>
    </xf>
    <xf numFmtId="2" fontId="4" fillId="10" borderId="60" xfId="0" applyNumberFormat="1" applyFont="1" applyFill="1" applyBorder="1" applyAlignment="1">
      <alignment horizontal="center" vertical="center"/>
    </xf>
    <xf numFmtId="0" fontId="4" fillId="4" borderId="58" xfId="3" applyFill="1" applyBorder="1" applyAlignment="1">
      <alignment horizontal="center" vertical="center"/>
    </xf>
    <xf numFmtId="0" fontId="4" fillId="4" borderId="12" xfId="3" applyFill="1" applyBorder="1" applyAlignment="1">
      <alignment horizontal="center" vertical="center"/>
    </xf>
    <xf numFmtId="0" fontId="4" fillId="4" borderId="52" xfId="3" applyFill="1" applyBorder="1" applyAlignment="1">
      <alignment horizontal="center" vertical="center"/>
    </xf>
    <xf numFmtId="0" fontId="4" fillId="3" borderId="58" xfId="3" applyFill="1" applyBorder="1" applyAlignment="1">
      <alignment horizontal="center" vertical="center"/>
    </xf>
    <xf numFmtId="0" fontId="4" fillId="3" borderId="12" xfId="3" applyFill="1" applyBorder="1" applyAlignment="1">
      <alignment horizontal="center" vertical="center"/>
    </xf>
    <xf numFmtId="0" fontId="4" fillId="3" borderId="52" xfId="3" applyFill="1" applyBorder="1" applyAlignment="1">
      <alignment horizontal="center" vertical="center"/>
    </xf>
    <xf numFmtId="14" fontId="4" fillId="2" borderId="31" xfId="3" applyNumberFormat="1" applyFill="1" applyBorder="1" applyAlignment="1">
      <alignment horizontal="center"/>
    </xf>
    <xf numFmtId="14" fontId="4" fillId="2" borderId="9" xfId="3" applyNumberFormat="1" applyFill="1" applyBorder="1" applyAlignment="1">
      <alignment horizontal="center"/>
    </xf>
    <xf numFmtId="10" fontId="4" fillId="2" borderId="31" xfId="1" applyNumberFormat="1" applyFill="1" applyBorder="1" applyAlignment="1">
      <alignment horizontal="center"/>
    </xf>
    <xf numFmtId="10" fontId="4" fillId="2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2" borderId="31" xfId="3" applyNumberFormat="1" applyFill="1" applyBorder="1" applyAlignment="1">
      <alignment horizontal="center"/>
    </xf>
    <xf numFmtId="0" fontId="4" fillId="2" borderId="9" xfId="3" applyNumberFormat="1" applyFill="1" applyBorder="1" applyAlignment="1">
      <alignment horizontal="center"/>
    </xf>
    <xf numFmtId="0" fontId="5" fillId="2" borderId="11" xfId="3" applyFont="1" applyFill="1" applyBorder="1" applyAlignment="1">
      <alignment horizontal="center"/>
    </xf>
    <xf numFmtId="0" fontId="5" fillId="2" borderId="38" xfId="3" applyFont="1" applyFill="1" applyBorder="1" applyAlignment="1">
      <alignment horizontal="center"/>
    </xf>
    <xf numFmtId="0" fontId="5" fillId="2" borderId="39" xfId="3" applyFont="1" applyFill="1" applyBorder="1" applyAlignment="1">
      <alignment horizontal="center"/>
    </xf>
    <xf numFmtId="0" fontId="5" fillId="2" borderId="28" xfId="3" applyFont="1" applyFill="1" applyBorder="1" applyAlignment="1">
      <alignment horizontal="center"/>
    </xf>
    <xf numFmtId="0" fontId="5" fillId="2" borderId="29" xfId="3" applyFont="1" applyFill="1" applyBorder="1" applyAlignment="1">
      <alignment horizontal="center"/>
    </xf>
    <xf numFmtId="0" fontId="5" fillId="2" borderId="40" xfId="3" applyFont="1" applyFill="1" applyBorder="1" applyAlignment="1">
      <alignment horizontal="center"/>
    </xf>
    <xf numFmtId="0" fontId="8" fillId="12" borderId="0" xfId="3" applyFont="1" applyFill="1" applyBorder="1"/>
    <xf numFmtId="0" fontId="8" fillId="12" borderId="0" xfId="3" applyFont="1" applyFill="1" applyBorder="1" applyAlignment="1">
      <alignment horizontal="center"/>
    </xf>
    <xf numFmtId="0" fontId="9" fillId="12" borderId="0" xfId="3" applyFont="1" applyFill="1" applyBorder="1" applyAlignment="1">
      <alignment horizontal="center"/>
    </xf>
    <xf numFmtId="0" fontId="8" fillId="12" borderId="0" xfId="3" applyFont="1" applyFill="1" applyBorder="1" applyAlignment="1">
      <alignment horizontal="right"/>
    </xf>
    <xf numFmtId="0" fontId="5" fillId="12" borderId="6" xfId="3" applyFont="1" applyFill="1" applyBorder="1" applyAlignment="1">
      <alignment horizontal="center"/>
    </xf>
    <xf numFmtId="165" fontId="8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Alignment="1">
      <alignment horizontal="center"/>
    </xf>
    <xf numFmtId="167" fontId="7" fillId="12" borderId="0" xfId="3" applyNumberFormat="1" applyFont="1" applyFill="1" applyBorder="1" applyAlignment="1">
      <alignment horizontal="center"/>
    </xf>
    <xf numFmtId="0" fontId="1" fillId="12" borderId="0" xfId="10" applyFill="1"/>
    <xf numFmtId="167" fontId="7" fillId="12" borderId="0" xfId="3" applyNumberFormat="1" applyFont="1" applyFill="1" applyAlignment="1">
      <alignment horizontal="center"/>
    </xf>
    <xf numFmtId="0" fontId="1" fillId="12" borderId="0" xfId="10" applyFill="1" applyBorder="1"/>
    <xf numFmtId="0" fontId="0" fillId="12" borderId="0" xfId="0" applyFill="1" applyBorder="1"/>
    <xf numFmtId="0" fontId="9" fillId="12" borderId="0" xfId="3" applyFont="1" applyFill="1" applyBorder="1"/>
    <xf numFmtId="14" fontId="1" fillId="12" borderId="0" xfId="10" applyNumberFormat="1" applyFill="1" applyAlignment="1">
      <alignment horizontal="right"/>
    </xf>
    <xf numFmtId="14" fontId="1" fillId="12" borderId="0" xfId="10" applyNumberFormat="1" applyFill="1"/>
    <xf numFmtId="167" fontId="9" fillId="12" borderId="0" xfId="3" applyNumberFormat="1" applyFont="1" applyFill="1" applyBorder="1" applyAlignment="1">
      <alignment horizontal="center"/>
    </xf>
    <xf numFmtId="167" fontId="8" fillId="12" borderId="0" xfId="3" applyNumberFormat="1" applyFont="1" applyFill="1" applyBorder="1" applyAlignment="1">
      <alignment horizontal="center"/>
    </xf>
    <xf numFmtId="0" fontId="8" fillId="12" borderId="5" xfId="3" applyFont="1" applyFill="1" applyBorder="1" applyAlignment="1">
      <alignment horizontal="center" textRotation="90" wrapText="1"/>
    </xf>
    <xf numFmtId="165" fontId="8" fillId="12" borderId="24" xfId="3" applyNumberFormat="1" applyFont="1" applyFill="1" applyBorder="1" applyAlignment="1">
      <alignment horizontal="center"/>
    </xf>
    <xf numFmtId="0" fontId="8" fillId="12" borderId="2" xfId="3" applyFont="1" applyFill="1" applyBorder="1" applyAlignment="1">
      <alignment horizontal="center" textRotation="90" wrapText="1"/>
    </xf>
    <xf numFmtId="165" fontId="8" fillId="12" borderId="4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 textRotation="90" wrapText="1"/>
    </xf>
    <xf numFmtId="0" fontId="1" fillId="12" borderId="51" xfId="10" applyFill="1" applyBorder="1"/>
    <xf numFmtId="165" fontId="8" fillId="12" borderId="3" xfId="3" applyNumberFormat="1" applyFont="1" applyFill="1" applyBorder="1" applyAlignment="1">
      <alignment horizontal="center"/>
    </xf>
    <xf numFmtId="165" fontId="8" fillId="12" borderId="0" xfId="3" applyNumberFormat="1" applyFont="1" applyFill="1" applyBorder="1"/>
    <xf numFmtId="9" fontId="8" fillId="12" borderId="0" xfId="1" applyFont="1" applyFill="1" applyBorder="1"/>
    <xf numFmtId="0" fontId="8" fillId="12" borderId="23" xfId="3" applyFont="1" applyFill="1" applyBorder="1" applyAlignment="1">
      <alignment horizontal="center" textRotation="90" wrapText="1"/>
    </xf>
    <xf numFmtId="165" fontId="8" fillId="12" borderId="23" xfId="3" applyNumberFormat="1" applyFont="1" applyFill="1" applyBorder="1" applyAlignment="1">
      <alignment horizontal="center"/>
    </xf>
    <xf numFmtId="0" fontId="8" fillId="12" borderId="4" xfId="3" applyFont="1" applyFill="1" applyBorder="1" applyAlignment="1">
      <alignment horizontal="center" textRotation="90" wrapText="1"/>
    </xf>
    <xf numFmtId="165" fontId="8" fillId="12" borderId="5" xfId="3" applyNumberFormat="1" applyFont="1" applyFill="1" applyBorder="1" applyAlignment="1">
      <alignment horizontal="center"/>
    </xf>
    <xf numFmtId="166" fontId="8" fillId="12" borderId="24" xfId="3" applyNumberFormat="1" applyFont="1" applyFill="1" applyBorder="1" applyAlignment="1">
      <alignment horizontal="center"/>
    </xf>
    <xf numFmtId="0" fontId="8" fillId="12" borderId="24" xfId="3" applyFont="1" applyFill="1" applyBorder="1" applyAlignment="1">
      <alignment horizontal="center" textRotation="90" wrapText="1"/>
    </xf>
    <xf numFmtId="169" fontId="8" fillId="12" borderId="24" xfId="3" applyNumberFormat="1" applyFont="1" applyFill="1" applyBorder="1" applyAlignment="1">
      <alignment horizontal="center"/>
    </xf>
    <xf numFmtId="14" fontId="8" fillId="12" borderId="0" xfId="3" applyNumberFormat="1" applyFont="1" applyFill="1" applyBorder="1" applyAlignment="1">
      <alignment horizontal="center"/>
    </xf>
    <xf numFmtId="165" fontId="8" fillId="12" borderId="6" xfId="3" applyNumberFormat="1" applyFont="1" applyFill="1" applyBorder="1" applyAlignment="1">
      <alignment horizontal="center"/>
    </xf>
    <xf numFmtId="167" fontId="8" fillId="12" borderId="6" xfId="3" applyNumberFormat="1" applyFont="1" applyFill="1" applyBorder="1" applyAlignment="1">
      <alignment horizontal="center"/>
    </xf>
    <xf numFmtId="0" fontId="9" fillId="12" borderId="18" xfId="3" applyFont="1" applyFill="1" applyBorder="1" applyAlignment="1">
      <alignment horizontal="center"/>
    </xf>
    <xf numFmtId="165" fontId="8" fillId="12" borderId="19" xfId="3" applyNumberFormat="1" applyFont="1" applyFill="1" applyBorder="1" applyAlignment="1">
      <alignment horizontal="center"/>
    </xf>
    <xf numFmtId="14" fontId="8" fillId="12" borderId="18" xfId="3" applyNumberFormat="1" applyFont="1" applyFill="1" applyBorder="1" applyAlignment="1">
      <alignment horizontal="center"/>
    </xf>
    <xf numFmtId="0" fontId="8" fillId="12" borderId="20" xfId="3" applyFont="1" applyFill="1" applyBorder="1" applyAlignment="1">
      <alignment horizontal="center"/>
    </xf>
    <xf numFmtId="0" fontId="8" fillId="12" borderId="18" xfId="3" applyFont="1" applyFill="1" applyBorder="1"/>
    <xf numFmtId="173" fontId="8" fillId="12" borderId="0" xfId="1" applyNumberFormat="1" applyFont="1" applyFill="1" applyBorder="1"/>
    <xf numFmtId="0" fontId="8" fillId="12" borderId="42" xfId="3" applyFont="1" applyFill="1" applyBorder="1"/>
    <xf numFmtId="0" fontId="8" fillId="12" borderId="21" xfId="3" applyFont="1" applyFill="1" applyBorder="1"/>
    <xf numFmtId="10" fontId="8" fillId="12" borderId="0" xfId="3" applyNumberFormat="1" applyFont="1" applyFill="1" applyBorder="1"/>
    <xf numFmtId="0" fontId="8" fillId="12" borderId="6" xfId="3" applyFont="1" applyFill="1" applyBorder="1"/>
    <xf numFmtId="0" fontId="8" fillId="12" borderId="6" xfId="3" applyFont="1" applyFill="1" applyBorder="1" applyAlignment="1">
      <alignment horizontal="center"/>
    </xf>
    <xf numFmtId="165" fontId="8" fillId="12" borderId="2" xfId="3" applyNumberFormat="1" applyFont="1" applyFill="1" applyBorder="1" applyAlignment="1">
      <alignment horizontal="center"/>
    </xf>
    <xf numFmtId="165" fontId="8" fillId="12" borderId="20" xfId="3" applyNumberFormat="1" applyFont="1" applyFill="1" applyBorder="1" applyAlignment="1">
      <alignment horizontal="center"/>
    </xf>
    <xf numFmtId="0" fontId="4" fillId="12" borderId="6" xfId="3" applyFont="1" applyFill="1" applyBorder="1" applyAlignment="1">
      <alignment horizontal="right"/>
    </xf>
    <xf numFmtId="14" fontId="4" fillId="12" borderId="6" xfId="3" applyNumberFormat="1" applyFont="1" applyFill="1" applyBorder="1" applyAlignment="1">
      <alignment horizontal="center"/>
    </xf>
    <xf numFmtId="0" fontId="7" fillId="12" borderId="6" xfId="3" applyFont="1" applyFill="1" applyBorder="1" applyAlignment="1">
      <alignment horizontal="right"/>
    </xf>
    <xf numFmtId="14" fontId="4" fillId="12" borderId="6" xfId="3" applyNumberFormat="1" applyFill="1" applyBorder="1" applyAlignment="1">
      <alignment horizontal="center"/>
    </xf>
    <xf numFmtId="165" fontId="4" fillId="12" borderId="6" xfId="3" applyNumberFormat="1" applyFont="1" applyFill="1" applyBorder="1" applyAlignment="1">
      <alignment horizontal="center"/>
    </xf>
    <xf numFmtId="167" fontId="7" fillId="12" borderId="21" xfId="3" applyNumberFormat="1" applyFont="1" applyFill="1" applyBorder="1" applyAlignment="1">
      <alignment horizontal="center"/>
    </xf>
    <xf numFmtId="167" fontId="7" fillId="12" borderId="37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KB07 FC 1 1 Dez2019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KB07 FC 1 1 Dez2019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0"/>
  <sheetViews>
    <sheetView tabSelected="1" topLeftCell="B1" zoomScale="115" zoomScaleNormal="115" workbookViewId="0">
      <selection activeCell="D9" sqref="D9"/>
    </sheetView>
  </sheetViews>
  <sheetFormatPr defaultColWidth="9.109375" defaultRowHeight="10.199999999999999" x14ac:dyDescent="0.2"/>
  <cols>
    <col min="1" max="1" width="5.109375" style="416" customWidth="1"/>
    <col min="2" max="2" width="30.44140625" style="416" bestFit="1" customWidth="1"/>
    <col min="3" max="3" width="20.109375" style="417" bestFit="1" customWidth="1"/>
    <col min="4" max="8" width="15.6640625" style="416" customWidth="1"/>
    <col min="9" max="9" width="23.88671875" style="428" customWidth="1"/>
    <col min="10" max="10" width="15.6640625" style="416" customWidth="1"/>
    <col min="11" max="11" width="20.6640625" style="416" customWidth="1"/>
    <col min="12" max="16384" width="9.109375" style="416"/>
  </cols>
  <sheetData>
    <row r="1" spans="1:11" ht="17.25" customHeight="1" x14ac:dyDescent="0.2">
      <c r="D1" s="418"/>
      <c r="E1" s="419"/>
      <c r="H1" s="419"/>
      <c r="I1" s="418"/>
      <c r="J1" s="419"/>
      <c r="K1" s="418"/>
    </row>
    <row r="2" spans="1:11" ht="17.25" customHeight="1" x14ac:dyDescent="0.3">
      <c r="B2" s="420" t="s">
        <v>2</v>
      </c>
      <c r="C2" s="420" t="s">
        <v>20</v>
      </c>
      <c r="D2" s="418"/>
      <c r="E2" s="420" t="s">
        <v>224</v>
      </c>
      <c r="F2" s="420" t="s">
        <v>225</v>
      </c>
      <c r="I2" s="418"/>
      <c r="K2" s="418"/>
    </row>
    <row r="3" spans="1:11" ht="17.25" customHeight="1" x14ac:dyDescent="0.3">
      <c r="B3" s="420" t="s">
        <v>3</v>
      </c>
      <c r="C3" s="420" t="s">
        <v>5</v>
      </c>
      <c r="D3" s="421"/>
      <c r="E3" s="451">
        <v>0.17780000000000001</v>
      </c>
      <c r="F3" s="451">
        <v>6.1</v>
      </c>
      <c r="I3" s="423"/>
      <c r="J3" s="423"/>
      <c r="K3" s="421"/>
    </row>
    <row r="4" spans="1:11" ht="17.25" customHeight="1" x14ac:dyDescent="0.3">
      <c r="B4" s="465" t="s">
        <v>1</v>
      </c>
      <c r="C4" s="466">
        <v>44330</v>
      </c>
      <c r="D4" s="421"/>
      <c r="E4" s="424"/>
      <c r="F4" s="424"/>
      <c r="I4" s="423"/>
      <c r="J4" s="423"/>
      <c r="K4" s="421"/>
    </row>
    <row r="5" spans="1:11" ht="17.25" customHeight="1" x14ac:dyDescent="0.3">
      <c r="B5" s="465" t="s">
        <v>42</v>
      </c>
      <c r="C5" s="470" t="s">
        <v>223</v>
      </c>
      <c r="D5" s="421"/>
      <c r="E5" s="424"/>
      <c r="F5" s="424"/>
      <c r="I5" s="425"/>
      <c r="J5" s="425"/>
      <c r="K5" s="421"/>
    </row>
    <row r="6" spans="1:11" ht="17.25" customHeight="1" x14ac:dyDescent="0.3">
      <c r="B6" s="465" t="s">
        <v>198</v>
      </c>
      <c r="C6" s="451">
        <v>6145885.5999999996</v>
      </c>
      <c r="D6" s="451">
        <v>1394515.6</v>
      </c>
      <c r="E6" s="426"/>
      <c r="F6" s="427"/>
      <c r="G6" s="427"/>
      <c r="K6" s="421"/>
    </row>
    <row r="7" spans="1:11" ht="17.25" customHeight="1" x14ac:dyDescent="0.3">
      <c r="B7" s="467" t="s">
        <v>187</v>
      </c>
      <c r="C7" s="471" t="s">
        <v>222</v>
      </c>
      <c r="D7" s="429" t="s">
        <v>221</v>
      </c>
      <c r="E7" s="430">
        <v>44265</v>
      </c>
      <c r="F7" s="424"/>
      <c r="I7" s="431"/>
      <c r="J7" s="431"/>
      <c r="K7" s="421"/>
    </row>
    <row r="8" spans="1:11" ht="17.25" customHeight="1" x14ac:dyDescent="0.3">
      <c r="B8" s="465" t="s">
        <v>4</v>
      </c>
      <c r="C8" s="468"/>
      <c r="D8" s="421"/>
      <c r="E8" s="424"/>
      <c r="F8" s="424"/>
      <c r="I8" s="422"/>
      <c r="J8" s="422"/>
      <c r="K8" s="421"/>
    </row>
    <row r="9" spans="1:11" ht="17.25" customHeight="1" x14ac:dyDescent="0.3">
      <c r="B9" s="465" t="s">
        <v>21</v>
      </c>
      <c r="C9" s="469">
        <f>C35+C57+C79+C101</f>
        <v>39050</v>
      </c>
      <c r="D9" s="421"/>
      <c r="E9" s="424"/>
      <c r="F9" s="424"/>
      <c r="I9" s="432"/>
      <c r="J9" s="431"/>
      <c r="K9" s="421"/>
    </row>
    <row r="10" spans="1:11" ht="17.25" customHeight="1" thickBot="1" x14ac:dyDescent="0.35">
      <c r="A10" s="433" t="s">
        <v>46</v>
      </c>
      <c r="B10" s="463">
        <v>250</v>
      </c>
      <c r="C10" s="464">
        <f>K32+K54+K76+K98</f>
        <v>0</v>
      </c>
      <c r="D10" s="421"/>
      <c r="E10" s="424"/>
      <c r="F10" s="424"/>
      <c r="I10" s="432"/>
      <c r="J10" s="422"/>
      <c r="K10" s="421"/>
    </row>
    <row r="11" spans="1:11" ht="17.25" customHeight="1" thickBot="1" x14ac:dyDescent="0.35">
      <c r="A11" s="435"/>
      <c r="B11" s="436">
        <v>125</v>
      </c>
      <c r="C11" s="434">
        <f t="shared" ref="C11:C22" si="0">K33+K55+K77+K99</f>
        <v>15725</v>
      </c>
      <c r="D11" s="421"/>
      <c r="E11" s="424"/>
      <c r="F11" s="424"/>
      <c r="I11" s="432"/>
      <c r="J11" s="432"/>
      <c r="K11" s="421"/>
    </row>
    <row r="12" spans="1:11" ht="17.25" customHeight="1" thickBot="1" x14ac:dyDescent="0.35">
      <c r="A12" s="435"/>
      <c r="B12" s="436">
        <v>63</v>
      </c>
      <c r="C12" s="434">
        <f t="shared" si="0"/>
        <v>8525</v>
      </c>
      <c r="D12" s="421"/>
      <c r="E12" s="424"/>
      <c r="F12" s="424"/>
      <c r="I12" s="432"/>
      <c r="J12" s="432"/>
      <c r="K12" s="421"/>
    </row>
    <row r="13" spans="1:11" ht="17.25" customHeight="1" thickBot="1" x14ac:dyDescent="0.35">
      <c r="A13" s="437"/>
      <c r="B13" s="434">
        <v>31.5</v>
      </c>
      <c r="C13" s="434">
        <f t="shared" si="0"/>
        <v>4375</v>
      </c>
      <c r="D13" s="421"/>
      <c r="E13" s="438"/>
      <c r="F13" s="438"/>
      <c r="I13" s="432"/>
      <c r="J13" s="432"/>
      <c r="K13" s="421"/>
    </row>
    <row r="14" spans="1:11" ht="17.25" customHeight="1" thickBot="1" x14ac:dyDescent="0.25">
      <c r="A14" s="435" t="s">
        <v>45</v>
      </c>
      <c r="B14" s="439">
        <v>16</v>
      </c>
      <c r="C14" s="434">
        <f t="shared" si="0"/>
        <v>2995</v>
      </c>
      <c r="D14" s="421"/>
      <c r="I14" s="417"/>
      <c r="J14" s="417"/>
      <c r="K14" s="421"/>
    </row>
    <row r="15" spans="1:11" ht="17.25" customHeight="1" thickBot="1" x14ac:dyDescent="0.25">
      <c r="A15" s="435"/>
      <c r="B15" s="436">
        <v>8</v>
      </c>
      <c r="C15" s="434">
        <f t="shared" si="0"/>
        <v>2145</v>
      </c>
      <c r="D15" s="421"/>
      <c r="I15" s="432"/>
      <c r="J15" s="432"/>
      <c r="K15" s="421"/>
    </row>
    <row r="16" spans="1:11" ht="17.25" customHeight="1" thickBot="1" x14ac:dyDescent="0.25">
      <c r="A16" s="435"/>
      <c r="B16" s="436">
        <v>4</v>
      </c>
      <c r="C16" s="434">
        <f t="shared" si="0"/>
        <v>1215</v>
      </c>
      <c r="D16" s="421"/>
      <c r="I16" s="432"/>
      <c r="J16" s="432"/>
      <c r="K16" s="421"/>
    </row>
    <row r="17" spans="1:14" ht="17.25" customHeight="1" thickBot="1" x14ac:dyDescent="0.25">
      <c r="A17" s="435"/>
      <c r="B17" s="436">
        <v>2</v>
      </c>
      <c r="C17" s="434">
        <f t="shared" si="0"/>
        <v>470</v>
      </c>
      <c r="D17" s="421"/>
      <c r="I17" s="432"/>
      <c r="J17" s="432"/>
      <c r="K17" s="421"/>
    </row>
    <row r="18" spans="1:14" ht="17.25" customHeight="1" thickBot="1" x14ac:dyDescent="0.25">
      <c r="A18" s="435"/>
      <c r="B18" s="436">
        <v>1</v>
      </c>
      <c r="C18" s="434">
        <f t="shared" si="0"/>
        <v>195</v>
      </c>
      <c r="I18" s="431"/>
      <c r="K18" s="440"/>
    </row>
    <row r="19" spans="1:14" ht="17.25" customHeight="1" thickBot="1" x14ac:dyDescent="0.25">
      <c r="A19" s="437"/>
      <c r="B19" s="434">
        <v>0.5</v>
      </c>
      <c r="C19" s="434">
        <f t="shared" si="0"/>
        <v>1140</v>
      </c>
      <c r="I19" s="431"/>
      <c r="K19" s="441"/>
    </row>
    <row r="20" spans="1:14" ht="17.25" customHeight="1" thickBot="1" x14ac:dyDescent="0.25">
      <c r="A20" s="442" t="s">
        <v>44</v>
      </c>
      <c r="B20" s="443">
        <v>0.25</v>
      </c>
      <c r="C20" s="434">
        <f t="shared" si="0"/>
        <v>1740</v>
      </c>
      <c r="I20" s="431"/>
    </row>
    <row r="21" spans="1:14" ht="17.25" customHeight="1" thickBot="1" x14ac:dyDescent="0.25">
      <c r="A21" s="444"/>
      <c r="B21" s="436">
        <v>0.125</v>
      </c>
      <c r="C21" s="434">
        <f t="shared" si="0"/>
        <v>355</v>
      </c>
      <c r="I21" s="431"/>
      <c r="K21" s="440"/>
    </row>
    <row r="22" spans="1:14" ht="17.25" customHeight="1" thickBot="1" x14ac:dyDescent="0.25">
      <c r="A22" s="444"/>
      <c r="B22" s="436">
        <v>6.3E-2</v>
      </c>
      <c r="C22" s="434">
        <f t="shared" si="0"/>
        <v>180</v>
      </c>
      <c r="I22" s="431"/>
      <c r="K22" s="440"/>
    </row>
    <row r="23" spans="1:14" ht="17.25" customHeight="1" thickBot="1" x14ac:dyDescent="0.25">
      <c r="A23" s="433"/>
      <c r="B23" s="445">
        <v>3.1E-2</v>
      </c>
      <c r="C23" s="434">
        <v>0</v>
      </c>
      <c r="I23" s="431"/>
      <c r="K23" s="440"/>
    </row>
    <row r="24" spans="1:14" ht="17.25" customHeight="1" thickBot="1" x14ac:dyDescent="0.25">
      <c r="A24" s="433"/>
      <c r="B24" s="446">
        <v>3.8999999999999998E-3</v>
      </c>
      <c r="C24" s="434">
        <v>0</v>
      </c>
      <c r="I24" s="431"/>
      <c r="K24" s="440"/>
    </row>
    <row r="25" spans="1:14" ht="17.25" customHeight="1" thickBot="1" x14ac:dyDescent="0.25">
      <c r="A25" s="447"/>
      <c r="B25" s="448">
        <v>6.0000000000000002E-5</v>
      </c>
      <c r="C25" s="434">
        <v>0</v>
      </c>
      <c r="I25" s="431"/>
      <c r="K25" s="440"/>
    </row>
    <row r="26" spans="1:14" ht="17.25" customHeight="1" x14ac:dyDescent="0.2">
      <c r="B26" s="421"/>
      <c r="C26" s="421"/>
      <c r="I26" s="431"/>
      <c r="K26" s="440"/>
    </row>
    <row r="27" spans="1:14" ht="17.25" customHeight="1" x14ac:dyDescent="0.2">
      <c r="C27" s="416"/>
      <c r="I27" s="431"/>
    </row>
    <row r="28" spans="1:14" ht="25.5" customHeight="1" x14ac:dyDescent="0.2">
      <c r="B28" s="421"/>
      <c r="C28" s="416"/>
    </row>
    <row r="29" spans="1:14" x14ac:dyDescent="0.2">
      <c r="D29" s="418" t="s">
        <v>2</v>
      </c>
      <c r="E29" s="419"/>
      <c r="F29" s="418" t="s">
        <v>23</v>
      </c>
      <c r="G29" s="419"/>
      <c r="H29" s="419"/>
      <c r="I29" s="418" t="s">
        <v>24</v>
      </c>
      <c r="J29" s="419"/>
      <c r="K29" s="418" t="s">
        <v>20</v>
      </c>
      <c r="M29" s="416" t="s">
        <v>2</v>
      </c>
      <c r="N29" s="416" t="s">
        <v>20</v>
      </c>
    </row>
    <row r="30" spans="1:14" x14ac:dyDescent="0.2">
      <c r="C30" s="449"/>
      <c r="D30" s="418" t="s">
        <v>3</v>
      </c>
      <c r="F30" s="418" t="s">
        <v>5</v>
      </c>
      <c r="I30" s="418" t="s">
        <v>5</v>
      </c>
      <c r="K30" s="418" t="s">
        <v>5</v>
      </c>
      <c r="M30" s="416" t="s">
        <v>3</v>
      </c>
      <c r="N30" s="416" t="s">
        <v>5</v>
      </c>
    </row>
    <row r="31" spans="1:14" x14ac:dyDescent="0.2">
      <c r="B31" s="419" t="s">
        <v>22</v>
      </c>
      <c r="C31" s="449"/>
      <c r="D31" s="450">
        <v>250</v>
      </c>
      <c r="E31" s="451">
        <v>0</v>
      </c>
      <c r="F31" s="451">
        <v>0</v>
      </c>
      <c r="G31" s="451">
        <v>0</v>
      </c>
      <c r="H31" s="451">
        <v>0</v>
      </c>
      <c r="I31" s="451">
        <v>0</v>
      </c>
      <c r="J31" s="451">
        <v>0</v>
      </c>
      <c r="K31" s="450">
        <f>AVERAGE(H31:J31)-AVERAGE(E31:G31)</f>
        <v>0</v>
      </c>
      <c r="M31" s="416">
        <v>250</v>
      </c>
      <c r="N31" s="416">
        <v>0</v>
      </c>
    </row>
    <row r="32" spans="1:14" ht="10.8" thickBot="1" x14ac:dyDescent="0.25">
      <c r="B32" s="419" t="s">
        <v>25</v>
      </c>
      <c r="C32" s="449"/>
      <c r="D32" s="450">
        <v>125</v>
      </c>
      <c r="E32" s="451">
        <v>0</v>
      </c>
      <c r="F32" s="451">
        <v>0</v>
      </c>
      <c r="G32" s="451">
        <v>0</v>
      </c>
      <c r="H32" s="451">
        <v>0</v>
      </c>
      <c r="I32" s="451">
        <v>0</v>
      </c>
      <c r="J32" s="451">
        <v>0</v>
      </c>
      <c r="K32" s="450">
        <f t="shared" ref="K32:K33" si="1">AVERAGE(H32:J32)-AVERAGE(E32:G32)</f>
        <v>0</v>
      </c>
      <c r="M32" s="416">
        <v>125</v>
      </c>
      <c r="N32" s="416">
        <v>0</v>
      </c>
    </row>
    <row r="33" spans="2:14" ht="10.8" thickBot="1" x14ac:dyDescent="0.25">
      <c r="B33" s="419" t="s">
        <v>0</v>
      </c>
      <c r="C33" s="452"/>
      <c r="D33" s="453">
        <v>63</v>
      </c>
      <c r="E33" s="451">
        <v>1545</v>
      </c>
      <c r="F33" s="451">
        <f>E33</f>
        <v>1545</v>
      </c>
      <c r="G33" s="451">
        <f>F33</f>
        <v>1545</v>
      </c>
      <c r="H33" s="451">
        <v>17270</v>
      </c>
      <c r="I33" s="451">
        <f>H33</f>
        <v>17270</v>
      </c>
      <c r="J33" s="451">
        <f>I33</f>
        <v>17270</v>
      </c>
      <c r="K33" s="450">
        <f t="shared" si="1"/>
        <v>15725</v>
      </c>
      <c r="M33" s="416">
        <v>63</v>
      </c>
      <c r="N33" s="416">
        <v>15725</v>
      </c>
    </row>
    <row r="34" spans="2:14" ht="10.8" thickBot="1" x14ac:dyDescent="0.25">
      <c r="B34" s="419" t="s">
        <v>26</v>
      </c>
      <c r="C34" s="454"/>
      <c r="D34" s="453">
        <v>31.5</v>
      </c>
      <c r="E34" s="451">
        <v>1715</v>
      </c>
      <c r="F34" s="451">
        <f t="shared" ref="F34:G44" si="2">E34</f>
        <v>1715</v>
      </c>
      <c r="G34" s="451">
        <f t="shared" si="2"/>
        <v>1715</v>
      </c>
      <c r="H34" s="451">
        <v>10240</v>
      </c>
      <c r="I34" s="451">
        <f t="shared" ref="I34:J44" si="3">H34</f>
        <v>10240</v>
      </c>
      <c r="J34" s="451">
        <f t="shared" si="3"/>
        <v>10240</v>
      </c>
      <c r="K34" s="450">
        <f>AVERAGE(H34:J34)-AVERAGE(E34:G34)</f>
        <v>8525</v>
      </c>
      <c r="M34" s="416">
        <v>31.5</v>
      </c>
      <c r="N34" s="416">
        <v>8525</v>
      </c>
    </row>
    <row r="35" spans="2:14" ht="10.8" thickBot="1" x14ac:dyDescent="0.25">
      <c r="B35" s="419" t="s">
        <v>27</v>
      </c>
      <c r="C35" s="455">
        <f>D47-D45</f>
        <v>39050</v>
      </c>
      <c r="D35" s="453">
        <v>16</v>
      </c>
      <c r="E35" s="451">
        <v>1755</v>
      </c>
      <c r="F35" s="451">
        <f t="shared" si="2"/>
        <v>1755</v>
      </c>
      <c r="G35" s="451">
        <f t="shared" si="2"/>
        <v>1755</v>
      </c>
      <c r="H35" s="451">
        <v>6130</v>
      </c>
      <c r="I35" s="451">
        <f t="shared" si="3"/>
        <v>6130</v>
      </c>
      <c r="J35" s="451">
        <f t="shared" si="3"/>
        <v>6130</v>
      </c>
      <c r="K35" s="450">
        <f t="shared" ref="K35:K44" si="4">AVERAGE(H35:J35)-AVERAGE(E35:G35)</f>
        <v>4375</v>
      </c>
      <c r="M35" s="416">
        <v>16</v>
      </c>
      <c r="N35" s="416">
        <v>4375</v>
      </c>
    </row>
    <row r="36" spans="2:14" x14ac:dyDescent="0.2">
      <c r="B36" s="419" t="s">
        <v>28</v>
      </c>
      <c r="C36" s="417" t="s">
        <v>29</v>
      </c>
      <c r="D36" s="450">
        <v>8</v>
      </c>
      <c r="E36" s="451">
        <v>1495</v>
      </c>
      <c r="F36" s="451">
        <f t="shared" si="2"/>
        <v>1495</v>
      </c>
      <c r="G36" s="451">
        <f t="shared" si="2"/>
        <v>1495</v>
      </c>
      <c r="H36" s="451">
        <v>4490</v>
      </c>
      <c r="I36" s="451">
        <f t="shared" si="3"/>
        <v>4490</v>
      </c>
      <c r="J36" s="451">
        <f t="shared" si="3"/>
        <v>4490</v>
      </c>
      <c r="K36" s="450">
        <f t="shared" si="4"/>
        <v>2995</v>
      </c>
      <c r="M36" s="416">
        <v>8</v>
      </c>
      <c r="N36" s="416">
        <v>2995</v>
      </c>
    </row>
    <row r="37" spans="2:14" x14ac:dyDescent="0.2">
      <c r="D37" s="450">
        <v>4</v>
      </c>
      <c r="E37" s="451">
        <v>1565</v>
      </c>
      <c r="F37" s="451">
        <f t="shared" si="2"/>
        <v>1565</v>
      </c>
      <c r="G37" s="451">
        <f t="shared" si="2"/>
        <v>1565</v>
      </c>
      <c r="H37" s="451">
        <v>3710</v>
      </c>
      <c r="I37" s="451">
        <f t="shared" si="3"/>
        <v>3710</v>
      </c>
      <c r="J37" s="451">
        <f t="shared" si="3"/>
        <v>3710</v>
      </c>
      <c r="K37" s="450">
        <f t="shared" si="4"/>
        <v>2145</v>
      </c>
      <c r="M37" s="416">
        <v>4</v>
      </c>
      <c r="N37" s="416">
        <v>2145</v>
      </c>
    </row>
    <row r="38" spans="2:14" x14ac:dyDescent="0.2">
      <c r="B38" s="419"/>
      <c r="C38" s="416"/>
      <c r="D38" s="450">
        <v>2</v>
      </c>
      <c r="E38" s="451">
        <v>1365</v>
      </c>
      <c r="F38" s="451">
        <f t="shared" si="2"/>
        <v>1365</v>
      </c>
      <c r="G38" s="451">
        <f t="shared" si="2"/>
        <v>1365</v>
      </c>
      <c r="H38" s="451">
        <v>2580</v>
      </c>
      <c r="I38" s="451">
        <f t="shared" si="3"/>
        <v>2580</v>
      </c>
      <c r="J38" s="451">
        <f t="shared" si="3"/>
        <v>2580</v>
      </c>
      <c r="K38" s="450">
        <f t="shared" si="4"/>
        <v>1215</v>
      </c>
      <c r="M38" s="416">
        <v>2</v>
      </c>
      <c r="N38" s="416">
        <v>1215</v>
      </c>
    </row>
    <row r="39" spans="2:14" x14ac:dyDescent="0.2">
      <c r="C39" s="416"/>
      <c r="D39" s="450">
        <v>1</v>
      </c>
      <c r="E39" s="451">
        <v>1195</v>
      </c>
      <c r="F39" s="451">
        <f t="shared" si="2"/>
        <v>1195</v>
      </c>
      <c r="G39" s="451">
        <f t="shared" si="2"/>
        <v>1195</v>
      </c>
      <c r="H39" s="451">
        <v>1665</v>
      </c>
      <c r="I39" s="451">
        <f t="shared" si="3"/>
        <v>1665</v>
      </c>
      <c r="J39" s="451">
        <f t="shared" si="3"/>
        <v>1665</v>
      </c>
      <c r="K39" s="450">
        <f t="shared" si="4"/>
        <v>470</v>
      </c>
      <c r="M39" s="416">
        <v>1</v>
      </c>
      <c r="N39" s="416">
        <v>470</v>
      </c>
    </row>
    <row r="40" spans="2:14" x14ac:dyDescent="0.2">
      <c r="C40" s="416"/>
      <c r="D40" s="450">
        <v>0.5</v>
      </c>
      <c r="E40" s="451">
        <v>1040</v>
      </c>
      <c r="F40" s="451">
        <f t="shared" si="2"/>
        <v>1040</v>
      </c>
      <c r="G40" s="451">
        <f t="shared" si="2"/>
        <v>1040</v>
      </c>
      <c r="H40" s="451">
        <v>1235</v>
      </c>
      <c r="I40" s="451">
        <f t="shared" si="3"/>
        <v>1235</v>
      </c>
      <c r="J40" s="451">
        <f t="shared" si="3"/>
        <v>1235</v>
      </c>
      <c r="K40" s="450">
        <f t="shared" si="4"/>
        <v>195</v>
      </c>
      <c r="M40" s="416">
        <v>0.5</v>
      </c>
      <c r="N40" s="416">
        <v>195</v>
      </c>
    </row>
    <row r="41" spans="2:14" x14ac:dyDescent="0.2">
      <c r="C41" s="416"/>
      <c r="D41" s="450">
        <v>0.25</v>
      </c>
      <c r="E41" s="451">
        <v>975</v>
      </c>
      <c r="F41" s="451">
        <f t="shared" si="2"/>
        <v>975</v>
      </c>
      <c r="G41" s="451">
        <f t="shared" si="2"/>
        <v>975</v>
      </c>
      <c r="H41" s="451">
        <v>2115</v>
      </c>
      <c r="I41" s="451">
        <f t="shared" si="3"/>
        <v>2115</v>
      </c>
      <c r="J41" s="451">
        <f t="shared" si="3"/>
        <v>2115</v>
      </c>
      <c r="K41" s="450">
        <f t="shared" si="4"/>
        <v>1140</v>
      </c>
      <c r="M41" s="416">
        <v>0.25</v>
      </c>
      <c r="N41" s="416">
        <v>1140</v>
      </c>
    </row>
    <row r="42" spans="2:14" x14ac:dyDescent="0.2">
      <c r="C42" s="416"/>
      <c r="D42" s="450">
        <v>0.125</v>
      </c>
      <c r="E42" s="451">
        <v>950</v>
      </c>
      <c r="F42" s="451">
        <f t="shared" si="2"/>
        <v>950</v>
      </c>
      <c r="G42" s="451">
        <f t="shared" si="2"/>
        <v>950</v>
      </c>
      <c r="H42" s="451">
        <v>2690</v>
      </c>
      <c r="I42" s="451">
        <f t="shared" si="3"/>
        <v>2690</v>
      </c>
      <c r="J42" s="451">
        <f t="shared" si="3"/>
        <v>2690</v>
      </c>
      <c r="K42" s="450">
        <f t="shared" si="4"/>
        <v>1740</v>
      </c>
      <c r="M42" s="416">
        <v>0.125</v>
      </c>
      <c r="N42" s="416">
        <v>1740</v>
      </c>
    </row>
    <row r="43" spans="2:14" x14ac:dyDescent="0.2">
      <c r="C43" s="416"/>
      <c r="D43" s="450">
        <v>6.3E-2</v>
      </c>
      <c r="E43" s="451">
        <v>910</v>
      </c>
      <c r="F43" s="451">
        <f t="shared" si="2"/>
        <v>910</v>
      </c>
      <c r="G43" s="451">
        <f t="shared" si="2"/>
        <v>910</v>
      </c>
      <c r="H43" s="451">
        <v>1265</v>
      </c>
      <c r="I43" s="451">
        <f t="shared" si="3"/>
        <v>1265</v>
      </c>
      <c r="J43" s="451">
        <f t="shared" si="3"/>
        <v>1265</v>
      </c>
      <c r="K43" s="450">
        <f t="shared" si="4"/>
        <v>355</v>
      </c>
      <c r="M43" s="416">
        <v>6.3E-2</v>
      </c>
      <c r="N43" s="416">
        <v>355</v>
      </c>
    </row>
    <row r="44" spans="2:14" ht="10.8" thickBot="1" x14ac:dyDescent="0.25">
      <c r="C44" s="416"/>
      <c r="D44" s="450" t="s">
        <v>196</v>
      </c>
      <c r="E44" s="451">
        <v>1690</v>
      </c>
      <c r="F44" s="451">
        <f t="shared" si="2"/>
        <v>1690</v>
      </c>
      <c r="G44" s="451">
        <f t="shared" si="2"/>
        <v>1690</v>
      </c>
      <c r="H44" s="451">
        <v>1870</v>
      </c>
      <c r="I44" s="451">
        <f t="shared" si="3"/>
        <v>1870</v>
      </c>
      <c r="J44" s="451">
        <f t="shared" si="3"/>
        <v>1870</v>
      </c>
      <c r="K44" s="450">
        <f t="shared" si="4"/>
        <v>180</v>
      </c>
      <c r="M44" s="416" t="s">
        <v>196</v>
      </c>
      <c r="N44" s="416">
        <v>180</v>
      </c>
    </row>
    <row r="45" spans="2:14" ht="10.8" thickBot="1" x14ac:dyDescent="0.25">
      <c r="C45" s="416" t="s">
        <v>30</v>
      </c>
      <c r="D45" s="456">
        <f>3320+3320</f>
        <v>6640</v>
      </c>
      <c r="I45" s="431"/>
      <c r="J45" s="416" t="s">
        <v>31</v>
      </c>
      <c r="K45" s="440">
        <f>SUM(K31:K44)</f>
        <v>39060</v>
      </c>
    </row>
    <row r="46" spans="2:14" ht="10.8" thickBot="1" x14ac:dyDescent="0.25">
      <c r="B46" s="428" t="s">
        <v>32</v>
      </c>
      <c r="C46" s="416"/>
      <c r="I46" s="431"/>
      <c r="J46" s="416" t="s">
        <v>41</v>
      </c>
      <c r="K46" s="457">
        <f>((C35-K45)/C35)</f>
        <v>-2.5608194622279127E-4</v>
      </c>
    </row>
    <row r="47" spans="2:14" ht="10.8" thickBot="1" x14ac:dyDescent="0.25">
      <c r="B47" s="416" t="s">
        <v>33</v>
      </c>
      <c r="C47" s="416"/>
      <c r="D47" s="458">
        <f>22530+23160</f>
        <v>45690</v>
      </c>
      <c r="E47" s="459" t="s">
        <v>195</v>
      </c>
      <c r="G47" s="440"/>
      <c r="I47" s="431"/>
      <c r="K47" s="460"/>
    </row>
    <row r="48" spans="2:14" ht="10.8" thickBot="1" x14ac:dyDescent="0.25">
      <c r="B48" s="416" t="s">
        <v>34</v>
      </c>
      <c r="C48" s="416"/>
      <c r="D48" s="458"/>
      <c r="E48" s="461"/>
      <c r="I48" s="431"/>
    </row>
    <row r="49" spans="2:11" ht="10.8" thickBot="1" x14ac:dyDescent="0.25">
      <c r="B49" s="416" t="s">
        <v>35</v>
      </c>
      <c r="D49" s="456"/>
      <c r="I49" s="431"/>
    </row>
    <row r="50" spans="2:11" ht="27.75" customHeight="1" x14ac:dyDescent="0.2">
      <c r="B50" s="417"/>
      <c r="C50" s="416"/>
      <c r="H50" s="431"/>
      <c r="I50" s="416"/>
    </row>
    <row r="51" spans="2:11" x14ac:dyDescent="0.2">
      <c r="D51" s="418" t="s">
        <v>2</v>
      </c>
      <c r="E51" s="419"/>
      <c r="F51" s="418" t="s">
        <v>23</v>
      </c>
      <c r="G51" s="419"/>
      <c r="H51" s="419"/>
      <c r="I51" s="418" t="s">
        <v>24</v>
      </c>
      <c r="J51" s="419"/>
      <c r="K51" s="418" t="s">
        <v>20</v>
      </c>
    </row>
    <row r="52" spans="2:11" x14ac:dyDescent="0.2">
      <c r="C52" s="449"/>
      <c r="D52" s="418" t="s">
        <v>3</v>
      </c>
      <c r="F52" s="418" t="s">
        <v>5</v>
      </c>
      <c r="I52" s="418" t="s">
        <v>5</v>
      </c>
      <c r="K52" s="418" t="s">
        <v>5</v>
      </c>
    </row>
    <row r="53" spans="2:11" x14ac:dyDescent="0.2">
      <c r="B53" s="419" t="s">
        <v>22</v>
      </c>
      <c r="C53" s="449"/>
      <c r="D53" s="450">
        <v>256</v>
      </c>
      <c r="E53" s="451">
        <v>0</v>
      </c>
      <c r="F53" s="451">
        <v>0</v>
      </c>
      <c r="G53" s="451">
        <v>0</v>
      </c>
      <c r="H53" s="451">
        <v>0</v>
      </c>
      <c r="I53" s="451">
        <v>0</v>
      </c>
      <c r="J53" s="451">
        <v>0</v>
      </c>
      <c r="K53" s="450">
        <f>AVERAGE(H53:J53)-AVERAGE(E53:G53)</f>
        <v>0</v>
      </c>
    </row>
    <row r="54" spans="2:11" ht="10.8" thickBot="1" x14ac:dyDescent="0.25">
      <c r="B54" s="419" t="s">
        <v>25</v>
      </c>
      <c r="C54" s="449"/>
      <c r="D54" s="450">
        <v>128</v>
      </c>
      <c r="E54" s="451">
        <v>0</v>
      </c>
      <c r="F54" s="451">
        <v>0</v>
      </c>
      <c r="G54" s="451">
        <v>0</v>
      </c>
      <c r="H54" s="451">
        <v>0</v>
      </c>
      <c r="I54" s="451">
        <v>0</v>
      </c>
      <c r="J54" s="451">
        <v>0</v>
      </c>
      <c r="K54" s="450">
        <f t="shared" ref="K54:K60" si="5">AVERAGE(H54:J54)-AVERAGE(E54:G54)</f>
        <v>0</v>
      </c>
    </row>
    <row r="55" spans="2:11" ht="10.8" thickBot="1" x14ac:dyDescent="0.25">
      <c r="B55" s="419" t="s">
        <v>0</v>
      </c>
      <c r="C55" s="452"/>
      <c r="D55" s="453">
        <v>63</v>
      </c>
      <c r="E55" s="451">
        <v>0</v>
      </c>
      <c r="F55" s="451">
        <v>0</v>
      </c>
      <c r="G55" s="451">
        <v>0</v>
      </c>
      <c r="H55" s="451">
        <v>0</v>
      </c>
      <c r="I55" s="451">
        <v>0</v>
      </c>
      <c r="J55" s="451">
        <v>0</v>
      </c>
      <c r="K55" s="450">
        <f t="shared" si="5"/>
        <v>0</v>
      </c>
    </row>
    <row r="56" spans="2:11" ht="10.8" thickBot="1" x14ac:dyDescent="0.25">
      <c r="B56" s="419" t="s">
        <v>26</v>
      </c>
      <c r="C56" s="454"/>
      <c r="D56" s="453">
        <v>31.5</v>
      </c>
      <c r="E56" s="451">
        <v>0</v>
      </c>
      <c r="F56" s="451">
        <v>0</v>
      </c>
      <c r="G56" s="451">
        <v>0</v>
      </c>
      <c r="H56" s="451">
        <v>0</v>
      </c>
      <c r="I56" s="451">
        <v>0</v>
      </c>
      <c r="J56" s="451">
        <v>0</v>
      </c>
      <c r="K56" s="450">
        <f t="shared" si="5"/>
        <v>0</v>
      </c>
    </row>
    <row r="57" spans="2:11" ht="10.8" thickBot="1" x14ac:dyDescent="0.25">
      <c r="B57" s="419" t="s">
        <v>27</v>
      </c>
      <c r="C57" s="455">
        <f>D69-D67</f>
        <v>0</v>
      </c>
      <c r="D57" s="453">
        <v>16</v>
      </c>
      <c r="E57" s="451">
        <v>0</v>
      </c>
      <c r="F57" s="451">
        <v>0</v>
      </c>
      <c r="G57" s="451">
        <v>0</v>
      </c>
      <c r="H57" s="451">
        <v>0</v>
      </c>
      <c r="I57" s="451">
        <v>0</v>
      </c>
      <c r="J57" s="451">
        <v>0</v>
      </c>
      <c r="K57" s="450">
        <f t="shared" si="5"/>
        <v>0</v>
      </c>
    </row>
    <row r="58" spans="2:11" x14ac:dyDescent="0.2">
      <c r="B58" s="419" t="s">
        <v>28</v>
      </c>
      <c r="C58" s="417" t="s">
        <v>29</v>
      </c>
      <c r="D58" s="450">
        <v>8</v>
      </c>
      <c r="E58" s="451">
        <v>0</v>
      </c>
      <c r="F58" s="451">
        <v>0</v>
      </c>
      <c r="G58" s="451">
        <v>0</v>
      </c>
      <c r="H58" s="451">
        <v>0</v>
      </c>
      <c r="I58" s="451">
        <v>0</v>
      </c>
      <c r="J58" s="451">
        <v>0</v>
      </c>
      <c r="K58" s="450">
        <f t="shared" si="5"/>
        <v>0</v>
      </c>
    </row>
    <row r="59" spans="2:11" x14ac:dyDescent="0.2">
      <c r="D59" s="450">
        <v>4</v>
      </c>
      <c r="E59" s="451">
        <v>0</v>
      </c>
      <c r="F59" s="451">
        <v>0</v>
      </c>
      <c r="G59" s="451">
        <v>0</v>
      </c>
      <c r="H59" s="451">
        <v>0</v>
      </c>
      <c r="I59" s="451">
        <v>0</v>
      </c>
      <c r="J59" s="451">
        <v>0</v>
      </c>
      <c r="K59" s="450">
        <f t="shared" si="5"/>
        <v>0</v>
      </c>
    </row>
    <row r="60" spans="2:11" x14ac:dyDescent="0.2">
      <c r="B60" s="419"/>
      <c r="C60" s="416"/>
      <c r="D60" s="450">
        <v>2</v>
      </c>
      <c r="E60" s="451">
        <v>0</v>
      </c>
      <c r="F60" s="451">
        <v>0</v>
      </c>
      <c r="G60" s="451">
        <v>0</v>
      </c>
      <c r="H60" s="451">
        <v>0</v>
      </c>
      <c r="I60" s="451">
        <v>0</v>
      </c>
      <c r="J60" s="451">
        <v>0</v>
      </c>
      <c r="K60" s="450">
        <f t="shared" si="5"/>
        <v>0</v>
      </c>
    </row>
    <row r="61" spans="2:11" x14ac:dyDescent="0.2">
      <c r="C61" s="416"/>
      <c r="D61" s="450">
        <v>1</v>
      </c>
      <c r="E61" s="451">
        <v>0</v>
      </c>
      <c r="F61" s="451">
        <v>0</v>
      </c>
      <c r="G61" s="451">
        <v>0</v>
      </c>
      <c r="H61" s="451">
        <v>0</v>
      </c>
      <c r="I61" s="451">
        <v>0</v>
      </c>
      <c r="J61" s="451">
        <v>0</v>
      </c>
      <c r="K61" s="450">
        <f>AVERAGE(H61:J61)-AVERAGE(E61:G61)</f>
        <v>0</v>
      </c>
    </row>
    <row r="62" spans="2:11" x14ac:dyDescent="0.2">
      <c r="C62" s="416"/>
      <c r="D62" s="450">
        <v>0.5</v>
      </c>
      <c r="E62" s="451">
        <v>0</v>
      </c>
      <c r="F62" s="451">
        <v>0</v>
      </c>
      <c r="G62" s="451">
        <v>0</v>
      </c>
      <c r="H62" s="451">
        <v>0</v>
      </c>
      <c r="I62" s="451">
        <v>0</v>
      </c>
      <c r="J62" s="451">
        <v>0</v>
      </c>
      <c r="K62" s="450">
        <f>AVERAGE(H62:J62)-AVERAGE(E62:G62)</f>
        <v>0</v>
      </c>
    </row>
    <row r="63" spans="2:11" x14ac:dyDescent="0.2">
      <c r="C63" s="416"/>
      <c r="D63" s="450">
        <v>0.25</v>
      </c>
      <c r="E63" s="451">
        <v>0</v>
      </c>
      <c r="F63" s="451">
        <v>0</v>
      </c>
      <c r="G63" s="451">
        <v>0</v>
      </c>
      <c r="H63" s="451">
        <v>0</v>
      </c>
      <c r="I63" s="451">
        <v>0</v>
      </c>
      <c r="J63" s="451">
        <v>0</v>
      </c>
      <c r="K63" s="450">
        <f>AVERAGE(H63:J63)-AVERAGE(E63:G63)</f>
        <v>0</v>
      </c>
    </row>
    <row r="64" spans="2:11" x14ac:dyDescent="0.2">
      <c r="C64" s="416"/>
      <c r="D64" s="450">
        <v>0.125</v>
      </c>
      <c r="E64" s="451">
        <v>0</v>
      </c>
      <c r="F64" s="451">
        <v>0</v>
      </c>
      <c r="G64" s="451">
        <v>0</v>
      </c>
      <c r="H64" s="451">
        <v>0</v>
      </c>
      <c r="I64" s="451">
        <v>0</v>
      </c>
      <c r="J64" s="451">
        <v>0</v>
      </c>
      <c r="K64" s="450">
        <f>AVERAGE(H64:J64)-AVERAGE(E64:G64)</f>
        <v>0</v>
      </c>
    </row>
    <row r="65" spans="2:11" x14ac:dyDescent="0.2">
      <c r="C65" s="416"/>
      <c r="D65" s="450">
        <v>6.3E-2</v>
      </c>
      <c r="E65" s="451">
        <v>0</v>
      </c>
      <c r="F65" s="451">
        <v>0</v>
      </c>
      <c r="G65" s="451">
        <v>0</v>
      </c>
      <c r="H65" s="451">
        <v>0</v>
      </c>
      <c r="I65" s="451">
        <v>0</v>
      </c>
      <c r="J65" s="451">
        <v>0</v>
      </c>
      <c r="K65" s="450">
        <f t="shared" ref="K65" si="6">AVERAGE(H65:J65)-AVERAGE(E65:G65)</f>
        <v>0</v>
      </c>
    </row>
    <row r="66" spans="2:11" ht="10.8" thickBot="1" x14ac:dyDescent="0.25">
      <c r="C66" s="416"/>
      <c r="D66" s="450" t="s">
        <v>196</v>
      </c>
      <c r="E66" s="451">
        <v>0</v>
      </c>
      <c r="F66" s="451">
        <v>0</v>
      </c>
      <c r="G66" s="451">
        <v>0</v>
      </c>
      <c r="H66" s="451">
        <v>0</v>
      </c>
      <c r="I66" s="451">
        <v>0</v>
      </c>
      <c r="J66" s="451">
        <v>0</v>
      </c>
      <c r="K66" s="450">
        <f>AVERAGE(H66:J66)-AVERAGE(E66:G66)</f>
        <v>0</v>
      </c>
    </row>
    <row r="67" spans="2:11" ht="10.8" thickBot="1" x14ac:dyDescent="0.25">
      <c r="C67" s="416" t="s">
        <v>36</v>
      </c>
      <c r="D67" s="456"/>
      <c r="I67" s="431"/>
      <c r="J67" s="416" t="s">
        <v>31</v>
      </c>
      <c r="K67" s="440">
        <f>SUM(K53:K66)</f>
        <v>0</v>
      </c>
    </row>
    <row r="68" spans="2:11" ht="10.8" thickBot="1" x14ac:dyDescent="0.25">
      <c r="B68" s="428" t="s">
        <v>32</v>
      </c>
      <c r="C68" s="416"/>
      <c r="I68" s="431"/>
      <c r="J68" s="416" t="s">
        <v>41</v>
      </c>
      <c r="K68" s="441" t="e">
        <f>((C57-K67)/C57)</f>
        <v>#DIV/0!</v>
      </c>
    </row>
    <row r="69" spans="2:11" ht="10.8" thickBot="1" x14ac:dyDescent="0.25">
      <c r="B69" s="416" t="s">
        <v>33</v>
      </c>
      <c r="C69" s="416"/>
      <c r="D69" s="456"/>
      <c r="I69" s="431"/>
      <c r="J69" s="416" t="s">
        <v>194</v>
      </c>
      <c r="K69" s="460" t="e">
        <f>(C57-D71)/C57</f>
        <v>#DIV/0!</v>
      </c>
    </row>
    <row r="70" spans="2:11" ht="10.8" thickBot="1" x14ac:dyDescent="0.25">
      <c r="B70" s="416" t="s">
        <v>34</v>
      </c>
      <c r="C70" s="416"/>
      <c r="D70" s="456"/>
      <c r="I70" s="431"/>
    </row>
    <row r="71" spans="2:11" ht="10.8" thickBot="1" x14ac:dyDescent="0.25">
      <c r="B71" s="416" t="s">
        <v>37</v>
      </c>
      <c r="D71" s="456">
        <f>D70-D67</f>
        <v>0</v>
      </c>
      <c r="I71" s="431"/>
    </row>
    <row r="72" spans="2:11" ht="29.25" customHeight="1" x14ac:dyDescent="0.2">
      <c r="I72" s="431"/>
    </row>
    <row r="73" spans="2:11" x14ac:dyDescent="0.2">
      <c r="D73" s="418" t="s">
        <v>2</v>
      </c>
      <c r="E73" s="419"/>
      <c r="F73" s="418" t="s">
        <v>23</v>
      </c>
      <c r="G73" s="419"/>
      <c r="H73" s="419"/>
      <c r="I73" s="418" t="s">
        <v>24</v>
      </c>
      <c r="J73" s="419"/>
      <c r="K73" s="418" t="s">
        <v>20</v>
      </c>
    </row>
    <row r="74" spans="2:11" x14ac:dyDescent="0.2">
      <c r="C74" s="449"/>
      <c r="D74" s="418" t="s">
        <v>3</v>
      </c>
      <c r="F74" s="418" t="s">
        <v>5</v>
      </c>
      <c r="I74" s="418" t="s">
        <v>5</v>
      </c>
      <c r="K74" s="418" t="s">
        <v>5</v>
      </c>
    </row>
    <row r="75" spans="2:11" x14ac:dyDescent="0.2">
      <c r="B75" s="419" t="s">
        <v>22</v>
      </c>
      <c r="C75" s="449"/>
      <c r="D75" s="450">
        <v>256</v>
      </c>
      <c r="E75" s="451"/>
      <c r="F75" s="451"/>
      <c r="G75" s="451"/>
      <c r="H75" s="451"/>
      <c r="I75" s="451"/>
      <c r="J75" s="451"/>
      <c r="K75" s="450"/>
    </row>
    <row r="76" spans="2:11" ht="10.8" thickBot="1" x14ac:dyDescent="0.25">
      <c r="B76" s="419" t="s">
        <v>25</v>
      </c>
      <c r="C76" s="449"/>
      <c r="D76" s="450">
        <v>128</v>
      </c>
      <c r="E76" s="451"/>
      <c r="F76" s="451"/>
      <c r="G76" s="451"/>
      <c r="H76" s="451"/>
      <c r="I76" s="451"/>
      <c r="J76" s="451"/>
      <c r="K76" s="450"/>
    </row>
    <row r="77" spans="2:11" ht="10.8" thickBot="1" x14ac:dyDescent="0.25">
      <c r="B77" s="419" t="s">
        <v>0</v>
      </c>
      <c r="C77" s="452"/>
      <c r="D77" s="453">
        <v>63</v>
      </c>
      <c r="E77" s="451"/>
      <c r="F77" s="451"/>
      <c r="G77" s="451"/>
      <c r="H77" s="451"/>
      <c r="I77" s="451"/>
      <c r="J77" s="451"/>
      <c r="K77" s="450"/>
    </row>
    <row r="78" spans="2:11" ht="10.8" thickBot="1" x14ac:dyDescent="0.25">
      <c r="B78" s="419" t="s">
        <v>26</v>
      </c>
      <c r="C78" s="454"/>
      <c r="D78" s="453">
        <v>31.5</v>
      </c>
      <c r="E78" s="451"/>
      <c r="F78" s="451"/>
      <c r="G78" s="451"/>
      <c r="H78" s="451"/>
      <c r="I78" s="451"/>
      <c r="J78" s="451"/>
      <c r="K78" s="450"/>
    </row>
    <row r="79" spans="2:11" ht="10.8" thickBot="1" x14ac:dyDescent="0.25">
      <c r="B79" s="419" t="s">
        <v>27</v>
      </c>
      <c r="C79" s="455">
        <f>D91-D89</f>
        <v>0</v>
      </c>
      <c r="D79" s="453">
        <v>16</v>
      </c>
      <c r="E79" s="451"/>
      <c r="F79" s="451"/>
      <c r="G79" s="451"/>
      <c r="H79" s="451"/>
      <c r="I79" s="451"/>
      <c r="J79" s="451"/>
      <c r="K79" s="450"/>
    </row>
    <row r="80" spans="2:11" x14ac:dyDescent="0.2">
      <c r="B80" s="419" t="s">
        <v>28</v>
      </c>
      <c r="C80" s="417" t="s">
        <v>29</v>
      </c>
      <c r="D80" s="450">
        <v>8</v>
      </c>
      <c r="E80" s="451"/>
      <c r="F80" s="451"/>
      <c r="G80" s="451"/>
      <c r="H80" s="451"/>
      <c r="I80" s="451"/>
      <c r="J80" s="451"/>
      <c r="K80" s="450"/>
    </row>
    <row r="81" spans="2:11" x14ac:dyDescent="0.2">
      <c r="D81" s="450">
        <v>4</v>
      </c>
      <c r="E81" s="451"/>
      <c r="F81" s="451"/>
      <c r="G81" s="451"/>
      <c r="H81" s="451"/>
      <c r="I81" s="451"/>
      <c r="J81" s="451"/>
      <c r="K81" s="450"/>
    </row>
    <row r="82" spans="2:11" x14ac:dyDescent="0.2">
      <c r="B82" s="419"/>
      <c r="C82" s="416"/>
      <c r="D82" s="450">
        <v>2</v>
      </c>
      <c r="E82" s="451"/>
      <c r="F82" s="451"/>
      <c r="G82" s="451"/>
      <c r="H82" s="451"/>
      <c r="I82" s="451"/>
      <c r="J82" s="451"/>
      <c r="K82" s="450"/>
    </row>
    <row r="83" spans="2:11" x14ac:dyDescent="0.2">
      <c r="C83" s="416"/>
      <c r="D83" s="450">
        <v>1</v>
      </c>
      <c r="E83" s="451"/>
      <c r="F83" s="451"/>
      <c r="G83" s="451"/>
      <c r="H83" s="451"/>
      <c r="I83" s="451"/>
      <c r="J83" s="451"/>
      <c r="K83" s="450"/>
    </row>
    <row r="84" spans="2:11" x14ac:dyDescent="0.2">
      <c r="C84" s="416"/>
      <c r="D84" s="450">
        <v>0.5</v>
      </c>
      <c r="E84" s="451"/>
      <c r="F84" s="451"/>
      <c r="G84" s="451"/>
      <c r="H84" s="451"/>
      <c r="I84" s="451"/>
      <c r="J84" s="451"/>
      <c r="K84" s="450"/>
    </row>
    <row r="85" spans="2:11" x14ac:dyDescent="0.2">
      <c r="C85" s="416"/>
      <c r="D85" s="450">
        <v>0.25</v>
      </c>
      <c r="E85" s="451"/>
      <c r="F85" s="451"/>
      <c r="G85" s="451"/>
      <c r="H85" s="451"/>
      <c r="I85" s="451"/>
      <c r="J85" s="451"/>
      <c r="K85" s="450"/>
    </row>
    <row r="86" spans="2:11" x14ac:dyDescent="0.2">
      <c r="C86" s="416"/>
      <c r="D86" s="450">
        <v>0.125</v>
      </c>
      <c r="E86" s="451"/>
      <c r="F86" s="451"/>
      <c r="G86" s="451"/>
      <c r="H86" s="451"/>
      <c r="I86" s="451"/>
      <c r="J86" s="451"/>
      <c r="K86" s="450"/>
    </row>
    <row r="87" spans="2:11" x14ac:dyDescent="0.2">
      <c r="C87" s="416"/>
      <c r="D87" s="450">
        <v>6.3E-2</v>
      </c>
      <c r="E87" s="451"/>
      <c r="F87" s="451"/>
      <c r="G87" s="451"/>
      <c r="H87" s="451"/>
      <c r="I87" s="451"/>
      <c r="J87" s="451"/>
      <c r="K87" s="450"/>
    </row>
    <row r="88" spans="2:11" ht="10.8" thickBot="1" x14ac:dyDescent="0.25">
      <c r="C88" s="416"/>
      <c r="D88" s="450" t="s">
        <v>196</v>
      </c>
      <c r="E88" s="462"/>
      <c r="F88" s="462"/>
      <c r="G88" s="462"/>
      <c r="H88" s="451"/>
      <c r="I88" s="451"/>
      <c r="J88" s="451"/>
      <c r="K88" s="450"/>
    </row>
    <row r="89" spans="2:11" ht="10.8" thickBot="1" x14ac:dyDescent="0.25">
      <c r="C89" s="416" t="s">
        <v>38</v>
      </c>
      <c r="D89" s="456"/>
      <c r="I89" s="431"/>
      <c r="J89" s="416" t="s">
        <v>31</v>
      </c>
      <c r="K89" s="440">
        <f>SUM(K75:K88)</f>
        <v>0</v>
      </c>
    </row>
    <row r="90" spans="2:11" ht="10.8" thickBot="1" x14ac:dyDescent="0.25">
      <c r="B90" s="428" t="s">
        <v>32</v>
      </c>
      <c r="C90" s="416"/>
      <c r="I90" s="431"/>
      <c r="J90" s="416" t="s">
        <v>41</v>
      </c>
      <c r="K90" s="441" t="e">
        <f>((C79-K89)/C79)*100</f>
        <v>#DIV/0!</v>
      </c>
    </row>
    <row r="91" spans="2:11" ht="10.8" thickBot="1" x14ac:dyDescent="0.25">
      <c r="B91" s="416" t="s">
        <v>33</v>
      </c>
      <c r="C91" s="416"/>
      <c r="D91" s="456"/>
      <c r="I91" s="431"/>
    </row>
    <row r="92" spans="2:11" ht="10.8" thickBot="1" x14ac:dyDescent="0.25">
      <c r="B92" s="416" t="s">
        <v>39</v>
      </c>
      <c r="C92" s="416"/>
      <c r="D92" s="456"/>
      <c r="I92" s="431"/>
    </row>
    <row r="93" spans="2:11" ht="10.8" thickBot="1" x14ac:dyDescent="0.25">
      <c r="B93" s="416" t="s">
        <v>37</v>
      </c>
      <c r="D93" s="456">
        <f>D92-D89</f>
        <v>0</v>
      </c>
      <c r="I93" s="431"/>
    </row>
    <row r="94" spans="2:11" ht="33.75" customHeight="1" x14ac:dyDescent="0.2">
      <c r="I94" s="431"/>
    </row>
    <row r="95" spans="2:11" x14ac:dyDescent="0.2">
      <c r="D95" s="418" t="s">
        <v>2</v>
      </c>
      <c r="E95" s="419"/>
      <c r="F95" s="418" t="s">
        <v>23</v>
      </c>
      <c r="G95" s="419"/>
      <c r="H95" s="419"/>
      <c r="I95" s="418" t="s">
        <v>24</v>
      </c>
      <c r="J95" s="419"/>
      <c r="K95" s="418" t="s">
        <v>20</v>
      </c>
    </row>
    <row r="96" spans="2:11" x14ac:dyDescent="0.2">
      <c r="C96" s="449"/>
      <c r="D96" s="418" t="s">
        <v>3</v>
      </c>
      <c r="F96" s="418" t="s">
        <v>5</v>
      </c>
      <c r="I96" s="418" t="s">
        <v>5</v>
      </c>
      <c r="K96" s="418" t="s">
        <v>5</v>
      </c>
    </row>
    <row r="97" spans="2:11" x14ac:dyDescent="0.2">
      <c r="B97" s="419" t="s">
        <v>22</v>
      </c>
      <c r="C97" s="449"/>
      <c r="D97" s="450">
        <v>256</v>
      </c>
      <c r="E97" s="451"/>
      <c r="F97" s="451"/>
      <c r="G97" s="451"/>
      <c r="H97" s="451"/>
      <c r="I97" s="451"/>
      <c r="J97" s="451"/>
      <c r="K97" s="450"/>
    </row>
    <row r="98" spans="2:11" ht="10.8" thickBot="1" x14ac:dyDescent="0.25">
      <c r="B98" s="419" t="s">
        <v>25</v>
      </c>
      <c r="C98" s="449"/>
      <c r="D98" s="450">
        <v>128</v>
      </c>
      <c r="E98" s="451"/>
      <c r="F98" s="451"/>
      <c r="G98" s="451"/>
      <c r="H98" s="451"/>
      <c r="I98" s="451"/>
      <c r="J98" s="451"/>
      <c r="K98" s="450"/>
    </row>
    <row r="99" spans="2:11" ht="10.8" thickBot="1" x14ac:dyDescent="0.25">
      <c r="B99" s="419" t="s">
        <v>0</v>
      </c>
      <c r="C99" s="452"/>
      <c r="D99" s="453">
        <v>63</v>
      </c>
      <c r="E99" s="451"/>
      <c r="F99" s="451"/>
      <c r="G99" s="451"/>
      <c r="H99" s="451"/>
      <c r="I99" s="451"/>
      <c r="J99" s="451"/>
      <c r="K99" s="450"/>
    </row>
    <row r="100" spans="2:11" ht="10.8" thickBot="1" x14ac:dyDescent="0.25">
      <c r="B100" s="419" t="s">
        <v>26</v>
      </c>
      <c r="C100" s="454"/>
      <c r="D100" s="453">
        <v>31.5</v>
      </c>
      <c r="E100" s="451"/>
      <c r="F100" s="451"/>
      <c r="G100" s="451"/>
      <c r="H100" s="451"/>
      <c r="I100" s="451"/>
      <c r="J100" s="451"/>
      <c r="K100" s="450"/>
    </row>
    <row r="101" spans="2:11" ht="10.8" thickBot="1" x14ac:dyDescent="0.25">
      <c r="B101" s="419" t="s">
        <v>27</v>
      </c>
      <c r="C101" s="455">
        <f>D113-D111</f>
        <v>0</v>
      </c>
      <c r="D101" s="453">
        <v>16</v>
      </c>
      <c r="E101" s="451"/>
      <c r="F101" s="451"/>
      <c r="G101" s="451"/>
      <c r="H101" s="451"/>
      <c r="I101" s="451"/>
      <c r="J101" s="451"/>
      <c r="K101" s="450"/>
    </row>
    <row r="102" spans="2:11" x14ac:dyDescent="0.2">
      <c r="B102" s="419" t="s">
        <v>28</v>
      </c>
      <c r="C102" s="417" t="s">
        <v>29</v>
      </c>
      <c r="D102" s="450">
        <v>8</v>
      </c>
      <c r="E102" s="451"/>
      <c r="F102" s="451"/>
      <c r="G102" s="451"/>
      <c r="H102" s="451"/>
      <c r="I102" s="451"/>
      <c r="J102" s="451"/>
      <c r="K102" s="450"/>
    </row>
    <row r="103" spans="2:11" x14ac:dyDescent="0.2">
      <c r="D103" s="450">
        <v>4</v>
      </c>
      <c r="E103" s="451"/>
      <c r="F103" s="451"/>
      <c r="G103" s="451"/>
      <c r="H103" s="451"/>
      <c r="I103" s="451"/>
      <c r="J103" s="451"/>
      <c r="K103" s="450"/>
    </row>
    <row r="104" spans="2:11" x14ac:dyDescent="0.2">
      <c r="B104" s="419"/>
      <c r="C104" s="416"/>
      <c r="D104" s="450">
        <v>2</v>
      </c>
      <c r="E104" s="451"/>
      <c r="F104" s="451"/>
      <c r="G104" s="451"/>
      <c r="H104" s="451"/>
      <c r="I104" s="451"/>
      <c r="J104" s="451"/>
      <c r="K104" s="450"/>
    </row>
    <row r="105" spans="2:11" x14ac:dyDescent="0.2">
      <c r="C105" s="416"/>
      <c r="D105" s="450">
        <v>1</v>
      </c>
      <c r="E105" s="451"/>
      <c r="F105" s="451"/>
      <c r="G105" s="451"/>
      <c r="H105" s="451"/>
      <c r="I105" s="451"/>
      <c r="J105" s="451"/>
      <c r="K105" s="450"/>
    </row>
    <row r="106" spans="2:11" x14ac:dyDescent="0.2">
      <c r="C106" s="416"/>
      <c r="D106" s="450">
        <v>0.5</v>
      </c>
      <c r="E106" s="451"/>
      <c r="F106" s="451"/>
      <c r="G106" s="451"/>
      <c r="H106" s="451"/>
      <c r="I106" s="451"/>
      <c r="J106" s="451"/>
      <c r="K106" s="450"/>
    </row>
    <row r="107" spans="2:11" x14ac:dyDescent="0.2">
      <c r="C107" s="416"/>
      <c r="D107" s="450">
        <v>0.25</v>
      </c>
      <c r="E107" s="451"/>
      <c r="F107" s="451"/>
      <c r="G107" s="451"/>
      <c r="H107" s="451"/>
      <c r="I107" s="451"/>
      <c r="J107" s="451"/>
      <c r="K107" s="450"/>
    </row>
    <row r="108" spans="2:11" x14ac:dyDescent="0.2">
      <c r="C108" s="416"/>
      <c r="D108" s="450">
        <v>0.125</v>
      </c>
      <c r="E108" s="451"/>
      <c r="F108" s="451"/>
      <c r="G108" s="451"/>
      <c r="H108" s="451"/>
      <c r="I108" s="451"/>
      <c r="J108" s="451"/>
      <c r="K108" s="450"/>
    </row>
    <row r="109" spans="2:11" x14ac:dyDescent="0.2">
      <c r="C109" s="416"/>
      <c r="D109" s="450">
        <v>6.3E-2</v>
      </c>
      <c r="E109" s="451"/>
      <c r="F109" s="451"/>
      <c r="G109" s="451"/>
      <c r="H109" s="451"/>
      <c r="I109" s="451"/>
      <c r="J109" s="451"/>
      <c r="K109" s="450"/>
    </row>
    <row r="110" spans="2:11" ht="10.8" thickBot="1" x14ac:dyDescent="0.25">
      <c r="C110" s="416"/>
      <c r="D110" s="450" t="s">
        <v>196</v>
      </c>
      <c r="E110" s="462"/>
      <c r="F110" s="462"/>
      <c r="G110" s="462"/>
      <c r="H110" s="451"/>
      <c r="I110" s="451"/>
      <c r="J110" s="451"/>
      <c r="K110" s="450"/>
    </row>
    <row r="111" spans="2:11" ht="10.8" thickBot="1" x14ac:dyDescent="0.25">
      <c r="C111" s="416" t="s">
        <v>40</v>
      </c>
      <c r="D111" s="456"/>
      <c r="I111" s="431"/>
      <c r="J111" s="416" t="s">
        <v>31</v>
      </c>
      <c r="K111" s="440">
        <f>SUM(K97:K110)</f>
        <v>0</v>
      </c>
    </row>
    <row r="112" spans="2:11" ht="10.8" thickBot="1" x14ac:dyDescent="0.25">
      <c r="B112" s="428" t="s">
        <v>32</v>
      </c>
      <c r="C112" s="416"/>
      <c r="I112" s="431"/>
      <c r="J112" s="416" t="s">
        <v>41</v>
      </c>
      <c r="K112" s="441" t="e">
        <f>((C101-K111)/C101)*100</f>
        <v>#DIV/0!</v>
      </c>
    </row>
    <row r="113" spans="2:9" ht="10.8" thickBot="1" x14ac:dyDescent="0.25">
      <c r="B113" s="416" t="s">
        <v>33</v>
      </c>
      <c r="C113" s="416"/>
      <c r="D113" s="456"/>
      <c r="I113" s="431"/>
    </row>
    <row r="114" spans="2:9" ht="10.8" thickBot="1" x14ac:dyDescent="0.25">
      <c r="B114" s="416" t="s">
        <v>34</v>
      </c>
      <c r="C114" s="416"/>
      <c r="D114" s="456"/>
      <c r="I114" s="431"/>
    </row>
    <row r="115" spans="2:9" ht="10.8" thickBot="1" x14ac:dyDescent="0.25">
      <c r="B115" s="416" t="s">
        <v>35</v>
      </c>
      <c r="D115" s="456">
        <f>D114-D111</f>
        <v>0</v>
      </c>
      <c r="I115" s="431"/>
    </row>
    <row r="116" spans="2:9" x14ac:dyDescent="0.2">
      <c r="I116" s="431"/>
    </row>
    <row r="117" spans="2:9" x14ac:dyDescent="0.2">
      <c r="I117" s="431"/>
    </row>
    <row r="118" spans="2:9" x14ac:dyDescent="0.2">
      <c r="I118" s="431"/>
    </row>
    <row r="119" spans="2:9" x14ac:dyDescent="0.2">
      <c r="I119" s="431"/>
    </row>
    <row r="120" spans="2:9" x14ac:dyDescent="0.2">
      <c r="I120" s="431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topLeftCell="A7" zoomScale="85" zoomScaleNormal="85" workbookViewId="0">
      <selection activeCell="D11" sqref="D11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4" t="s">
        <v>20</v>
      </c>
      <c r="D1" s="325"/>
      <c r="E1" s="325"/>
      <c r="F1" s="326"/>
    </row>
    <row r="2" spans="1:11" ht="16.2" thickBot="1" x14ac:dyDescent="0.35">
      <c r="B2" s="22" t="s">
        <v>3</v>
      </c>
      <c r="C2" s="327" t="s">
        <v>5</v>
      </c>
      <c r="D2" s="328"/>
      <c r="E2" s="328"/>
      <c r="F2" s="329"/>
    </row>
    <row r="3" spans="1:11" x14ac:dyDescent="0.25">
      <c r="B3" s="19" t="s">
        <v>1</v>
      </c>
      <c r="C3" s="330">
        <f>'Input-data'!C4</f>
        <v>44330</v>
      </c>
      <c r="D3" s="331"/>
      <c r="E3" s="331"/>
      <c r="F3" s="332"/>
    </row>
    <row r="4" spans="1:11" x14ac:dyDescent="0.25">
      <c r="B4" s="20" t="s">
        <v>42</v>
      </c>
      <c r="C4" s="349" t="str">
        <f>'Input-data'!C5</f>
        <v>Dez2019</v>
      </c>
      <c r="D4" s="350"/>
      <c r="E4" s="350"/>
      <c r="F4" s="351"/>
    </row>
    <row r="5" spans="1:11" x14ac:dyDescent="0.25">
      <c r="B5" s="20" t="s">
        <v>43</v>
      </c>
      <c r="C5" s="352" t="e">
        <f>'Input-data'!#REF!</f>
        <v>#REF!</v>
      </c>
      <c r="D5" s="353"/>
      <c r="E5" s="353"/>
      <c r="F5" s="354"/>
    </row>
    <row r="6" spans="1:11" x14ac:dyDescent="0.25">
      <c r="B6" s="20" t="s">
        <v>0</v>
      </c>
      <c r="C6" s="333" t="str">
        <f>'Input-data'!C7</f>
        <v>KB07 FC 1 1 Dez2019</v>
      </c>
      <c r="D6" s="334"/>
      <c r="E6" s="334"/>
      <c r="F6" s="335"/>
      <c r="G6" s="7"/>
    </row>
    <row r="7" spans="1:11" x14ac:dyDescent="0.25">
      <c r="B7" s="20" t="s">
        <v>4</v>
      </c>
      <c r="C7" s="346">
        <f>'Input-data'!C8</f>
        <v>0</v>
      </c>
      <c r="D7" s="347"/>
      <c r="E7" s="347"/>
      <c r="F7" s="348"/>
      <c r="G7" s="7"/>
    </row>
    <row r="8" spans="1:11" x14ac:dyDescent="0.25">
      <c r="B8" s="20" t="s">
        <v>11</v>
      </c>
      <c r="C8" s="355">
        <f>(C9-D12)/D12</f>
        <v>-2.5601638504864311E-4</v>
      </c>
      <c r="D8" s="356"/>
      <c r="E8" s="356"/>
      <c r="F8" s="357"/>
      <c r="G8" s="7"/>
    </row>
    <row r="9" spans="1:11" ht="13.8" thickBot="1" x14ac:dyDescent="0.3">
      <c r="B9" s="224" t="s">
        <v>6</v>
      </c>
      <c r="C9" s="336">
        <f>'Input-data'!C9</f>
        <v>39050</v>
      </c>
      <c r="D9" s="337"/>
      <c r="E9" s="337"/>
      <c r="F9" s="338"/>
      <c r="G9" s="7"/>
    </row>
    <row r="10" spans="1:11" ht="30.75" customHeight="1" thickBot="1" x14ac:dyDescent="0.3">
      <c r="A10" s="225" t="s">
        <v>178</v>
      </c>
      <c r="B10" s="322" t="s">
        <v>177</v>
      </c>
      <c r="C10" s="323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339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340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341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343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344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344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344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345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342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340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340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340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341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8" t="s">
        <v>63</v>
      </c>
      <c r="B30" s="359"/>
      <c r="C30" s="382">
        <f ca="1">SUM(Interpolation!E3:E403)*0.0025</f>
        <v>52.666626234587611</v>
      </c>
      <c r="D30" s="383"/>
      <c r="E30" s="239" t="s">
        <v>197</v>
      </c>
      <c r="F30" s="239"/>
      <c r="G30" s="239"/>
      <c r="H30" s="239"/>
    </row>
    <row r="31" spans="1:8" ht="20.25" customHeight="1" x14ac:dyDescent="0.25">
      <c r="A31" s="364" t="s">
        <v>68</v>
      </c>
      <c r="B31" s="365"/>
      <c r="C31" s="380">
        <f ca="1">(C45*C39)^0.5</f>
        <v>24.132714836136216</v>
      </c>
      <c r="D31" s="381"/>
    </row>
    <row r="32" spans="1:8" ht="20.25" customHeight="1" x14ac:dyDescent="0.25">
      <c r="A32" s="366" t="s">
        <v>15</v>
      </c>
      <c r="B32" s="367"/>
      <c r="C32" s="380">
        <f ca="1">C31/C33</f>
        <v>5.7801398601398617</v>
      </c>
      <c r="D32" s="381"/>
    </row>
    <row r="33" spans="1:6" ht="20.25" customHeight="1" x14ac:dyDescent="0.25">
      <c r="A33" s="368" t="s">
        <v>69</v>
      </c>
      <c r="B33" s="369"/>
      <c r="C33" s="380">
        <f ca="1">(C45/C39)^0.5</f>
        <v>4.1751091530771847</v>
      </c>
      <c r="D33" s="381"/>
    </row>
    <row r="34" spans="1:6" ht="20.25" customHeight="1" x14ac:dyDescent="0.25">
      <c r="A34" s="366" t="s">
        <v>12</v>
      </c>
      <c r="B34" s="367"/>
      <c r="C34" s="380">
        <f ca="1">STDEV(Interpolation!E3:E403)</f>
        <v>39.605272859956408</v>
      </c>
      <c r="D34" s="381"/>
    </row>
    <row r="35" spans="1:6" ht="20.25" customHeight="1" x14ac:dyDescent="0.25">
      <c r="A35" s="374" t="s">
        <v>76</v>
      </c>
      <c r="B35" s="375"/>
      <c r="C35" s="378">
        <f>geometric_std_dev!G21</f>
        <v>2.6176008680392373</v>
      </c>
      <c r="D35" s="379"/>
      <c r="E35" s="228"/>
    </row>
    <row r="36" spans="1:6" ht="20.25" customHeight="1" x14ac:dyDescent="0.25">
      <c r="A36" s="366" t="s">
        <v>10</v>
      </c>
      <c r="B36" s="367"/>
      <c r="C36" s="380">
        <f ca="1">SKEW(Interpolation!E3:E403)</f>
        <v>0.21513133273650639</v>
      </c>
      <c r="D36" s="381"/>
      <c r="E36" s="228"/>
      <c r="F36" s="228"/>
    </row>
    <row r="37" spans="1:6" ht="20.25" customHeight="1" x14ac:dyDescent="0.25">
      <c r="A37" s="366" t="s">
        <v>9</v>
      </c>
      <c r="B37" s="367"/>
      <c r="C37" s="380">
        <f ca="1">KURT(Interpolation!E3:E403)</f>
        <v>-1.2887368974652704</v>
      </c>
      <c r="D37" s="381"/>
      <c r="E37" s="228"/>
      <c r="F37" s="228"/>
    </row>
    <row r="38" spans="1:6" ht="20.25" customHeight="1" x14ac:dyDescent="0.25">
      <c r="A38" s="366" t="s">
        <v>7</v>
      </c>
      <c r="B38" s="367"/>
      <c r="C38" s="380">
        <f ca="1">Interpolation!E363</f>
        <v>1.6297872340425545</v>
      </c>
      <c r="D38" s="381"/>
      <c r="E38" s="228"/>
      <c r="F38" s="228"/>
    </row>
    <row r="39" spans="1:6" ht="20.25" customHeight="1" x14ac:dyDescent="0.25">
      <c r="A39" s="366" t="s">
        <v>16</v>
      </c>
      <c r="B39" s="367"/>
      <c r="C39" s="380">
        <f ca="1">Interpolation!E339</f>
        <v>5.7801398601398617</v>
      </c>
      <c r="D39" s="381"/>
      <c r="E39" s="228"/>
      <c r="F39" s="228"/>
    </row>
    <row r="40" spans="1:6" ht="20.25" customHeight="1" x14ac:dyDescent="0.25">
      <c r="A40" s="366" t="s">
        <v>18</v>
      </c>
      <c r="B40" s="367"/>
      <c r="C40" s="380">
        <f ca="1">Interpolation!E303</f>
        <v>14.210350584307182</v>
      </c>
      <c r="D40" s="381"/>
      <c r="E40" s="228"/>
      <c r="F40" s="228"/>
    </row>
    <row r="41" spans="1:6" ht="20.25" customHeight="1" x14ac:dyDescent="0.25">
      <c r="A41" s="368" t="s">
        <v>50</v>
      </c>
      <c r="B41" s="369"/>
      <c r="C41" s="380">
        <f ca="1">Interpolation!E283</f>
        <v>20.545485714285711</v>
      </c>
      <c r="D41" s="381"/>
      <c r="E41" s="228"/>
      <c r="F41" s="228"/>
    </row>
    <row r="42" spans="1:6" ht="20.25" customHeight="1" x14ac:dyDescent="0.3">
      <c r="A42" s="374" t="s">
        <v>51</v>
      </c>
      <c r="B42" s="375"/>
      <c r="C42" s="378">
        <f ca="1">Interpolation!E203</f>
        <v>49.494134897360709</v>
      </c>
      <c r="D42" s="379"/>
      <c r="E42" s="253">
        <f ca="1">17.5*(C42/1000)^(-1/6)</f>
        <v>28.881013247442421</v>
      </c>
      <c r="F42" s="228"/>
    </row>
    <row r="43" spans="1:6" ht="20.25" customHeight="1" x14ac:dyDescent="0.25">
      <c r="A43" s="368" t="s">
        <v>47</v>
      </c>
      <c r="B43" s="369"/>
      <c r="C43" s="380">
        <f ca="1">Interpolation!E163</f>
        <v>64.391796502384736</v>
      </c>
      <c r="D43" s="381"/>
      <c r="E43" s="254"/>
      <c r="F43" s="228"/>
    </row>
    <row r="44" spans="1:6" ht="20.25" customHeight="1" x14ac:dyDescent="0.25">
      <c r="A44" s="366" t="s">
        <v>19</v>
      </c>
      <c r="B44" s="367"/>
      <c r="C44" s="380">
        <f ca="1">Interpolation!E103</f>
        <v>87.119872813990455</v>
      </c>
      <c r="D44" s="381"/>
      <c r="E44" s="254"/>
      <c r="F44" s="228"/>
    </row>
    <row r="45" spans="1:6" ht="20.25" customHeight="1" x14ac:dyDescent="0.25">
      <c r="A45" s="370" t="s">
        <v>17</v>
      </c>
      <c r="B45" s="371"/>
      <c r="C45" s="380">
        <f ca="1">Interpolation!E67</f>
        <v>100.75671860095389</v>
      </c>
      <c r="D45" s="381"/>
      <c r="E45" s="254"/>
      <c r="F45" s="228"/>
    </row>
    <row r="46" spans="1:6" ht="20.25" customHeight="1" x14ac:dyDescent="0.25">
      <c r="A46" s="370" t="s">
        <v>8</v>
      </c>
      <c r="B46" s="371"/>
      <c r="C46" s="380">
        <f ca="1">Interpolation!E43</f>
        <v>109.84794912559619</v>
      </c>
      <c r="D46" s="381"/>
      <c r="E46" s="254">
        <f ca="1">23.5*(2*C46/1000)^(-1/6)</f>
        <v>30.25270441833392</v>
      </c>
      <c r="F46" s="228"/>
    </row>
    <row r="47" spans="1:6" ht="20.25" customHeight="1" x14ac:dyDescent="0.25">
      <c r="A47" s="372" t="s">
        <v>48</v>
      </c>
      <c r="B47" s="373"/>
      <c r="C47" s="380">
        <f ca="1">C43/C38</f>
        <v>39.50932683566684</v>
      </c>
      <c r="D47" s="381"/>
      <c r="E47" s="228"/>
      <c r="F47" s="228"/>
    </row>
    <row r="48" spans="1:6" ht="20.25" customHeight="1" thickBot="1" x14ac:dyDescent="0.3">
      <c r="A48" s="376" t="s">
        <v>49</v>
      </c>
      <c r="B48" s="377"/>
      <c r="C48" s="384">
        <f ca="1">C41^2/(C43*C38)</f>
        <v>4.0222714104979316</v>
      </c>
      <c r="D48" s="385"/>
      <c r="E48" s="228"/>
      <c r="F48" s="228"/>
    </row>
    <row r="49" spans="1:5" ht="20.25" customHeight="1" x14ac:dyDescent="0.25">
      <c r="A49" s="386" t="s">
        <v>184</v>
      </c>
      <c r="B49" s="387"/>
      <c r="C49" s="387"/>
      <c r="D49" s="388"/>
    </row>
    <row r="50" spans="1:5" ht="20.25" customHeight="1" x14ac:dyDescent="0.25">
      <c r="A50" s="360" t="s">
        <v>179</v>
      </c>
      <c r="B50" s="361"/>
      <c r="C50" s="389">
        <f ca="1">-0.0333+(0.4665/((1000*C42/1000)^0.21))</f>
        <v>0.17228686459934031</v>
      </c>
      <c r="D50" s="390"/>
    </row>
    <row r="51" spans="1:5" ht="20.25" customHeight="1" x14ac:dyDescent="0.25">
      <c r="A51" s="362" t="s">
        <v>180</v>
      </c>
      <c r="B51" s="363"/>
      <c r="C51" s="393">
        <f ca="1">0.13+(0.21/((1000*C42/1000+0.002)^0.21))</f>
        <v>0.22254635629795369</v>
      </c>
      <c r="D51" s="394"/>
    </row>
    <row r="52" spans="1:5" ht="20.25" customHeight="1" x14ac:dyDescent="0.25">
      <c r="A52" s="360" t="s">
        <v>181</v>
      </c>
      <c r="B52" s="361"/>
      <c r="C52" s="389">
        <f>0.621*EXP(-0.457*C35)</f>
        <v>0.18774553058846644</v>
      </c>
      <c r="D52" s="390"/>
    </row>
    <row r="53" spans="1:5" ht="20.25" customHeight="1" x14ac:dyDescent="0.25">
      <c r="A53" s="362" t="s">
        <v>182</v>
      </c>
      <c r="B53" s="363"/>
      <c r="C53" s="393">
        <f>'Berechnung_Yu&amp;Stand'!J1086</f>
        <v>0.16661071999886959</v>
      </c>
      <c r="D53" s="394"/>
    </row>
    <row r="54" spans="1:5" ht="20.25" customHeight="1" thickBot="1" x14ac:dyDescent="0.3">
      <c r="A54" s="391" t="s">
        <v>183</v>
      </c>
      <c r="B54" s="392"/>
      <c r="C54" s="395">
        <f>0.353-0.068*C35+0.146*F20</f>
        <v>0.18776786191547212</v>
      </c>
      <c r="D54" s="39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"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4" sqref="A4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4140625" defaultRowHeight="13.2" x14ac:dyDescent="0.25"/>
  <cols>
    <col min="1" max="1" width="11.44140625" style="255"/>
    <col min="2" max="2" width="20.88671875" style="255" bestFit="1" customWidth="1"/>
    <col min="3" max="3" width="12.88671875" style="255" bestFit="1" customWidth="1"/>
    <col min="4" max="7" width="11.44140625" style="255"/>
    <col min="8" max="8" width="11.44140625" style="309"/>
    <col min="9" max="12" width="11.44140625" style="255"/>
    <col min="13" max="13" width="12.6640625" style="255" customWidth="1"/>
    <col min="14" max="14" width="11.44140625" style="255"/>
    <col min="15" max="15" width="11.44140625" style="318"/>
    <col min="16" max="16384" width="11.44140625" style="255"/>
  </cols>
  <sheetData>
    <row r="1" spans="1:15" ht="15.6" x14ac:dyDescent="0.3">
      <c r="B1" s="256" t="s">
        <v>2</v>
      </c>
      <c r="C1" s="257"/>
      <c r="D1" s="410" t="s">
        <v>20</v>
      </c>
      <c r="E1" s="411"/>
      <c r="F1" s="411"/>
      <c r="G1" s="412"/>
      <c r="H1" s="258"/>
    </row>
    <row r="2" spans="1:15" ht="16.2" thickBot="1" x14ac:dyDescent="0.35">
      <c r="B2" s="259" t="s">
        <v>3</v>
      </c>
      <c r="C2" s="260"/>
      <c r="D2" s="413" t="s">
        <v>5</v>
      </c>
      <c r="E2" s="414"/>
      <c r="F2" s="414"/>
      <c r="G2" s="415"/>
      <c r="H2" s="258"/>
    </row>
    <row r="3" spans="1:15" ht="13.8" thickBot="1" x14ac:dyDescent="0.3">
      <c r="B3" s="261" t="s">
        <v>1</v>
      </c>
      <c r="C3" s="262"/>
      <c r="D3" s="403">
        <f>Statistik!C3</f>
        <v>44330</v>
      </c>
      <c r="E3" s="403"/>
      <c r="F3" s="403"/>
      <c r="G3" s="404"/>
      <c r="H3" s="263"/>
    </row>
    <row r="4" spans="1:15" ht="13.8" thickBot="1" x14ac:dyDescent="0.3">
      <c r="B4" s="264" t="s">
        <v>42</v>
      </c>
      <c r="C4" s="265"/>
      <c r="D4" s="403" t="str">
        <f>Statistik!C4</f>
        <v>Dez2019</v>
      </c>
      <c r="E4" s="403"/>
      <c r="F4" s="403"/>
      <c r="G4" s="404"/>
      <c r="H4" s="266"/>
    </row>
    <row r="5" spans="1:15" ht="13.8" thickBot="1" x14ac:dyDescent="0.3">
      <c r="B5" s="264" t="s">
        <v>43</v>
      </c>
      <c r="C5" s="265"/>
      <c r="D5" s="403" t="e">
        <f>Statistik!C5</f>
        <v>#REF!</v>
      </c>
      <c r="E5" s="403"/>
      <c r="F5" s="403"/>
      <c r="G5" s="404"/>
      <c r="H5" s="267"/>
    </row>
    <row r="6" spans="1:15" ht="13.8" thickBot="1" x14ac:dyDescent="0.3">
      <c r="B6" s="264" t="s">
        <v>0</v>
      </c>
      <c r="C6" s="265"/>
      <c r="D6" s="403" t="str">
        <f>Statistik!C6</f>
        <v>KB07 FC 1 1 Dez2019</v>
      </c>
      <c r="E6" s="403"/>
      <c r="F6" s="403"/>
      <c r="G6" s="404"/>
      <c r="H6" s="268"/>
    </row>
    <row r="7" spans="1:15" ht="13.8" thickBot="1" x14ac:dyDescent="0.3">
      <c r="B7" s="264" t="s">
        <v>4</v>
      </c>
      <c r="C7" s="265"/>
      <c r="D7" s="403">
        <f>Statistik!C7</f>
        <v>0</v>
      </c>
      <c r="E7" s="403"/>
      <c r="F7" s="403"/>
      <c r="G7" s="404"/>
      <c r="H7" s="263"/>
    </row>
    <row r="8" spans="1:15" ht="13.8" thickBot="1" x14ac:dyDescent="0.3">
      <c r="B8" s="264" t="s">
        <v>11</v>
      </c>
      <c r="C8" s="265"/>
      <c r="D8" s="405">
        <f>Statistik!C8</f>
        <v>-2.5601638504864311E-4</v>
      </c>
      <c r="E8" s="405"/>
      <c r="F8" s="405"/>
      <c r="G8" s="406"/>
      <c r="H8" s="269"/>
      <c r="I8" s="407" t="s">
        <v>199</v>
      </c>
      <c r="J8" s="407"/>
      <c r="M8" s="319" t="s">
        <v>210</v>
      </c>
    </row>
    <row r="9" spans="1:15" ht="13.8" thickBot="1" x14ac:dyDescent="0.3">
      <c r="B9" s="270" t="s">
        <v>6</v>
      </c>
      <c r="C9" s="271"/>
      <c r="D9" s="408">
        <f>Statistik!C9</f>
        <v>39050</v>
      </c>
      <c r="E9" s="408"/>
      <c r="F9" s="408"/>
      <c r="G9" s="409"/>
      <c r="H9" s="267"/>
      <c r="I9" s="407" t="s">
        <v>200</v>
      </c>
      <c r="J9" s="407"/>
      <c r="M9" s="319" t="s">
        <v>211</v>
      </c>
    </row>
    <row r="10" spans="1:15" ht="40.200000000000003" thickBot="1" x14ac:dyDescent="0.3">
      <c r="A10" s="272" t="s">
        <v>178</v>
      </c>
      <c r="B10" s="273" t="s">
        <v>177</v>
      </c>
      <c r="C10" s="274" t="s">
        <v>201</v>
      </c>
      <c r="D10" s="275" t="s">
        <v>60</v>
      </c>
      <c r="E10" s="276" t="s">
        <v>61</v>
      </c>
      <c r="F10" s="277" t="s">
        <v>58</v>
      </c>
      <c r="G10" s="278" t="s">
        <v>59</v>
      </c>
      <c r="H10" s="279"/>
      <c r="I10" s="280" t="s">
        <v>202</v>
      </c>
      <c r="J10" s="280" t="s">
        <v>203</v>
      </c>
    </row>
    <row r="11" spans="1:15" x14ac:dyDescent="0.25">
      <c r="A11" s="401" t="s">
        <v>52</v>
      </c>
      <c r="B11" s="281">
        <v>256</v>
      </c>
      <c r="C11" s="282">
        <f>B11/10</f>
        <v>25.6</v>
      </c>
      <c r="D11" s="283">
        <f>Statistik!C11</f>
        <v>0</v>
      </c>
      <c r="E11" s="284">
        <f>E12+D11</f>
        <v>39060</v>
      </c>
      <c r="F11" s="285">
        <f>D11/$E$11</f>
        <v>0</v>
      </c>
      <c r="G11" s="286">
        <f t="shared" ref="G11:G24" si="0">G12+F11</f>
        <v>1</v>
      </c>
      <c r="H11" s="287"/>
      <c r="I11" s="288"/>
      <c r="J11" s="288"/>
      <c r="M11" s="255" t="s">
        <v>212</v>
      </c>
      <c r="N11" s="288">
        <f ca="1">Statistik!C30/1000</f>
        <v>5.2666626234587607E-2</v>
      </c>
      <c r="O11" s="318" t="s">
        <v>114</v>
      </c>
    </row>
    <row r="12" spans="1:15" x14ac:dyDescent="0.25">
      <c r="A12" s="401"/>
      <c r="B12" s="289">
        <v>128</v>
      </c>
      <c r="C12" s="290">
        <f t="shared" ref="C12:C26" si="1">B12/10</f>
        <v>12.8</v>
      </c>
      <c r="D12" s="283">
        <f>Statistik!C12</f>
        <v>15725</v>
      </c>
      <c r="E12" s="291">
        <f t="shared" ref="E12:E24" si="2">E13+D12</f>
        <v>39060</v>
      </c>
      <c r="F12" s="285">
        <f t="shared" ref="F12:F26" si="3">D12/$E$11</f>
        <v>0.40258576548899128</v>
      </c>
      <c r="G12" s="292">
        <f t="shared" si="0"/>
        <v>1</v>
      </c>
      <c r="H12" s="287"/>
      <c r="I12" s="288">
        <f>(C11)^0.404*(C12)^0.595</f>
        <v>16.893470506338474</v>
      </c>
      <c r="J12" s="288">
        <f>F12*100/I12</f>
        <v>2.3830850229261067</v>
      </c>
      <c r="M12" s="255" t="s">
        <v>213</v>
      </c>
      <c r="N12" s="320">
        <f>1/J32</f>
        <v>22835.172844269069</v>
      </c>
      <c r="O12" s="318" t="s">
        <v>214</v>
      </c>
    </row>
    <row r="13" spans="1:15" x14ac:dyDescent="0.25">
      <c r="A13" s="402"/>
      <c r="B13" s="289">
        <v>63</v>
      </c>
      <c r="C13" s="290">
        <f t="shared" si="1"/>
        <v>6.3</v>
      </c>
      <c r="D13" s="283">
        <f>Statistik!C13</f>
        <v>8525</v>
      </c>
      <c r="E13" s="291">
        <f t="shared" si="2"/>
        <v>23335</v>
      </c>
      <c r="F13" s="285">
        <f t="shared" si="3"/>
        <v>0.21825396825396826</v>
      </c>
      <c r="G13" s="292">
        <f t="shared" si="0"/>
        <v>0.59741423451100872</v>
      </c>
      <c r="H13" s="287"/>
      <c r="I13" s="288">
        <f t="shared" ref="I13:I26" si="4">(C12)^0.404*(C13)^0.595</f>
        <v>8.3737589438823434</v>
      </c>
      <c r="J13" s="288">
        <f t="shared" ref="J13:J20" si="5">F13*100/I13</f>
        <v>2.6064037634307482</v>
      </c>
      <c r="M13" s="255" t="s">
        <v>215</v>
      </c>
      <c r="N13" s="255">
        <f ca="1">10.44/(9.81*N11)</f>
        <v>20.206727857333988</v>
      </c>
      <c r="O13" s="318" t="s">
        <v>216</v>
      </c>
    </row>
    <row r="14" spans="1:15" x14ac:dyDescent="0.25">
      <c r="A14" s="397" t="s">
        <v>53</v>
      </c>
      <c r="B14" s="293">
        <v>31.5</v>
      </c>
      <c r="C14" s="294">
        <f t="shared" si="1"/>
        <v>3.15</v>
      </c>
      <c r="D14" s="283">
        <f>Statistik!C14</f>
        <v>4375</v>
      </c>
      <c r="E14" s="291">
        <f t="shared" si="2"/>
        <v>14810</v>
      </c>
      <c r="F14" s="285">
        <f>D14/$E$11</f>
        <v>0.11200716845878136</v>
      </c>
      <c r="G14" s="292">
        <f t="shared" si="0"/>
        <v>0.37916026625704047</v>
      </c>
      <c r="H14" s="287"/>
      <c r="I14" s="288">
        <f t="shared" si="4"/>
        <v>4.1632104163180852</v>
      </c>
      <c r="J14" s="288">
        <f t="shared" si="5"/>
        <v>2.6904037331324644</v>
      </c>
    </row>
    <row r="15" spans="1:15" x14ac:dyDescent="0.25">
      <c r="A15" s="398"/>
      <c r="B15" s="293">
        <v>16</v>
      </c>
      <c r="C15" s="294">
        <f t="shared" si="1"/>
        <v>1.6</v>
      </c>
      <c r="D15" s="283">
        <f>Statistik!C15</f>
        <v>2995</v>
      </c>
      <c r="E15" s="291">
        <f t="shared" si="2"/>
        <v>10435</v>
      </c>
      <c r="F15" s="285">
        <f t="shared" si="3"/>
        <v>7.667690732206861E-2</v>
      </c>
      <c r="G15" s="292">
        <f t="shared" si="0"/>
        <v>0.26715309779825908</v>
      </c>
      <c r="H15" s="287"/>
      <c r="I15" s="288">
        <f t="shared" si="4"/>
        <v>2.102659033821578</v>
      </c>
      <c r="J15" s="288">
        <f t="shared" si="5"/>
        <v>3.6466638712558406</v>
      </c>
      <c r="M15" s="255" t="s">
        <v>217</v>
      </c>
      <c r="N15" s="255">
        <f ca="1">N13/N12</f>
        <v>8.8489489416784773E-4</v>
      </c>
      <c r="O15" s="318" t="s">
        <v>218</v>
      </c>
    </row>
    <row r="16" spans="1:15" x14ac:dyDescent="0.25">
      <c r="A16" s="398"/>
      <c r="B16" s="293">
        <v>8</v>
      </c>
      <c r="C16" s="294">
        <f t="shared" si="1"/>
        <v>0.8</v>
      </c>
      <c r="D16" s="283">
        <f>Statistik!C16</f>
        <v>2145</v>
      </c>
      <c r="E16" s="291">
        <f t="shared" si="2"/>
        <v>7440</v>
      </c>
      <c r="F16" s="285">
        <f t="shared" si="3"/>
        <v>5.4915514592933951E-2</v>
      </c>
      <c r="G16" s="292">
        <f t="shared" si="0"/>
        <v>0.19047619047619047</v>
      </c>
      <c r="H16" s="287"/>
      <c r="I16" s="288">
        <f t="shared" si="4"/>
        <v>1.0587733840216291</v>
      </c>
      <c r="J16" s="288">
        <f t="shared" si="5"/>
        <v>5.1867109073278428</v>
      </c>
      <c r="M16" s="321" t="s">
        <v>220</v>
      </c>
    </row>
    <row r="17" spans="1:11" x14ac:dyDescent="0.25">
      <c r="A17" s="398"/>
      <c r="B17" s="293">
        <v>4</v>
      </c>
      <c r="C17" s="294">
        <f t="shared" si="1"/>
        <v>0.4</v>
      </c>
      <c r="D17" s="283">
        <f>Statistik!C17</f>
        <v>1215</v>
      </c>
      <c r="E17" s="291">
        <f t="shared" si="2"/>
        <v>5295</v>
      </c>
      <c r="F17" s="285">
        <f>D17/$E$11</f>
        <v>3.1105990783410139E-2</v>
      </c>
      <c r="G17" s="292">
        <f t="shared" si="0"/>
        <v>0.13556067588325652</v>
      </c>
      <c r="H17" s="287"/>
      <c r="I17" s="288">
        <f t="shared" si="4"/>
        <v>0.52975376210591196</v>
      </c>
      <c r="J17" s="288">
        <f>F17*100/I17</f>
        <v>5.8717828939535153</v>
      </c>
    </row>
    <row r="18" spans="1:11" x14ac:dyDescent="0.25">
      <c r="A18" s="399"/>
      <c r="B18" s="293">
        <v>2</v>
      </c>
      <c r="C18" s="294">
        <f t="shared" si="1"/>
        <v>0.2</v>
      </c>
      <c r="D18" s="283">
        <f>Statistik!C18</f>
        <v>470</v>
      </c>
      <c r="E18" s="291">
        <f t="shared" si="2"/>
        <v>4080</v>
      </c>
      <c r="F18" s="285">
        <f t="shared" si="3"/>
        <v>1.2032770097286226E-2</v>
      </c>
      <c r="G18" s="292">
        <f t="shared" si="0"/>
        <v>0.10445468509984637</v>
      </c>
      <c r="H18" s="287"/>
      <c r="I18" s="288">
        <f t="shared" si="4"/>
        <v>0.26506054336140555</v>
      </c>
      <c r="J18" s="288">
        <f t="shared" si="5"/>
        <v>4.5396308121498672</v>
      </c>
    </row>
    <row r="19" spans="1:11" x14ac:dyDescent="0.25">
      <c r="A19" s="400" t="s">
        <v>54</v>
      </c>
      <c r="B19" s="289">
        <v>1</v>
      </c>
      <c r="C19" s="290">
        <f t="shared" si="1"/>
        <v>0.1</v>
      </c>
      <c r="D19" s="283">
        <f>Statistik!C19</f>
        <v>195</v>
      </c>
      <c r="E19" s="291">
        <f t="shared" si="2"/>
        <v>3610</v>
      </c>
      <c r="F19" s="285">
        <f t="shared" si="3"/>
        <v>4.9923195084485405E-3</v>
      </c>
      <c r="G19" s="292">
        <f t="shared" si="0"/>
        <v>9.2421915002560154E-2</v>
      </c>
      <c r="H19" s="287"/>
      <c r="I19" s="288">
        <f t="shared" si="4"/>
        <v>0.1326221665094986</v>
      </c>
      <c r="J19" s="288">
        <f t="shared" si="5"/>
        <v>3.7643175645837328</v>
      </c>
    </row>
    <row r="20" spans="1:11" x14ac:dyDescent="0.25">
      <c r="A20" s="401"/>
      <c r="B20" s="289">
        <v>0.5</v>
      </c>
      <c r="C20" s="290">
        <f t="shared" si="1"/>
        <v>0.05</v>
      </c>
      <c r="D20" s="283">
        <f>Statistik!C20</f>
        <v>1140</v>
      </c>
      <c r="E20" s="291">
        <f t="shared" si="2"/>
        <v>3415</v>
      </c>
      <c r="F20" s="285">
        <f t="shared" si="3"/>
        <v>2.9185867895545316E-2</v>
      </c>
      <c r="G20" s="292">
        <f t="shared" si="0"/>
        <v>8.7429595494111612E-2</v>
      </c>
      <c r="H20" s="287"/>
      <c r="I20" s="288">
        <f t="shared" si="4"/>
        <v>6.6357062528508273E-2</v>
      </c>
      <c r="J20" s="288">
        <f t="shared" si="5"/>
        <v>43.983061912974982</v>
      </c>
    </row>
    <row r="21" spans="1:11" x14ac:dyDescent="0.25">
      <c r="A21" s="401"/>
      <c r="B21" s="295">
        <v>0.25</v>
      </c>
      <c r="C21" s="296">
        <f t="shared" si="1"/>
        <v>2.5000000000000001E-2</v>
      </c>
      <c r="D21" s="283">
        <f>Statistik!C21</f>
        <v>1740</v>
      </c>
      <c r="E21" s="291">
        <f t="shared" si="2"/>
        <v>2275</v>
      </c>
      <c r="F21" s="285">
        <f t="shared" si="3"/>
        <v>4.4546850998463901E-2</v>
      </c>
      <c r="G21" s="292">
        <f t="shared" si="0"/>
        <v>5.8243727598566303E-2</v>
      </c>
      <c r="H21" s="287"/>
      <c r="I21" s="288">
        <f t="shared" si="4"/>
        <v>3.3201536841859614E-2</v>
      </c>
      <c r="J21" s="288">
        <f>F21*100/I21</f>
        <v>134.17105120959468</v>
      </c>
    </row>
    <row r="22" spans="1:11" x14ac:dyDescent="0.25">
      <c r="A22" s="401"/>
      <c r="B22" s="295">
        <v>0.125</v>
      </c>
      <c r="C22" s="296">
        <f t="shared" si="1"/>
        <v>1.2500000000000001E-2</v>
      </c>
      <c r="D22" s="283">
        <f>Statistik!C22</f>
        <v>355</v>
      </c>
      <c r="E22" s="291">
        <f t="shared" si="2"/>
        <v>535</v>
      </c>
      <c r="F22" s="285">
        <f t="shared" si="3"/>
        <v>9.0885816692268303E-3</v>
      </c>
      <c r="G22" s="292">
        <f t="shared" si="0"/>
        <v>1.3696876600102405E-2</v>
      </c>
      <c r="H22" s="287"/>
      <c r="I22" s="288">
        <f t="shared" si="4"/>
        <v>1.6612279185622081E-2</v>
      </c>
      <c r="J22" s="288">
        <f>F22*100/I22</f>
        <v>54.710022433845161</v>
      </c>
    </row>
    <row r="23" spans="1:11" x14ac:dyDescent="0.25">
      <c r="A23" s="402"/>
      <c r="B23" s="295">
        <v>6.3E-2</v>
      </c>
      <c r="C23" s="296">
        <f t="shared" si="1"/>
        <v>6.3E-3</v>
      </c>
      <c r="D23" s="283">
        <f>Statistik!C23</f>
        <v>180</v>
      </c>
      <c r="E23" s="291">
        <f t="shared" si="2"/>
        <v>180</v>
      </c>
      <c r="F23" s="285">
        <f t="shared" si="3"/>
        <v>4.608294930875576E-3</v>
      </c>
      <c r="G23" s="292">
        <f t="shared" si="0"/>
        <v>4.608294930875576E-3</v>
      </c>
      <c r="H23" s="287"/>
      <c r="I23" s="288">
        <f t="shared" si="4"/>
        <v>8.3513997492220722E-3</v>
      </c>
      <c r="J23" s="288">
        <f t="shared" ref="J23:J25" si="6">F23*100/I23</f>
        <v>55.179910784474615</v>
      </c>
    </row>
    <row r="24" spans="1:11" x14ac:dyDescent="0.25">
      <c r="A24" s="297" t="s">
        <v>55</v>
      </c>
      <c r="B24" s="298">
        <v>3.1E-2</v>
      </c>
      <c r="C24" s="299">
        <f t="shared" si="1"/>
        <v>3.0999999999999999E-3</v>
      </c>
      <c r="D24" s="283">
        <f>Statistik!C24</f>
        <v>0</v>
      </c>
      <c r="E24" s="291">
        <f t="shared" si="2"/>
        <v>0</v>
      </c>
      <c r="F24" s="285">
        <f t="shared" si="3"/>
        <v>0</v>
      </c>
      <c r="G24" s="292">
        <f t="shared" si="0"/>
        <v>0</v>
      </c>
      <c r="H24" s="287"/>
      <c r="I24" s="288">
        <f t="shared" si="4"/>
        <v>4.1523484406827604E-3</v>
      </c>
      <c r="J24" s="288">
        <f t="shared" si="6"/>
        <v>0</v>
      </c>
    </row>
    <row r="25" spans="1:11" x14ac:dyDescent="0.25">
      <c r="A25" s="297" t="s">
        <v>56</v>
      </c>
      <c r="B25" s="300">
        <v>3.8999999999999998E-3</v>
      </c>
      <c r="C25" s="301">
        <f t="shared" si="1"/>
        <v>3.8999999999999999E-4</v>
      </c>
      <c r="D25" s="283">
        <f>Statistik!C25</f>
        <v>0</v>
      </c>
      <c r="E25" s="291">
        <f>E26+D25</f>
        <v>0</v>
      </c>
      <c r="F25" s="285">
        <f t="shared" si="3"/>
        <v>0</v>
      </c>
      <c r="G25" s="292">
        <f>G26+F25</f>
        <v>0</v>
      </c>
      <c r="H25" s="287"/>
      <c r="I25" s="288">
        <f t="shared" si="4"/>
        <v>9.0822523688901678E-4</v>
      </c>
      <c r="J25" s="288">
        <f t="shared" si="6"/>
        <v>0</v>
      </c>
    </row>
    <row r="26" spans="1:11" ht="13.8" thickBot="1" x14ac:dyDescent="0.3">
      <c r="A26" s="302" t="s">
        <v>57</v>
      </c>
      <c r="B26" s="303">
        <v>6.0000000000000002E-5</v>
      </c>
      <c r="C26" s="304">
        <f t="shared" si="1"/>
        <v>6.0000000000000002E-6</v>
      </c>
      <c r="D26" s="305">
        <f>Statistik!C26</f>
        <v>0</v>
      </c>
      <c r="E26" s="306">
        <f>D26</f>
        <v>0</v>
      </c>
      <c r="F26" s="307">
        <f t="shared" si="3"/>
        <v>0</v>
      </c>
      <c r="G26" s="308">
        <f>F26</f>
        <v>0</v>
      </c>
      <c r="H26" s="287"/>
      <c r="I26" s="288">
        <f t="shared" si="4"/>
        <v>3.279367552225615E-5</v>
      </c>
      <c r="J26" s="288"/>
    </row>
    <row r="27" spans="1:11" ht="14.4" x14ac:dyDescent="0.3">
      <c r="I27" s="310" t="s">
        <v>203</v>
      </c>
      <c r="J27" s="311">
        <f>100/SUM(J11:J26)</f>
        <v>0.31374217890820433</v>
      </c>
    </row>
    <row r="28" spans="1:11" ht="14.4" x14ac:dyDescent="0.3">
      <c r="I28" s="312" t="s">
        <v>204</v>
      </c>
      <c r="J28" s="313">
        <v>6.1</v>
      </c>
      <c r="K28" s="255" t="s">
        <v>205</v>
      </c>
    </row>
    <row r="29" spans="1:11" x14ac:dyDescent="0.25">
      <c r="I29" s="314" t="s">
        <v>206</v>
      </c>
      <c r="J29" s="288">
        <f>[1]Daten!$L$14</f>
        <v>0.1778257819846718</v>
      </c>
      <c r="K29" s="255" t="s">
        <v>219</v>
      </c>
    </row>
    <row r="30" spans="1:11" x14ac:dyDescent="0.25">
      <c r="I30" s="314" t="s">
        <v>207</v>
      </c>
      <c r="J30" s="312">
        <f>J29/(1-J29)</f>
        <v>0.21628722731531397</v>
      </c>
    </row>
    <row r="31" spans="1:11" x14ac:dyDescent="0.25">
      <c r="I31" s="312">
        <f>1.99*10^4</f>
        <v>19900</v>
      </c>
      <c r="J31" s="314"/>
    </row>
    <row r="32" spans="1:11" ht="14.4" x14ac:dyDescent="0.3">
      <c r="I32" s="315" t="s">
        <v>208</v>
      </c>
      <c r="J32" s="316">
        <f>I31*(J27/100)^2*(1/J28^2)*(J30^3/(1+J30))</f>
        <v>4.3792092436513762E-5</v>
      </c>
      <c r="K32" s="317" t="s">
        <v>209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" thickBot="1" x14ac:dyDescent="0.3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2022-01-26T08:14:25Z</dcterms:modified>
</cp:coreProperties>
</file>