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uiziose-my.sharepoint.com/personal/petter_hudden_intuizio_se/Documents/Dokument/GitHub/"/>
    </mc:Choice>
  </mc:AlternateContent>
  <xr:revisionPtr revIDLastSave="0" documentId="8_{F7E1E9C8-8D55-4F7A-825B-89845AB1DC49}" xr6:coauthVersionLast="47" xr6:coauthVersionMax="47" xr10:uidLastSave="{00000000-0000-0000-0000-000000000000}"/>
  <bookViews>
    <workbookView xWindow="16354" yWindow="-9360" windowWidth="33120" windowHeight="18120" xr2:uid="{2D38C27D-A4B0-4F3E-948D-6FE9C07EBD38}"/>
  </bookViews>
  <sheets>
    <sheet name="Cost parametres" sheetId="1" r:id="rId1"/>
  </sheets>
  <externalReferences>
    <externalReference r:id="rId2"/>
    <externalReference r:id="rId3"/>
    <externalReference r:id="rId4"/>
  </externalReferences>
  <definedNames>
    <definedName name="cRkPerMil">[1]Lastbil!$K$21</definedName>
    <definedName name="TotalKostnad">[2]Std!$N$18</definedName>
    <definedName name="XX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1" l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O51" i="1"/>
  <c r="N51" i="1"/>
  <c r="N56" i="1" s="1"/>
  <c r="H51" i="1"/>
  <c r="F51" i="1"/>
  <c r="E51" i="1"/>
  <c r="P50" i="1"/>
  <c r="O50" i="1"/>
  <c r="N50" i="1"/>
  <c r="M50" i="1"/>
  <c r="L50" i="1"/>
  <c r="L51" i="1" s="1"/>
  <c r="L56" i="1" s="1"/>
  <c r="K50" i="1"/>
  <c r="J50" i="1"/>
  <c r="I50" i="1"/>
  <c r="H50" i="1"/>
  <c r="H58" i="1" s="1"/>
  <c r="P49" i="1"/>
  <c r="M49" i="1"/>
  <c r="M51" i="1" s="1"/>
  <c r="J49" i="1"/>
  <c r="G49" i="1"/>
  <c r="G58" i="1" s="1"/>
  <c r="P40" i="1"/>
  <c r="O40" i="1"/>
  <c r="N40" i="1"/>
  <c r="M40" i="1"/>
  <c r="L40" i="1"/>
  <c r="K40" i="1"/>
  <c r="J40" i="1"/>
  <c r="I40" i="1"/>
  <c r="H40" i="1"/>
  <c r="H34" i="1"/>
  <c r="G32" i="1"/>
  <c r="J30" i="1"/>
  <c r="J32" i="1" s="1"/>
  <c r="I30" i="1"/>
  <c r="H30" i="1"/>
  <c r="T17" i="1"/>
  <c r="T11" i="1" s="1"/>
  <c r="S11" i="1" s="1"/>
  <c r="S16" i="1"/>
  <c r="S17" i="1" s="1"/>
  <c r="S15" i="1"/>
  <c r="P12" i="1"/>
  <c r="O12" i="1"/>
  <c r="N12" i="1"/>
  <c r="M12" i="1"/>
  <c r="L12" i="1"/>
  <c r="K12" i="1"/>
  <c r="J12" i="1"/>
  <c r="I12" i="1"/>
  <c r="H12" i="1"/>
  <c r="S10" i="1"/>
  <c r="M32" i="1" s="1"/>
  <c r="S9" i="1"/>
  <c r="I32" i="1" s="1"/>
  <c r="H9" i="1"/>
  <c r="K9" i="1" s="1"/>
  <c r="G9" i="1"/>
  <c r="G34" i="1" s="1"/>
  <c r="F9" i="1"/>
  <c r="F34" i="1" s="1"/>
  <c r="E9" i="1"/>
  <c r="E34" i="1" s="1"/>
  <c r="S8" i="1"/>
  <c r="F32" i="1" s="1"/>
  <c r="N9" i="1" l="1"/>
  <c r="N58" i="1" s="1"/>
  <c r="K34" i="1"/>
  <c r="K58" i="1"/>
  <c r="N32" i="1"/>
  <c r="O32" i="1"/>
  <c r="P32" i="1"/>
  <c r="H32" i="1"/>
  <c r="G51" i="1"/>
  <c r="M56" i="1" s="1"/>
  <c r="E58" i="1"/>
  <c r="N33" i="1"/>
  <c r="N34" i="1" s="1"/>
  <c r="P51" i="1"/>
  <c r="F58" i="1"/>
  <c r="I9" i="1"/>
  <c r="I58" i="1" s="1"/>
  <c r="J9" i="1"/>
  <c r="O33" i="1"/>
  <c r="I51" i="1"/>
  <c r="O56" i="1" s="1"/>
  <c r="K32" i="1"/>
  <c r="P33" i="1"/>
  <c r="J51" i="1"/>
  <c r="L32" i="1"/>
  <c r="K51" i="1"/>
  <c r="K56" i="1" s="1"/>
  <c r="E32" i="1"/>
  <c r="M9" i="1" l="1"/>
  <c r="J34" i="1"/>
  <c r="L9" i="1"/>
  <c r="I34" i="1"/>
  <c r="P56" i="1"/>
  <c r="J58" i="1"/>
  <c r="L34" i="1" l="1"/>
  <c r="L58" i="1"/>
  <c r="O9" i="1"/>
  <c r="M34" i="1"/>
  <c r="P9" i="1"/>
  <c r="M58" i="1"/>
  <c r="P58" i="1" l="1"/>
  <c r="P34" i="1"/>
  <c r="O58" i="1"/>
  <c r="O34" i="1"/>
</calcChain>
</file>

<file path=xl/sharedStrings.xml><?xml version="1.0" encoding="utf-8"?>
<sst xmlns="http://schemas.openxmlformats.org/spreadsheetml/2006/main" count="128" uniqueCount="95">
  <si>
    <t>Bränsleslag</t>
  </si>
  <si>
    <t>Fossil diesel</t>
  </si>
  <si>
    <t>Fossil free diesel, HVO</t>
  </si>
  <si>
    <t>Biogas, Flytande CBG</t>
  </si>
  <si>
    <t>BEV</t>
  </si>
  <si>
    <t>Fuel cost</t>
  </si>
  <si>
    <t>Vehicle type</t>
  </si>
  <si>
    <t>A</t>
  </si>
  <si>
    <t>B</t>
  </si>
  <si>
    <t>C</t>
  </si>
  <si>
    <t>Exkl Tax/Moms</t>
  </si>
  <si>
    <t>Inkl Tax/Moms</t>
  </si>
  <si>
    <t>Local</t>
  </si>
  <si>
    <t>Regional</t>
  </si>
  <si>
    <t>Long distance</t>
  </si>
  <si>
    <t>Product</t>
  </si>
  <si>
    <t>Cost per unit, exkl</t>
  </si>
  <si>
    <t>Cost per unit, exkl2</t>
  </si>
  <si>
    <t>Source</t>
  </si>
  <si>
    <t>Per day</t>
  </si>
  <si>
    <t>100km</t>
  </si>
  <si>
    <t>200km</t>
  </si>
  <si>
    <t>500km</t>
  </si>
  <si>
    <t>&gt;100 km</t>
  </si>
  <si>
    <t>&gt;200 km</t>
  </si>
  <si>
    <t>&gt;400 km</t>
  </si>
  <si>
    <t>CircleK</t>
  </si>
  <si>
    <t>Per yaer</t>
  </si>
  <si>
    <t>HVO</t>
  </si>
  <si>
    <t>Energifabriken</t>
  </si>
  <si>
    <t>SE</t>
  </si>
  <si>
    <t>EN</t>
  </si>
  <si>
    <t>BioGas, CBG</t>
  </si>
  <si>
    <t>Svensk Biogas</t>
  </si>
  <si>
    <t>Fasta kostnader</t>
  </si>
  <si>
    <t>Fixed cost</t>
  </si>
  <si>
    <t>Elektric, mixed depot/public</t>
  </si>
  <si>
    <t>Se sep calculation</t>
  </si>
  <si>
    <t>Investment</t>
  </si>
  <si>
    <t>Avskrivning</t>
  </si>
  <si>
    <t>Ränta</t>
  </si>
  <si>
    <t>Fi</t>
  </si>
  <si>
    <t>Electric costs</t>
  </si>
  <si>
    <t>Andel</t>
  </si>
  <si>
    <t>Depot charging cost</t>
  </si>
  <si>
    <t>År</t>
  </si>
  <si>
    <t>Public charging cost</t>
  </si>
  <si>
    <t>Förväntad livslängdsfaktor</t>
  </si>
  <si>
    <t>Expected life span</t>
  </si>
  <si>
    <t>Result, Mix</t>
  </si>
  <si>
    <t>Link to update source</t>
  </si>
  <si>
    <t>Avskrivning, fast del</t>
  </si>
  <si>
    <t>Räntekostnad</t>
  </si>
  <si>
    <t>Fordonskatt</t>
  </si>
  <si>
    <t>Försäkringar, skador</t>
  </si>
  <si>
    <t>Övriga fasta kostnader</t>
  </si>
  <si>
    <t>Fixed cost per Year</t>
  </si>
  <si>
    <t>Rörliga kostnader, sträcka</t>
  </si>
  <si>
    <t>Variable cost, Distance</t>
  </si>
  <si>
    <t>Fuel consumtion per 100km</t>
  </si>
  <si>
    <t>Förbrukning per enhet ( Liter/KG/kWh)</t>
  </si>
  <si>
    <t>Alt A</t>
  </si>
  <si>
    <t>Cost per 100km</t>
  </si>
  <si>
    <t>Gasum kalkylator</t>
  </si>
  <si>
    <t>Cost per Year</t>
  </si>
  <si>
    <t>Local/Small truck</t>
  </si>
  <si>
    <t>Klimatavtryck</t>
  </si>
  <si>
    <t>Climate footprint</t>
  </si>
  <si>
    <t>Energiåtgång/mil</t>
  </si>
  <si>
    <t>kWh/10km</t>
  </si>
  <si>
    <t>Index vs diesel</t>
  </si>
  <si>
    <t>CO2e, gram/km</t>
  </si>
  <si>
    <t>CO2 emission</t>
  </si>
  <si>
    <t>Livscykelutsläpp, ton</t>
  </si>
  <si>
    <t>Life cycle</t>
  </si>
  <si>
    <t>?</t>
  </si>
  <si>
    <t>Rörliga kostnader, Service&amp;Rep</t>
  </si>
  <si>
    <t>Variable cost, Service&amp;Maintance</t>
  </si>
  <si>
    <t>Kringkostnader</t>
  </si>
  <si>
    <t>Surronding cost</t>
  </si>
  <si>
    <t>Däck</t>
  </si>
  <si>
    <t>Tyre</t>
  </si>
  <si>
    <t>Price per 10 km</t>
  </si>
  <si>
    <t>Service&amp;Rep</t>
  </si>
  <si>
    <t>Service&amp;aftermarket</t>
  </si>
  <si>
    <t>Biogas + 1kr, BEV lower materialcost 5000 instead 15000+ 1,5 lägre rörlig</t>
  </si>
  <si>
    <t>Sub total</t>
  </si>
  <si>
    <t>Price</t>
  </si>
  <si>
    <t>Kostnad per år</t>
  </si>
  <si>
    <t>Rörliga kostnader, Tid</t>
  </si>
  <si>
    <t>Variable cost, Time</t>
  </si>
  <si>
    <t>Personal cost per hour</t>
  </si>
  <si>
    <t>Cost per Hour</t>
  </si>
  <si>
    <t>HK kostnader</t>
  </si>
  <si>
    <t>Overhhead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</si>
</sst>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475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3" fillId="2" borderId="4" xfId="0" applyFont="1" applyFill="1" applyBorder="1"/>
    <xf numFmtId="0" fontId="3" fillId="2" borderId="0" xfId="0" applyFont="1" applyFill="1"/>
    <xf numFmtId="0" fontId="3" fillId="2" borderId="5" xfId="0" applyFont="1" applyFill="1" applyBorder="1"/>
    <xf numFmtId="0" fontId="3" fillId="3" borderId="4" xfId="0" applyFont="1" applyFill="1" applyBorder="1"/>
    <xf numFmtId="0" fontId="3" fillId="3" borderId="0" xfId="0" applyFont="1" applyFill="1"/>
    <xf numFmtId="0" fontId="3" fillId="3" borderId="5" xfId="0" applyFont="1" applyFill="1" applyBorder="1"/>
    <xf numFmtId="0" fontId="3" fillId="4" borderId="4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3" fillId="5" borderId="4" xfId="0" applyFont="1" applyFill="1" applyBorder="1"/>
    <xf numFmtId="0" fontId="3" fillId="5" borderId="0" xfId="0" applyFont="1" applyFill="1"/>
    <xf numFmtId="0" fontId="3" fillId="5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12" xfId="0" applyFont="1" applyBorder="1" applyAlignment="1">
      <alignment wrapText="1"/>
    </xf>
    <xf numFmtId="0" fontId="0" fillId="6" borderId="0" xfId="0" applyFill="1"/>
    <xf numFmtId="0" fontId="0" fillId="5" borderId="0" xfId="0" applyFill="1"/>
    <xf numFmtId="164" fontId="0" fillId="7" borderId="9" xfId="1" applyNumberFormat="1" applyFont="1" applyFill="1" applyBorder="1"/>
    <xf numFmtId="164" fontId="0" fillId="8" borderId="9" xfId="1" applyNumberFormat="1" applyFont="1" applyFill="1" applyBorder="1"/>
    <xf numFmtId="164" fontId="0" fillId="8" borderId="10" xfId="1" applyNumberFormat="1" applyFont="1" applyFill="1" applyBorder="1"/>
    <xf numFmtId="164" fontId="0" fillId="8" borderId="11" xfId="1" applyNumberFormat="1" applyFont="1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9" fontId="0" fillId="8" borderId="9" xfId="0" applyNumberFormat="1" applyFill="1" applyBorder="1"/>
    <xf numFmtId="164" fontId="2" fillId="9" borderId="9" xfId="1" applyNumberFormat="1" applyFont="1" applyFill="1" applyBorder="1"/>
    <xf numFmtId="164" fontId="2" fillId="9" borderId="10" xfId="1" applyNumberFormat="1" applyFont="1" applyFill="1" applyBorder="1"/>
    <xf numFmtId="164" fontId="2" fillId="9" borderId="11" xfId="1" applyNumberFormat="1" applyFont="1" applyFill="1" applyBorder="1"/>
    <xf numFmtId="0" fontId="0" fillId="10" borderId="9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11" borderId="11" xfId="0" applyFill="1" applyBorder="1"/>
    <xf numFmtId="0" fontId="0" fillId="11" borderId="0" xfId="0" applyFill="1"/>
    <xf numFmtId="0" fontId="0" fillId="12" borderId="0" xfId="0" applyFill="1"/>
    <xf numFmtId="0" fontId="0" fillId="8" borderId="13" xfId="0" applyFill="1" applyBorder="1"/>
    <xf numFmtId="165" fontId="0" fillId="8" borderId="11" xfId="2" applyNumberFormat="1" applyFont="1" applyFill="1" applyBorder="1"/>
    <xf numFmtId="165" fontId="0" fillId="8" borderId="14" xfId="2" applyNumberFormat="1" applyFont="1" applyFill="1" applyBorder="1"/>
    <xf numFmtId="0" fontId="2" fillId="0" borderId="9" xfId="0" applyFont="1" applyBorder="1"/>
    <xf numFmtId="0" fontId="0" fillId="10" borderId="11" xfId="0" applyFill="1" applyBorder="1"/>
    <xf numFmtId="0" fontId="0" fillId="10" borderId="10" xfId="0" applyFill="1" applyBorder="1"/>
    <xf numFmtId="2" fontId="0" fillId="10" borderId="11" xfId="0" applyNumberFormat="1" applyFill="1" applyBorder="1"/>
    <xf numFmtId="0" fontId="2" fillId="9" borderId="9" xfId="0" applyFont="1" applyFill="1" applyBorder="1"/>
    <xf numFmtId="0" fontId="2" fillId="9" borderId="10" xfId="0" applyFont="1" applyFill="1" applyBorder="1"/>
    <xf numFmtId="0" fontId="2" fillId="9" borderId="11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1</xdr:row>
      <xdr:rowOff>95251</xdr:rowOff>
    </xdr:from>
    <xdr:to>
      <xdr:col>2</xdr:col>
      <xdr:colOff>1357912</xdr:colOff>
      <xdr:row>2</xdr:row>
      <xdr:rowOff>265406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2B5F51-A05B-483D-9D92-6CA462259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186" y="299358"/>
          <a:ext cx="1307568" cy="445019"/>
        </a:xfrm>
        <a:prstGeom prst="rect">
          <a:avLst/>
        </a:prstGeom>
      </xdr:spPr>
    </xdr:pic>
    <xdr:clientData/>
  </xdr:twoCellAnchor>
  <xdr:twoCellAnchor editAs="oneCell">
    <xdr:from>
      <xdr:col>19</xdr:col>
      <xdr:colOff>54429</xdr:colOff>
      <xdr:row>22</xdr:row>
      <xdr:rowOff>168728</xdr:rowOff>
    </xdr:from>
    <xdr:to>
      <xdr:col>19</xdr:col>
      <xdr:colOff>977069</xdr:colOff>
      <xdr:row>38</xdr:row>
      <xdr:rowOff>155438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E226D0-072D-4D5F-BD11-391378021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69050" y="4634592"/>
          <a:ext cx="914479" cy="3031989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</xdr:colOff>
      <xdr:row>38</xdr:row>
      <xdr:rowOff>38100</xdr:rowOff>
    </xdr:from>
    <xdr:to>
      <xdr:col>20</xdr:col>
      <xdr:colOff>609146</xdr:colOff>
      <xdr:row>43</xdr:row>
      <xdr:rowOff>25226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08A2B5-55AE-48FC-8FDE-DE9F83883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0" y="7549243"/>
          <a:ext cx="1659617" cy="923298"/>
        </a:xfrm>
        <a:prstGeom prst="rect">
          <a:avLst/>
        </a:prstGeom>
      </xdr:spPr>
    </xdr:pic>
    <xdr:clientData/>
  </xdr:twoCellAnchor>
  <xdr:twoCellAnchor editAs="oneCell">
    <xdr:from>
      <xdr:col>16</xdr:col>
      <xdr:colOff>531642</xdr:colOff>
      <xdr:row>40</xdr:row>
      <xdr:rowOff>142875</xdr:rowOff>
    </xdr:from>
    <xdr:to>
      <xdr:col>20</xdr:col>
      <xdr:colOff>22629</xdr:colOff>
      <xdr:row>58</xdr:row>
      <xdr:rowOff>72060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7BAA330-DD0A-4E90-9844-47B717421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19985" y="8033657"/>
          <a:ext cx="4009921" cy="25975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tter\OneDrive%20-%20Intuizio%20AB\1.%20Intuizio\2.%20Planering%20&amp;%20Uppdrag\2.%20Projektuppdrag\M&#229;ngbergs\Kalkyl%20MoS%20aff&#228;r\Kalkyler%20200506\2020-05-06%20Trailer%20dolly%20M&#229;ngberg%20Hbg-Um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s%20Aspholmer/LAP_PROJEKT/S&#197;calc2009/Scalc0902a/ScalcEx4/arbScSamman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petter_hudden_intuizio_se/Documents/1.%20Intuizio/2.%20Planering%20&amp;%20Uppdrag/Elektrifiering/Hactoberfest_EV%20Calculation/Intuizio_Fordonskalkyl_Cost%20parametres%202210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stbil"/>
      <sheetName val="Sammandrag"/>
      <sheetName val="Styr"/>
    </sheetNames>
    <sheetDataSet>
      <sheetData sheetId="0">
        <row r="2">
          <cell r="A2" t="str">
            <v>U modell Trailer &amp; dolly</v>
          </cell>
        </row>
        <row r="21">
          <cell r="K21">
            <v>1.0605942555298777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yr"/>
      <sheetName val="EnstF"/>
      <sheetName val="Std"/>
      <sheetName val="MilTidFast"/>
      <sheetName val="SepFk"/>
      <sheetName val="Blad2"/>
      <sheetName val="Blad3"/>
      <sheetName val="Uppdrag"/>
      <sheetName val="Resultat"/>
      <sheetName val="EkalkBas1"/>
      <sheetName val="EkalkBas2"/>
      <sheetName val="EkalkBas3"/>
      <sheetName val="Jmf"/>
    </sheetNames>
    <sheetDataSet>
      <sheetData sheetId="0"/>
      <sheetData sheetId="1"/>
      <sheetData sheetId="2">
        <row r="18">
          <cell r="N18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änslefakta"/>
      <sheetName val="STARTSIDA"/>
      <sheetName val="Registrering &amp; Resultat"/>
      <sheetName val="Åkerisammanställning"/>
      <sheetName val="Lastbil"/>
      <sheetName val="Cost parametres"/>
      <sheetName val="Släp"/>
      <sheetName val="Sammandrag"/>
      <sheetName val="Laddlogistik 1"/>
      <sheetName val="Laddlogistik 2"/>
      <sheetName val="Sammanställning"/>
      <sheetName val="FORDONSLIS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40733E-269A-4465-9830-89C14B7019BC}" name="Table4" displayName="Table4" ref="R7:U11" totalsRowShown="0">
  <autoFilter ref="R7:U11" xr:uid="{D8DF9AF5-D2C1-46D3-9423-CFA29ACAF0CE}"/>
  <tableColumns count="4">
    <tableColumn id="1" xr3:uid="{AFE00709-32CD-4517-838C-69F08D9B0593}" name="Product"/>
    <tableColumn id="2" xr3:uid="{F2667434-A190-4D94-A584-69A1D0543284}" name="Cost per unit, exkl" dataDxfId="1">
      <calculatedColumnFormula>+Table4[[#This Row],[Cost per unit, exkl2]]/1.25</calculatedColumnFormula>
    </tableColumn>
    <tableColumn id="3" xr3:uid="{A753ABBA-9921-4CD2-A26C-03A099095E45}" name="Cost per unit, exkl2"/>
    <tableColumn id="4" xr3:uid="{6FCAD592-CE71-4A61-B282-7084F7162971}" name="Sour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5D37C4-2FDE-4DD3-9845-2C0671D8F06A}" name="Table7" displayName="Table7" ref="R14:U17" totalsRowShown="0">
  <autoFilter ref="R14:U17" xr:uid="{C662DF5B-CB33-4F74-B0E6-42A3C143C53A}"/>
  <tableColumns count="4">
    <tableColumn id="1" xr3:uid="{CFCB73A8-4303-403F-A546-B0A2265B8EF5}" name="Electric costs"/>
    <tableColumn id="2" xr3:uid="{D5434DA3-C439-4BC5-9387-C3F406381C5E}" name="Exkl Tax/Moms" dataDxfId="0">
      <calculatedColumnFormula>+Table7[[#This Row],[Inkl Tax/Moms]]/1.25</calculatedColumnFormula>
    </tableColumn>
    <tableColumn id="3" xr3:uid="{5646E9D1-FB67-4AB8-AD1E-78383B691131}" name="Inkl Tax/Moms"/>
    <tableColumn id="4" xr3:uid="{4B0BF562-880B-417D-A686-24EDAC72D03D}" name="An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F314-5380-443A-8810-D737F2AACF86}">
  <sheetPr>
    <tabColor theme="8" tint="-0.249977111117893"/>
  </sheetPr>
  <dimension ref="C1:U79"/>
  <sheetViews>
    <sheetView showGridLines="0" tabSelected="1" topLeftCell="B1" workbookViewId="0">
      <pane xSplit="3" ySplit="4" topLeftCell="E7" activePane="bottomRight" state="frozen"/>
      <selection activeCell="B1" sqref="B1"/>
      <selection pane="topRight" activeCell="E1" sqref="E1"/>
      <selection pane="bottomLeft" activeCell="B5" sqref="B5"/>
      <selection pane="bottomRight" activeCell="Z38" sqref="Z38"/>
    </sheetView>
  </sheetViews>
  <sheetFormatPr defaultRowHeight="15" x14ac:dyDescent="0.25"/>
  <cols>
    <col min="3" max="4" width="23" customWidth="1"/>
    <col min="5" max="16" width="14.140625" customWidth="1"/>
    <col min="17" max="17" width="16.140625" customWidth="1"/>
    <col min="18" max="18" width="18.5703125" customWidth="1"/>
    <col min="19" max="19" width="16.5703125" customWidth="1"/>
    <col min="20" max="20" width="16.28515625" customWidth="1"/>
  </cols>
  <sheetData>
    <row r="1" spans="3:21" ht="15.75" thickBot="1" x14ac:dyDescent="0.3"/>
    <row r="2" spans="3:21" ht="21.75" thickTop="1" x14ac:dyDescent="0.35">
      <c r="E2" s="1"/>
      <c r="F2" s="2"/>
      <c r="G2" s="3"/>
      <c r="H2" s="4"/>
      <c r="I2" s="5"/>
      <c r="J2" s="6"/>
      <c r="K2" s="7"/>
      <c r="L2" s="8"/>
      <c r="M2" s="9"/>
      <c r="N2" s="10"/>
      <c r="O2" s="11"/>
      <c r="P2" s="12"/>
    </row>
    <row r="3" spans="3:21" ht="21" x14ac:dyDescent="0.35">
      <c r="E3" s="13" t="s">
        <v>0</v>
      </c>
      <c r="F3" s="14"/>
      <c r="G3" s="15"/>
      <c r="H3" s="16"/>
      <c r="I3" s="17"/>
      <c r="J3" s="18"/>
      <c r="K3" s="19"/>
      <c r="L3" s="20"/>
      <c r="M3" s="21"/>
      <c r="N3" s="22"/>
      <c r="O3" s="23"/>
      <c r="P3" s="24"/>
    </row>
    <row r="4" spans="3:21" ht="21.75" thickBot="1" x14ac:dyDescent="0.4">
      <c r="E4" s="25" t="s">
        <v>1</v>
      </c>
      <c r="F4" s="26"/>
      <c r="G4" s="27"/>
      <c r="H4" s="28" t="s">
        <v>2</v>
      </c>
      <c r="I4" s="29"/>
      <c r="J4" s="30"/>
      <c r="K4" s="31" t="s">
        <v>3</v>
      </c>
      <c r="L4" s="32"/>
      <c r="M4" s="33"/>
      <c r="N4" s="34" t="s">
        <v>4</v>
      </c>
      <c r="O4" s="35"/>
      <c r="P4" s="36"/>
    </row>
    <row r="5" spans="3:21" ht="15.75" thickTop="1" x14ac:dyDescent="0.25">
      <c r="R5" t="s">
        <v>5</v>
      </c>
    </row>
    <row r="6" spans="3:21" x14ac:dyDescent="0.25">
      <c r="D6" t="s">
        <v>6</v>
      </c>
      <c r="E6" s="37" t="s">
        <v>7</v>
      </c>
      <c r="F6" s="37" t="s">
        <v>8</v>
      </c>
      <c r="G6" s="38" t="s">
        <v>9</v>
      </c>
      <c r="H6" s="39" t="s">
        <v>7</v>
      </c>
      <c r="I6" s="37" t="s">
        <v>8</v>
      </c>
      <c r="J6" s="38" t="s">
        <v>9</v>
      </c>
      <c r="K6" s="39" t="s">
        <v>7</v>
      </c>
      <c r="L6" s="37" t="s">
        <v>8</v>
      </c>
      <c r="M6" s="38" t="s">
        <v>9</v>
      </c>
      <c r="N6" s="39" t="s">
        <v>7</v>
      </c>
      <c r="O6" s="37" t="s">
        <v>8</v>
      </c>
      <c r="P6" s="38" t="s">
        <v>9</v>
      </c>
      <c r="S6" t="s">
        <v>10</v>
      </c>
      <c r="T6" t="s">
        <v>11</v>
      </c>
    </row>
    <row r="7" spans="3:21" x14ac:dyDescent="0.25">
      <c r="E7" s="40" t="s">
        <v>12</v>
      </c>
      <c r="F7" s="40" t="s">
        <v>13</v>
      </c>
      <c r="G7" s="41" t="s">
        <v>14</v>
      </c>
      <c r="H7" s="42" t="s">
        <v>12</v>
      </c>
      <c r="I7" s="40" t="s">
        <v>13</v>
      </c>
      <c r="J7" s="41" t="s">
        <v>14</v>
      </c>
      <c r="K7" s="42" t="s">
        <v>12</v>
      </c>
      <c r="L7" s="40" t="s">
        <v>13</v>
      </c>
      <c r="M7" s="41" t="s">
        <v>14</v>
      </c>
      <c r="N7" s="42" t="s">
        <v>12</v>
      </c>
      <c r="O7" s="40" t="s">
        <v>13</v>
      </c>
      <c r="P7" s="41" t="s">
        <v>14</v>
      </c>
      <c r="R7" t="s">
        <v>15</v>
      </c>
      <c r="S7" t="s">
        <v>16</v>
      </c>
      <c r="T7" t="s">
        <v>17</v>
      </c>
      <c r="U7" t="s">
        <v>18</v>
      </c>
    </row>
    <row r="8" spans="3:21" x14ac:dyDescent="0.25">
      <c r="D8" t="s">
        <v>19</v>
      </c>
      <c r="E8" s="43" t="s">
        <v>20</v>
      </c>
      <c r="F8" s="43" t="s">
        <v>21</v>
      </c>
      <c r="G8" s="44" t="s">
        <v>22</v>
      </c>
      <c r="H8" s="43" t="s">
        <v>23</v>
      </c>
      <c r="I8" s="43" t="s">
        <v>24</v>
      </c>
      <c r="J8" s="44" t="s">
        <v>25</v>
      </c>
      <c r="K8" s="43" t="s">
        <v>23</v>
      </c>
      <c r="L8" s="43" t="s">
        <v>24</v>
      </c>
      <c r="M8" s="44" t="s">
        <v>25</v>
      </c>
      <c r="N8" s="43" t="s">
        <v>23</v>
      </c>
      <c r="O8" s="43" t="s">
        <v>24</v>
      </c>
      <c r="P8" s="44" t="s">
        <v>25</v>
      </c>
      <c r="R8" t="s">
        <v>1</v>
      </c>
      <c r="S8">
        <f>+Table4[[#This Row],[Cost per unit, exkl2]]/1.25</f>
        <v>22.544</v>
      </c>
      <c r="T8">
        <v>28.18</v>
      </c>
      <c r="U8" t="s">
        <v>26</v>
      </c>
    </row>
    <row r="9" spans="3:21" x14ac:dyDescent="0.25">
      <c r="D9" t="s">
        <v>27</v>
      </c>
      <c r="E9" s="43">
        <f>10*250</f>
        <v>2500</v>
      </c>
      <c r="F9" s="43">
        <f>20*250</f>
        <v>5000</v>
      </c>
      <c r="G9" s="43">
        <f>50*250</f>
        <v>12500</v>
      </c>
      <c r="H9" s="43">
        <f>+E9</f>
        <v>2500</v>
      </c>
      <c r="I9" s="43">
        <f t="shared" ref="I9:M9" si="0">+F9</f>
        <v>5000</v>
      </c>
      <c r="J9" s="43">
        <f t="shared" si="0"/>
        <v>12500</v>
      </c>
      <c r="K9" s="43">
        <f t="shared" si="0"/>
        <v>2500</v>
      </c>
      <c r="L9" s="43">
        <f t="shared" si="0"/>
        <v>5000</v>
      </c>
      <c r="M9" s="43">
        <f t="shared" si="0"/>
        <v>12500</v>
      </c>
      <c r="N9" s="43">
        <f>+K9</f>
        <v>2500</v>
      </c>
      <c r="O9" s="43">
        <f>+L9</f>
        <v>5000</v>
      </c>
      <c r="P9" s="43">
        <f>+M9</f>
        <v>12500</v>
      </c>
      <c r="R9" t="s">
        <v>28</v>
      </c>
      <c r="S9">
        <f>+Table4[[#This Row],[Cost per unit, exkl2]]/1.25</f>
        <v>25.887999999999998</v>
      </c>
      <c r="T9">
        <v>32.36</v>
      </c>
      <c r="U9" t="s">
        <v>29</v>
      </c>
    </row>
    <row r="10" spans="3:21" x14ac:dyDescent="0.25">
      <c r="C10" s="45" t="s">
        <v>30</v>
      </c>
      <c r="D10" s="45" t="s">
        <v>31</v>
      </c>
      <c r="R10" t="s">
        <v>32</v>
      </c>
      <c r="S10">
        <f>+Table4[[#This Row],[Cost per unit, exkl2]]/1.25</f>
        <v>18.791999999999998</v>
      </c>
      <c r="T10">
        <v>23.49</v>
      </c>
      <c r="U10" t="s">
        <v>33</v>
      </c>
    </row>
    <row r="11" spans="3:21" x14ac:dyDescent="0.25">
      <c r="C11" s="46" t="s">
        <v>34</v>
      </c>
      <c r="D11" s="46" t="s">
        <v>35</v>
      </c>
      <c r="R11" t="s">
        <v>36</v>
      </c>
      <c r="S11">
        <f>+Table4[[#This Row],[Cost per unit, exkl2]]/1.25</f>
        <v>2.4</v>
      </c>
      <c r="T11">
        <f>+T17</f>
        <v>3</v>
      </c>
      <c r="U11" t="s">
        <v>37</v>
      </c>
    </row>
    <row r="12" spans="3:21" x14ac:dyDescent="0.25">
      <c r="C12" s="37"/>
      <c r="D12" s="37" t="s">
        <v>38</v>
      </c>
      <c r="E12" s="47">
        <v>2150000</v>
      </c>
      <c r="F12" s="48">
        <v>2400000</v>
      </c>
      <c r="G12" s="49">
        <v>3700000</v>
      </c>
      <c r="H12" s="49">
        <f>+E12</f>
        <v>2150000</v>
      </c>
      <c r="I12" s="49">
        <f t="shared" ref="I12:J12" si="1">+F12</f>
        <v>2400000</v>
      </c>
      <c r="J12" s="49">
        <f t="shared" si="1"/>
        <v>3700000</v>
      </c>
      <c r="K12" s="50">
        <f>+E12+250000</f>
        <v>2400000</v>
      </c>
      <c r="L12" s="50">
        <f>+F12+250000</f>
        <v>2650000</v>
      </c>
      <c r="M12" s="50">
        <f>+G12+250000</f>
        <v>3950000</v>
      </c>
      <c r="N12" s="50">
        <f>4200000-500000</f>
        <v>3700000</v>
      </c>
      <c r="O12" s="48">
        <f>4600000-500000</f>
        <v>4100000</v>
      </c>
      <c r="P12" s="49">
        <f>5500000-500000+1200000</f>
        <v>6200000</v>
      </c>
    </row>
    <row r="13" spans="3:21" x14ac:dyDescent="0.25">
      <c r="C13" s="37" t="s">
        <v>39</v>
      </c>
      <c r="D13" s="37"/>
      <c r="E13" s="51">
        <v>5</v>
      </c>
      <c r="F13" s="51">
        <v>5</v>
      </c>
      <c r="G13" s="52">
        <v>5</v>
      </c>
      <c r="H13" s="53">
        <v>5</v>
      </c>
      <c r="I13" s="51">
        <v>5</v>
      </c>
      <c r="J13" s="52">
        <v>5</v>
      </c>
      <c r="K13" s="53">
        <v>5</v>
      </c>
      <c r="L13" s="51">
        <v>5</v>
      </c>
      <c r="M13" s="52">
        <v>5</v>
      </c>
      <c r="N13" s="53">
        <v>6</v>
      </c>
      <c r="O13" s="51">
        <v>6</v>
      </c>
      <c r="P13" s="52">
        <v>6</v>
      </c>
    </row>
    <row r="14" spans="3:21" x14ac:dyDescent="0.25">
      <c r="C14" s="37" t="s">
        <v>40</v>
      </c>
      <c r="D14" s="37" t="s">
        <v>41</v>
      </c>
      <c r="E14" s="54">
        <v>0.03</v>
      </c>
      <c r="F14" s="54">
        <v>0.03</v>
      </c>
      <c r="G14" s="54">
        <v>0.03</v>
      </c>
      <c r="H14" s="54">
        <v>0.03</v>
      </c>
      <c r="I14" s="54">
        <v>0.03</v>
      </c>
      <c r="J14" s="54">
        <v>0.03</v>
      </c>
      <c r="K14" s="54">
        <v>0.03</v>
      </c>
      <c r="L14" s="54">
        <v>0.03</v>
      </c>
      <c r="M14" s="54">
        <v>0.03</v>
      </c>
      <c r="N14" s="54">
        <v>0.03</v>
      </c>
      <c r="O14" s="54">
        <v>0.03</v>
      </c>
      <c r="P14" s="54">
        <v>0.03</v>
      </c>
      <c r="R14" t="s">
        <v>42</v>
      </c>
      <c r="S14" t="s">
        <v>10</v>
      </c>
      <c r="T14" t="s">
        <v>11</v>
      </c>
      <c r="U14" t="s">
        <v>43</v>
      </c>
    </row>
    <row r="15" spans="3:21" x14ac:dyDescent="0.25">
      <c r="C15" s="37"/>
      <c r="D15" s="37"/>
      <c r="E15" s="51"/>
      <c r="F15" s="51"/>
      <c r="G15" s="52"/>
      <c r="H15" s="53"/>
      <c r="I15" s="51"/>
      <c r="J15" s="52"/>
      <c r="K15" s="53"/>
      <c r="L15" s="51"/>
      <c r="M15" s="52"/>
      <c r="N15" s="53"/>
      <c r="O15" s="51"/>
      <c r="P15" s="52"/>
      <c r="R15" t="s">
        <v>44</v>
      </c>
      <c r="S15">
        <f>+Table7[[#This Row],[Inkl Tax/Moms]]/1.25</f>
        <v>1.6</v>
      </c>
      <c r="T15">
        <v>2</v>
      </c>
      <c r="U15">
        <v>0.8</v>
      </c>
    </row>
    <row r="16" spans="3:21" x14ac:dyDescent="0.25">
      <c r="C16" s="37" t="s">
        <v>45</v>
      </c>
      <c r="D16" s="37"/>
      <c r="E16" s="51"/>
      <c r="F16" s="51"/>
      <c r="G16" s="52"/>
      <c r="H16" s="53"/>
      <c r="I16" s="51"/>
      <c r="J16" s="52"/>
      <c r="K16" s="53"/>
      <c r="L16" s="51"/>
      <c r="M16" s="52"/>
      <c r="N16" s="53"/>
      <c r="O16" s="51"/>
      <c r="P16" s="52"/>
      <c r="R16" t="s">
        <v>46</v>
      </c>
      <c r="S16">
        <f>+Table7[[#This Row],[Inkl Tax/Moms]]/1.25</f>
        <v>5.6</v>
      </c>
      <c r="T16">
        <v>7</v>
      </c>
      <c r="U16">
        <v>0.2</v>
      </c>
    </row>
    <row r="17" spans="3:20" x14ac:dyDescent="0.25">
      <c r="C17" s="37" t="s">
        <v>47</v>
      </c>
      <c r="D17" s="37" t="s">
        <v>48</v>
      </c>
      <c r="E17" s="51">
        <v>7</v>
      </c>
      <c r="F17" s="51">
        <v>7</v>
      </c>
      <c r="G17" s="52">
        <v>7</v>
      </c>
      <c r="H17" s="53">
        <v>7</v>
      </c>
      <c r="I17" s="51">
        <v>7</v>
      </c>
      <c r="J17" s="52">
        <v>7</v>
      </c>
      <c r="K17" s="53">
        <v>7</v>
      </c>
      <c r="L17" s="51">
        <v>7</v>
      </c>
      <c r="M17" s="52">
        <v>7</v>
      </c>
      <c r="N17" s="53">
        <v>8</v>
      </c>
      <c r="O17" s="51">
        <v>8</v>
      </c>
      <c r="P17" s="52">
        <v>8</v>
      </c>
      <c r="R17" t="s">
        <v>49</v>
      </c>
      <c r="S17">
        <f>+S15*U15+S16*U16</f>
        <v>2.4000000000000004</v>
      </c>
      <c r="T17">
        <f>+T15*U15+T16*U16</f>
        <v>3</v>
      </c>
    </row>
    <row r="18" spans="3:20" x14ac:dyDescent="0.25">
      <c r="C18" s="37"/>
      <c r="D18" s="37"/>
      <c r="E18" s="51"/>
      <c r="F18" s="51"/>
      <c r="G18" s="52"/>
      <c r="H18" s="53"/>
      <c r="I18" s="51"/>
      <c r="J18" s="52"/>
      <c r="K18" s="53"/>
      <c r="L18" s="51"/>
      <c r="M18" s="52"/>
      <c r="N18" s="53"/>
      <c r="O18" s="51"/>
      <c r="P18" s="52"/>
      <c r="R18" t="s">
        <v>50</v>
      </c>
    </row>
    <row r="19" spans="3:20" x14ac:dyDescent="0.25">
      <c r="C19" s="37"/>
      <c r="D19" s="37" t="s">
        <v>51</v>
      </c>
      <c r="E19" s="51"/>
      <c r="F19" s="51"/>
      <c r="G19" s="52"/>
      <c r="H19" s="53"/>
      <c r="I19" s="51"/>
      <c r="J19" s="52"/>
      <c r="K19" s="53"/>
      <c r="L19" s="51"/>
      <c r="M19" s="52"/>
      <c r="N19" s="53"/>
      <c r="O19" s="51"/>
      <c r="P19" s="52">
        <v>620000</v>
      </c>
    </row>
    <row r="20" spans="3:20" x14ac:dyDescent="0.25">
      <c r="C20" s="37"/>
      <c r="D20" s="37" t="s">
        <v>52</v>
      </c>
      <c r="E20" s="51"/>
      <c r="F20" s="51"/>
      <c r="G20" s="52"/>
      <c r="H20" s="53"/>
      <c r="I20" s="51"/>
      <c r="J20" s="52"/>
      <c r="K20" s="53"/>
      <c r="L20" s="51"/>
      <c r="M20" s="52"/>
      <c r="N20" s="53"/>
      <c r="O20" s="51"/>
      <c r="P20" s="52">
        <v>111600</v>
      </c>
    </row>
    <row r="21" spans="3:20" x14ac:dyDescent="0.25">
      <c r="C21" s="37"/>
      <c r="D21" s="37" t="s">
        <v>53</v>
      </c>
      <c r="E21" s="51"/>
      <c r="F21" s="51"/>
      <c r="G21" s="52"/>
      <c r="H21" s="53"/>
      <c r="I21" s="51"/>
      <c r="J21" s="52"/>
      <c r="K21" s="53"/>
      <c r="L21" s="51"/>
      <c r="M21" s="52"/>
      <c r="N21" s="53"/>
      <c r="O21" s="51"/>
      <c r="P21" s="52">
        <v>14005</v>
      </c>
    </row>
    <row r="22" spans="3:20" x14ac:dyDescent="0.25">
      <c r="C22" s="37"/>
      <c r="D22" s="37" t="s">
        <v>54</v>
      </c>
      <c r="E22" s="51"/>
      <c r="F22" s="51"/>
      <c r="G22" s="52"/>
      <c r="H22" s="53"/>
      <c r="I22" s="51"/>
      <c r="J22" s="52"/>
      <c r="K22" s="53"/>
      <c r="L22" s="51"/>
      <c r="M22" s="52"/>
      <c r="N22" s="53"/>
      <c r="O22" s="51"/>
      <c r="P22" s="52">
        <v>24000</v>
      </c>
    </row>
    <row r="23" spans="3:20" x14ac:dyDescent="0.25">
      <c r="C23" s="37"/>
      <c r="D23" s="37" t="s">
        <v>55</v>
      </c>
      <c r="E23" s="51"/>
      <c r="F23" s="51"/>
      <c r="G23" s="52"/>
      <c r="H23" s="53"/>
      <c r="I23" s="51"/>
      <c r="J23" s="52"/>
      <c r="K23" s="53"/>
      <c r="L23" s="51"/>
      <c r="M23" s="52"/>
      <c r="N23" s="53"/>
      <c r="O23" s="51"/>
      <c r="P23" s="52">
        <v>47100</v>
      </c>
    </row>
    <row r="24" spans="3:20" x14ac:dyDescent="0.25">
      <c r="C24" s="37"/>
      <c r="D24" s="37"/>
      <c r="E24" s="51"/>
      <c r="F24" s="51"/>
      <c r="G24" s="52"/>
      <c r="H24" s="53"/>
      <c r="I24" s="51"/>
      <c r="J24" s="52"/>
      <c r="K24" s="53"/>
      <c r="L24" s="51"/>
      <c r="M24" s="52"/>
      <c r="N24" s="53"/>
      <c r="O24" s="51"/>
      <c r="P24" s="52"/>
    </row>
    <row r="25" spans="3:20" x14ac:dyDescent="0.25">
      <c r="C25" s="37"/>
      <c r="D25" s="37"/>
      <c r="E25" s="51"/>
      <c r="F25" s="51"/>
      <c r="G25" s="52"/>
      <c r="H25" s="53"/>
      <c r="I25" s="51"/>
      <c r="J25" s="52"/>
      <c r="K25" s="53"/>
      <c r="L25" s="51"/>
      <c r="M25" s="52"/>
      <c r="N25" s="53"/>
      <c r="O25" s="51"/>
      <c r="P25" s="52"/>
    </row>
    <row r="26" spans="3:20" x14ac:dyDescent="0.25">
      <c r="C26" s="37"/>
      <c r="D26" s="37" t="s">
        <v>56</v>
      </c>
      <c r="E26" s="55">
        <v>369519.28571428568</v>
      </c>
      <c r="F26" s="55">
        <v>402590.71428571426</v>
      </c>
      <c r="G26" s="56">
        <v>574562.14285714284</v>
      </c>
      <c r="H26" s="57">
        <v>369519.28571428568</v>
      </c>
      <c r="I26" s="55">
        <v>402590.71428571426</v>
      </c>
      <c r="J26" s="56">
        <v>574562.14285714284</v>
      </c>
      <c r="K26" s="57">
        <v>402590.71428571426</v>
      </c>
      <c r="L26" s="55">
        <v>435662.14285714284</v>
      </c>
      <c r="M26" s="56">
        <v>607633.57142857136</v>
      </c>
      <c r="N26" s="57">
        <v>521705</v>
      </c>
      <c r="O26" s="55">
        <v>568905</v>
      </c>
      <c r="P26" s="56">
        <v>816705</v>
      </c>
    </row>
    <row r="28" spans="3:20" x14ac:dyDescent="0.25">
      <c r="C28" s="46" t="s">
        <v>57</v>
      </c>
      <c r="D28" s="46" t="s">
        <v>58</v>
      </c>
    </row>
    <row r="29" spans="3:20" x14ac:dyDescent="0.25">
      <c r="C29" s="37"/>
      <c r="D29" s="37"/>
      <c r="E29" s="51"/>
      <c r="F29" s="51"/>
      <c r="G29" s="52"/>
      <c r="H29" s="53"/>
      <c r="I29" s="51"/>
      <c r="J29" s="52"/>
      <c r="K29" s="53"/>
      <c r="L29" s="51"/>
      <c r="M29" s="52"/>
      <c r="N29" s="53"/>
      <c r="O29" s="51"/>
      <c r="P29" s="52"/>
    </row>
    <row r="30" spans="3:20" x14ac:dyDescent="0.25">
      <c r="C30" s="37"/>
      <c r="D30" s="37" t="s">
        <v>59</v>
      </c>
      <c r="E30" s="51">
        <v>3.4</v>
      </c>
      <c r="F30" s="51">
        <v>3.9</v>
      </c>
      <c r="G30" s="52">
        <v>4.3</v>
      </c>
      <c r="H30" s="53">
        <f>+E30</f>
        <v>3.4</v>
      </c>
      <c r="I30" s="53">
        <f>+F30</f>
        <v>3.9</v>
      </c>
      <c r="J30" s="53">
        <f>+G30</f>
        <v>4.3</v>
      </c>
      <c r="K30" s="53">
        <v>2.1</v>
      </c>
      <c r="L30" s="51">
        <v>2.4</v>
      </c>
      <c r="M30" s="52">
        <v>2.7</v>
      </c>
      <c r="N30" s="53">
        <v>13</v>
      </c>
      <c r="O30" s="51">
        <v>16</v>
      </c>
      <c r="P30" s="52">
        <v>22</v>
      </c>
      <c r="Q30" t="s">
        <v>60</v>
      </c>
    </row>
    <row r="31" spans="3:20" x14ac:dyDescent="0.25">
      <c r="C31" s="37"/>
      <c r="D31" s="37"/>
      <c r="E31" s="51"/>
      <c r="F31" s="51"/>
      <c r="G31" s="52"/>
      <c r="H31" s="53"/>
      <c r="I31" s="51"/>
      <c r="J31" s="52"/>
      <c r="K31" s="53"/>
      <c r="L31" s="51"/>
      <c r="M31" s="52"/>
      <c r="N31" s="53"/>
      <c r="O31" s="51"/>
      <c r="P31" s="52"/>
    </row>
    <row r="32" spans="3:20" x14ac:dyDescent="0.25">
      <c r="C32" s="37"/>
      <c r="D32" s="37" t="s">
        <v>61</v>
      </c>
      <c r="E32" s="58">
        <f>+E30*$S$8</f>
        <v>76.649600000000007</v>
      </c>
      <c r="F32" s="58">
        <f t="shared" ref="F32:G32" si="2">+F30*$S$8</f>
        <v>87.921599999999998</v>
      </c>
      <c r="G32" s="58">
        <f t="shared" si="2"/>
        <v>96.9392</v>
      </c>
      <c r="H32" s="58">
        <f>+H30*$S$9</f>
        <v>88.019199999999998</v>
      </c>
      <c r="I32" s="58">
        <f t="shared" ref="I32:J32" si="3">+I30*$S$9</f>
        <v>100.96319999999999</v>
      </c>
      <c r="J32" s="58">
        <f t="shared" si="3"/>
        <v>111.31839999999998</v>
      </c>
      <c r="K32" s="58">
        <f>+K30*$S$10</f>
        <v>39.463200000000001</v>
      </c>
      <c r="L32" s="58">
        <f t="shared" ref="L32:M32" si="4">+L30*$S$10</f>
        <v>45.100799999999992</v>
      </c>
      <c r="M32" s="58">
        <f t="shared" si="4"/>
        <v>50.738399999999999</v>
      </c>
      <c r="N32" s="58">
        <f>+N30*$S$11</f>
        <v>31.2</v>
      </c>
      <c r="O32" s="58">
        <f t="shared" ref="O32:P32" si="5">+O30*$S$11</f>
        <v>38.4</v>
      </c>
      <c r="P32" s="58">
        <f t="shared" si="5"/>
        <v>52.8</v>
      </c>
    </row>
    <row r="33" spans="3:18" x14ac:dyDescent="0.25">
      <c r="C33" s="37"/>
      <c r="D33" s="37" t="s">
        <v>62</v>
      </c>
      <c r="E33" s="59">
        <v>70.53</v>
      </c>
      <c r="F33" s="59">
        <v>80.900000000000006</v>
      </c>
      <c r="G33" s="60">
        <v>89.2</v>
      </c>
      <c r="H33" s="61">
        <v>86.17</v>
      </c>
      <c r="I33" s="59">
        <v>98.84</v>
      </c>
      <c r="J33" s="60">
        <v>108.98</v>
      </c>
      <c r="K33" s="61">
        <v>94.64</v>
      </c>
      <c r="L33" s="59">
        <v>97.32</v>
      </c>
      <c r="M33" s="60">
        <v>101.18</v>
      </c>
      <c r="N33" s="61">
        <f>+N30*$T$17</f>
        <v>39</v>
      </c>
      <c r="O33" s="61">
        <f t="shared" ref="O33:P33" si="6">+O30*$T$17</f>
        <v>48</v>
      </c>
      <c r="P33" s="61">
        <f t="shared" si="6"/>
        <v>66</v>
      </c>
      <c r="Q33" s="62" t="s">
        <v>63</v>
      </c>
    </row>
    <row r="34" spans="3:18" x14ac:dyDescent="0.25">
      <c r="C34" s="37"/>
      <c r="D34" s="37" t="s">
        <v>64</v>
      </c>
      <c r="E34" s="55">
        <f>+E33*E9</f>
        <v>176325</v>
      </c>
      <c r="F34" s="55">
        <f t="shared" ref="F34:P34" si="7">+F33*F9</f>
        <v>404500</v>
      </c>
      <c r="G34" s="55">
        <f t="shared" si="7"/>
        <v>1115000</v>
      </c>
      <c r="H34" s="55">
        <f t="shared" si="7"/>
        <v>215425</v>
      </c>
      <c r="I34" s="55">
        <f t="shared" si="7"/>
        <v>494200</v>
      </c>
      <c r="J34" s="55">
        <f t="shared" si="7"/>
        <v>1362250</v>
      </c>
      <c r="K34" s="55">
        <f t="shared" si="7"/>
        <v>236600</v>
      </c>
      <c r="L34" s="55">
        <f t="shared" si="7"/>
        <v>486599.99999999994</v>
      </c>
      <c r="M34" s="55">
        <f t="shared" si="7"/>
        <v>1264750</v>
      </c>
      <c r="N34" s="55">
        <f t="shared" si="7"/>
        <v>97500</v>
      </c>
      <c r="O34" s="55">
        <f t="shared" si="7"/>
        <v>240000</v>
      </c>
      <c r="P34" s="55">
        <f t="shared" si="7"/>
        <v>825000</v>
      </c>
    </row>
    <row r="35" spans="3:18" x14ac:dyDescent="0.25">
      <c r="R35" t="s">
        <v>65</v>
      </c>
    </row>
    <row r="37" spans="3:18" x14ac:dyDescent="0.25">
      <c r="C37" s="63" t="s">
        <v>66</v>
      </c>
      <c r="D37" s="63" t="s">
        <v>67</v>
      </c>
    </row>
    <row r="38" spans="3:18" x14ac:dyDescent="0.25">
      <c r="C38" s="37"/>
      <c r="D38" s="37"/>
      <c r="E38" s="51"/>
      <c r="F38" s="51"/>
      <c r="G38" s="64"/>
      <c r="H38" s="65"/>
      <c r="I38" s="65"/>
      <c r="J38" s="66"/>
      <c r="K38" s="65"/>
      <c r="L38" s="65"/>
      <c r="M38" s="66"/>
      <c r="N38" s="65"/>
      <c r="O38" s="65"/>
      <c r="P38" s="66"/>
    </row>
    <row r="39" spans="3:18" x14ac:dyDescent="0.25">
      <c r="C39" s="37" t="s">
        <v>68</v>
      </c>
      <c r="D39" s="37" t="s">
        <v>69</v>
      </c>
      <c r="E39" s="51">
        <v>33.200000000000003</v>
      </c>
      <c r="F39" s="51">
        <v>38.1</v>
      </c>
      <c r="G39" s="52">
        <v>42</v>
      </c>
      <c r="H39" s="53">
        <v>32.1</v>
      </c>
      <c r="I39" s="51">
        <v>36.799999999999997</v>
      </c>
      <c r="J39" s="52">
        <v>40.6</v>
      </c>
      <c r="K39" s="53">
        <v>35.6</v>
      </c>
      <c r="L39" s="51">
        <v>40.9</v>
      </c>
      <c r="M39" s="52">
        <v>45.1</v>
      </c>
      <c r="N39" s="53">
        <v>13</v>
      </c>
      <c r="O39" s="51"/>
      <c r="P39" s="52"/>
    </row>
    <row r="40" spans="3:18" x14ac:dyDescent="0.25">
      <c r="C40" s="37"/>
      <c r="D40" s="37" t="s">
        <v>70</v>
      </c>
      <c r="E40" s="51">
        <v>100</v>
      </c>
      <c r="F40" s="51">
        <v>100</v>
      </c>
      <c r="G40" s="51">
        <v>100</v>
      </c>
      <c r="H40" s="65">
        <f>+H39/$E$39</f>
        <v>0.96686746987951799</v>
      </c>
      <c r="I40" s="65">
        <f>+I39/$F$39</f>
        <v>0.96587926509186339</v>
      </c>
      <c r="J40" s="65">
        <f>+J39/$G$39</f>
        <v>0.96666666666666667</v>
      </c>
      <c r="K40" s="65">
        <f>+K39/$E$39</f>
        <v>1.072289156626506</v>
      </c>
      <c r="L40" s="65">
        <f>+L39/$F$39</f>
        <v>1.0734908136482939</v>
      </c>
      <c r="M40" s="65">
        <f>+M39/$G$39</f>
        <v>1.0738095238095238</v>
      </c>
      <c r="N40" s="65">
        <f>+N39/$E$39</f>
        <v>0.39156626506024095</v>
      </c>
      <c r="O40" s="65">
        <f>+O39/$F$39</f>
        <v>0</v>
      </c>
      <c r="P40" s="65">
        <f>+P39/$G$39</f>
        <v>0</v>
      </c>
    </row>
    <row r="41" spans="3:18" x14ac:dyDescent="0.25">
      <c r="C41" s="37" t="s">
        <v>66</v>
      </c>
      <c r="D41" s="37" t="s">
        <v>67</v>
      </c>
      <c r="E41" s="51"/>
      <c r="F41" s="51"/>
      <c r="G41" s="52"/>
      <c r="H41" s="53"/>
      <c r="I41" s="51"/>
      <c r="J41" s="52"/>
      <c r="K41" s="53"/>
      <c r="L41" s="51"/>
      <c r="M41" s="52"/>
      <c r="N41" s="53"/>
      <c r="O41" s="51"/>
      <c r="P41" s="52"/>
    </row>
    <row r="42" spans="3:18" x14ac:dyDescent="0.25">
      <c r="C42" s="37" t="s">
        <v>71</v>
      </c>
      <c r="D42" s="37" t="s">
        <v>72</v>
      </c>
      <c r="E42" s="51">
        <v>913</v>
      </c>
      <c r="F42" s="51">
        <v>1048</v>
      </c>
      <c r="G42" s="52">
        <v>1155</v>
      </c>
      <c r="H42" s="53">
        <v>154</v>
      </c>
      <c r="I42" s="51">
        <v>177</v>
      </c>
      <c r="J42" s="52">
        <v>195</v>
      </c>
      <c r="K42" s="53">
        <v>79</v>
      </c>
      <c r="L42" s="51">
        <v>91</v>
      </c>
      <c r="M42" s="52">
        <v>100</v>
      </c>
      <c r="N42" s="53">
        <v>0</v>
      </c>
      <c r="O42" s="51">
        <v>0</v>
      </c>
      <c r="P42" s="52">
        <v>0</v>
      </c>
    </row>
    <row r="43" spans="3:18" x14ac:dyDescent="0.25">
      <c r="C43" s="37" t="s">
        <v>73</v>
      </c>
      <c r="D43" t="s">
        <v>74</v>
      </c>
      <c r="E43" s="51">
        <v>160</v>
      </c>
      <c r="F43" s="51">
        <v>367</v>
      </c>
      <c r="G43" s="52">
        <v>1011</v>
      </c>
      <c r="H43" s="53">
        <v>27</v>
      </c>
      <c r="I43" s="51">
        <v>62</v>
      </c>
      <c r="J43" s="52">
        <v>170</v>
      </c>
      <c r="K43" s="53">
        <v>14</v>
      </c>
      <c r="L43" s="51">
        <v>32</v>
      </c>
      <c r="M43" s="52">
        <v>88</v>
      </c>
      <c r="N43" s="53" t="s">
        <v>75</v>
      </c>
      <c r="O43" s="53" t="s">
        <v>75</v>
      </c>
      <c r="P43" s="53" t="s">
        <v>75</v>
      </c>
    </row>
    <row r="44" spans="3:18" x14ac:dyDescent="0.25">
      <c r="C44" s="37"/>
      <c r="D44" s="37"/>
      <c r="E44" s="51"/>
      <c r="F44" s="51"/>
      <c r="G44" s="52"/>
      <c r="H44" s="53"/>
      <c r="I44" s="51"/>
      <c r="J44" s="52"/>
      <c r="K44" s="53"/>
      <c r="L44" s="51"/>
      <c r="M44" s="52"/>
      <c r="N44" s="53"/>
      <c r="O44" s="51"/>
      <c r="P44" s="52"/>
    </row>
    <row r="46" spans="3:18" x14ac:dyDescent="0.25">
      <c r="C46" s="46" t="s">
        <v>76</v>
      </c>
      <c r="D46" s="46" t="s">
        <v>77</v>
      </c>
    </row>
    <row r="47" spans="3:18" x14ac:dyDescent="0.25">
      <c r="E47" s="51"/>
      <c r="F47" s="51"/>
      <c r="G47" s="52"/>
      <c r="H47" s="53"/>
      <c r="I47" s="51"/>
      <c r="J47" s="52"/>
      <c r="K47" s="53"/>
      <c r="L47" s="51"/>
      <c r="M47" s="52"/>
      <c r="N47" s="53"/>
      <c r="O47" s="51"/>
      <c r="P47" s="52"/>
    </row>
    <row r="48" spans="3:18" x14ac:dyDescent="0.25">
      <c r="C48" s="67" t="s">
        <v>78</v>
      </c>
      <c r="D48" s="67" t="s">
        <v>79</v>
      </c>
      <c r="E48" s="51"/>
      <c r="F48" s="51"/>
      <c r="G48" s="52"/>
      <c r="H48" s="53"/>
      <c r="I48" s="51"/>
      <c r="J48" s="52"/>
      <c r="K48" s="53"/>
      <c r="L48" s="51"/>
      <c r="M48" s="52"/>
      <c r="N48" s="53"/>
      <c r="O48" s="51"/>
      <c r="P48" s="52"/>
    </row>
    <row r="49" spans="3:18" x14ac:dyDescent="0.25">
      <c r="C49" s="37" t="s">
        <v>80</v>
      </c>
      <c r="D49" s="37" t="s">
        <v>81</v>
      </c>
      <c r="E49" s="51">
        <v>3.85</v>
      </c>
      <c r="F49" s="51">
        <v>4.4000000000000004</v>
      </c>
      <c r="G49" s="52">
        <f>+F49+1.5</f>
        <v>5.9</v>
      </c>
      <c r="H49" s="51">
        <v>3.85</v>
      </c>
      <c r="I49" s="51">
        <v>4.4000000000000004</v>
      </c>
      <c r="J49" s="52">
        <f>+I49+1.5</f>
        <v>5.9</v>
      </c>
      <c r="K49" s="51">
        <v>3.85</v>
      </c>
      <c r="L49" s="51">
        <v>4.4000000000000004</v>
      </c>
      <c r="M49" s="52">
        <f>+L49+1.5</f>
        <v>5.9</v>
      </c>
      <c r="N49" s="51">
        <v>4</v>
      </c>
      <c r="O49" s="51">
        <v>4.5999999999999996</v>
      </c>
      <c r="P49" s="52">
        <f>+O49+1.5</f>
        <v>6.1</v>
      </c>
      <c r="Q49" t="s">
        <v>82</v>
      </c>
    </row>
    <row r="50" spans="3:18" x14ac:dyDescent="0.25">
      <c r="C50" s="37" t="s">
        <v>83</v>
      </c>
      <c r="D50" s="37" t="s">
        <v>84</v>
      </c>
      <c r="E50" s="51">
        <v>16</v>
      </c>
      <c r="F50" s="51">
        <v>10.1</v>
      </c>
      <c r="G50" s="52">
        <v>7.15</v>
      </c>
      <c r="H50" s="53">
        <f>+E50</f>
        <v>16</v>
      </c>
      <c r="I50" s="53">
        <f t="shared" ref="I50:J50" si="8">+F50</f>
        <v>10.1</v>
      </c>
      <c r="J50" s="53">
        <f t="shared" si="8"/>
        <v>7.15</v>
      </c>
      <c r="K50" s="53">
        <f>+E50+1</f>
        <v>17</v>
      </c>
      <c r="L50" s="53">
        <f t="shared" ref="L50:M50" si="9">+F50+1</f>
        <v>11.1</v>
      </c>
      <c r="M50" s="53">
        <f t="shared" si="9"/>
        <v>8.15</v>
      </c>
      <c r="N50" s="53">
        <f>12-1.5</f>
        <v>10.5</v>
      </c>
      <c r="O50" s="53">
        <f>8.1-1.5</f>
        <v>6.6</v>
      </c>
      <c r="P50" s="53">
        <f>6.15-1.5</f>
        <v>4.6500000000000004</v>
      </c>
      <c r="Q50" t="s">
        <v>82</v>
      </c>
      <c r="R50" t="s">
        <v>85</v>
      </c>
    </row>
    <row r="51" spans="3:18" x14ac:dyDescent="0.25">
      <c r="D51" t="s">
        <v>86</v>
      </c>
      <c r="E51" s="58">
        <f>+E49+E50</f>
        <v>19.850000000000001</v>
      </c>
      <c r="F51" s="58">
        <f t="shared" ref="F51:P51" si="10">+F49+F50</f>
        <v>14.5</v>
      </c>
      <c r="G51" s="58">
        <f t="shared" si="10"/>
        <v>13.05</v>
      </c>
      <c r="H51" s="51">
        <f t="shared" si="10"/>
        <v>19.850000000000001</v>
      </c>
      <c r="I51" s="51">
        <f t="shared" si="10"/>
        <v>14.5</v>
      </c>
      <c r="J51" s="51">
        <f t="shared" si="10"/>
        <v>13.05</v>
      </c>
      <c r="K51" s="51">
        <f t="shared" si="10"/>
        <v>20.85</v>
      </c>
      <c r="L51" s="51">
        <f t="shared" si="10"/>
        <v>15.5</v>
      </c>
      <c r="M51" s="51">
        <f t="shared" si="10"/>
        <v>14.05</v>
      </c>
      <c r="N51" s="51">
        <f t="shared" si="10"/>
        <v>14.5</v>
      </c>
      <c r="O51" s="51">
        <f t="shared" si="10"/>
        <v>11.2</v>
      </c>
      <c r="P51" s="51">
        <f t="shared" si="10"/>
        <v>10.75</v>
      </c>
    </row>
    <row r="52" spans="3:18" hidden="1" x14ac:dyDescent="0.25">
      <c r="E52" s="51"/>
      <c r="F52" s="51"/>
      <c r="G52" s="52"/>
      <c r="H52" s="53"/>
      <c r="I52" s="51"/>
      <c r="J52" s="52"/>
      <c r="K52" s="53"/>
      <c r="L52" s="51"/>
      <c r="M52" s="52"/>
      <c r="N52" s="53"/>
      <c r="O52" s="51"/>
      <c r="P52" s="52"/>
    </row>
    <row r="53" spans="3:18" hidden="1" x14ac:dyDescent="0.25">
      <c r="E53" s="51"/>
      <c r="F53" s="51"/>
      <c r="G53" s="52"/>
      <c r="H53" s="53"/>
      <c r="I53" s="51"/>
      <c r="J53" s="52"/>
      <c r="K53" s="53"/>
      <c r="L53" s="51"/>
      <c r="M53" s="52"/>
      <c r="N53" s="53"/>
      <c r="O53" s="51"/>
      <c r="P53" s="52"/>
    </row>
    <row r="54" spans="3:18" hidden="1" x14ac:dyDescent="0.25">
      <c r="E54" s="51"/>
      <c r="F54" s="51"/>
      <c r="G54" s="52"/>
      <c r="H54" s="53"/>
      <c r="I54" s="51"/>
      <c r="J54" s="52"/>
      <c r="K54" s="53"/>
      <c r="L54" s="51"/>
      <c r="M54" s="52"/>
      <c r="N54" s="53"/>
      <c r="O54" s="51"/>
      <c r="P54" s="52"/>
    </row>
    <row r="55" spans="3:18" hidden="1" x14ac:dyDescent="0.25">
      <c r="E55" s="51"/>
      <c r="F55" s="51"/>
      <c r="G55" s="52"/>
      <c r="H55" s="53"/>
      <c r="I55" s="51"/>
      <c r="J55" s="52"/>
      <c r="K55" s="53"/>
      <c r="L55" s="51"/>
      <c r="M55" s="52"/>
      <c r="N55" s="53"/>
      <c r="O55" s="51"/>
      <c r="P55" s="52"/>
    </row>
    <row r="56" spans="3:18" x14ac:dyDescent="0.25">
      <c r="E56" s="51"/>
      <c r="F56" s="51"/>
      <c r="G56" s="52"/>
      <c r="H56" s="68">
        <v>0</v>
      </c>
      <c r="I56" s="58">
        <v>0</v>
      </c>
      <c r="J56" s="69">
        <v>0</v>
      </c>
      <c r="K56" s="70">
        <f>+K51-E51</f>
        <v>1</v>
      </c>
      <c r="L56" s="70">
        <f t="shared" ref="L56:P56" si="11">+L51-F51</f>
        <v>1</v>
      </c>
      <c r="M56" s="70">
        <f t="shared" si="11"/>
        <v>1</v>
      </c>
      <c r="N56" s="70">
        <f t="shared" si="11"/>
        <v>-5.3500000000000014</v>
      </c>
      <c r="O56" s="70">
        <f t="shared" si="11"/>
        <v>-3.3000000000000007</v>
      </c>
      <c r="P56" s="70">
        <f t="shared" si="11"/>
        <v>-2.3000000000000007</v>
      </c>
      <c r="Q56" t="s">
        <v>87</v>
      </c>
    </row>
    <row r="57" spans="3:18" x14ac:dyDescent="0.25">
      <c r="E57" s="51"/>
      <c r="F57" s="51"/>
      <c r="G57" s="52"/>
      <c r="H57" s="52"/>
      <c r="I57" s="52"/>
      <c r="J57" s="52"/>
      <c r="K57" s="52"/>
      <c r="L57" s="52"/>
      <c r="M57" s="52"/>
      <c r="N57" s="52"/>
      <c r="O57" s="52"/>
      <c r="P57" s="52"/>
    </row>
    <row r="58" spans="3:18" x14ac:dyDescent="0.25">
      <c r="C58" t="s">
        <v>88</v>
      </c>
      <c r="D58" t="s">
        <v>64</v>
      </c>
      <c r="E58" s="55">
        <f>+(E49+E50)*E9</f>
        <v>49625</v>
      </c>
      <c r="F58" s="55">
        <f t="shared" ref="F58:P58" si="12">+(F49+F50)*F9</f>
        <v>72500</v>
      </c>
      <c r="G58" s="56">
        <f t="shared" si="12"/>
        <v>163125</v>
      </c>
      <c r="H58" s="57">
        <f t="shared" si="12"/>
        <v>49625</v>
      </c>
      <c r="I58" s="55">
        <f t="shared" si="12"/>
        <v>72500</v>
      </c>
      <c r="J58" s="56">
        <f>+(J49+J50)*J9</f>
        <v>163125</v>
      </c>
      <c r="K58" s="57">
        <f t="shared" si="12"/>
        <v>52125</v>
      </c>
      <c r="L58" s="55">
        <f t="shared" si="12"/>
        <v>77500</v>
      </c>
      <c r="M58" s="56">
        <f t="shared" si="12"/>
        <v>175625</v>
      </c>
      <c r="N58" s="57">
        <f t="shared" si="12"/>
        <v>36250</v>
      </c>
      <c r="O58" s="55">
        <f t="shared" si="12"/>
        <v>56000</v>
      </c>
      <c r="P58" s="56">
        <f t="shared" si="12"/>
        <v>134375</v>
      </c>
    </row>
    <row r="61" spans="3:18" x14ac:dyDescent="0.25">
      <c r="C61" s="46" t="s">
        <v>89</v>
      </c>
      <c r="D61" s="46" t="s">
        <v>90</v>
      </c>
    </row>
    <row r="62" spans="3:18" x14ac:dyDescent="0.25">
      <c r="E62" s="51"/>
      <c r="F62" s="51"/>
      <c r="G62" s="52"/>
      <c r="H62" s="53"/>
      <c r="I62" s="51"/>
      <c r="J62" s="52"/>
      <c r="K62" s="53"/>
      <c r="L62" s="51"/>
      <c r="M62" s="52"/>
      <c r="N62" s="53"/>
      <c r="O62" s="51"/>
      <c r="P62" s="52"/>
    </row>
    <row r="63" spans="3:18" x14ac:dyDescent="0.25">
      <c r="D63" t="s">
        <v>91</v>
      </c>
      <c r="E63" s="51">
        <v>277</v>
      </c>
      <c r="F63" s="51">
        <f>+E63</f>
        <v>277</v>
      </c>
      <c r="G63" s="52">
        <f t="shared" ref="G63:P63" si="13">+F63</f>
        <v>277</v>
      </c>
      <c r="H63" s="53">
        <f t="shared" si="13"/>
        <v>277</v>
      </c>
      <c r="I63" s="51">
        <f t="shared" si="13"/>
        <v>277</v>
      </c>
      <c r="J63" s="52">
        <f t="shared" si="13"/>
        <v>277</v>
      </c>
      <c r="K63" s="53">
        <f t="shared" si="13"/>
        <v>277</v>
      </c>
      <c r="L63" s="51">
        <f t="shared" si="13"/>
        <v>277</v>
      </c>
      <c r="M63" s="52">
        <f t="shared" si="13"/>
        <v>277</v>
      </c>
      <c r="N63" s="53">
        <f>+M63</f>
        <v>277</v>
      </c>
      <c r="O63" s="51">
        <f t="shared" si="13"/>
        <v>277</v>
      </c>
      <c r="P63" s="52">
        <f t="shared" si="13"/>
        <v>277</v>
      </c>
    </row>
    <row r="64" spans="3:18" x14ac:dyDescent="0.25">
      <c r="E64" s="51"/>
      <c r="F64" s="51"/>
      <c r="G64" s="52"/>
      <c r="H64" s="53"/>
      <c r="I64" s="51"/>
      <c r="J64" s="52"/>
      <c r="K64" s="53"/>
      <c r="L64" s="51"/>
      <c r="M64" s="52"/>
      <c r="N64" s="53"/>
      <c r="O64" s="51"/>
      <c r="P64" s="52"/>
    </row>
    <row r="65" spans="3:16" x14ac:dyDescent="0.25">
      <c r="E65" s="51"/>
      <c r="F65" s="51"/>
      <c r="G65" s="52"/>
      <c r="H65" s="53"/>
      <c r="I65" s="51"/>
      <c r="J65" s="52"/>
      <c r="K65" s="53"/>
      <c r="L65" s="51"/>
      <c r="M65" s="52"/>
      <c r="N65" s="53"/>
      <c r="O65" s="51"/>
      <c r="P65" s="52"/>
    </row>
    <row r="66" spans="3:16" x14ac:dyDescent="0.25">
      <c r="E66" s="51"/>
      <c r="F66" s="51"/>
      <c r="G66" s="52"/>
      <c r="H66" s="53"/>
      <c r="I66" s="51"/>
      <c r="J66" s="52"/>
      <c r="K66" s="53"/>
      <c r="L66" s="51"/>
      <c r="M66" s="52"/>
      <c r="N66" s="53"/>
      <c r="O66" s="51"/>
      <c r="P66" s="52"/>
    </row>
    <row r="67" spans="3:16" x14ac:dyDescent="0.25">
      <c r="E67" s="71"/>
      <c r="F67" s="71"/>
      <c r="G67" s="72"/>
      <c r="H67" s="73"/>
      <c r="I67" s="71"/>
      <c r="J67" s="72"/>
      <c r="K67" s="73"/>
      <c r="L67" s="71"/>
      <c r="M67" s="72"/>
      <c r="N67" s="73"/>
      <c r="O67" s="71"/>
      <c r="P67" s="72"/>
    </row>
    <row r="68" spans="3:16" x14ac:dyDescent="0.25">
      <c r="E68" s="51"/>
      <c r="F68" s="51"/>
      <c r="G68" s="52"/>
      <c r="H68" s="53"/>
      <c r="I68" s="51"/>
      <c r="J68" s="52"/>
      <c r="K68" s="53"/>
      <c r="L68" s="51"/>
      <c r="M68" s="52"/>
      <c r="N68" s="53"/>
      <c r="O68" s="51"/>
      <c r="P68" s="52"/>
    </row>
    <row r="69" spans="3:16" x14ac:dyDescent="0.25">
      <c r="E69" s="51"/>
      <c r="F69" s="51"/>
      <c r="G69" s="52"/>
      <c r="H69" s="53"/>
      <c r="I69" s="51"/>
      <c r="J69" s="52"/>
      <c r="K69" s="53"/>
      <c r="L69" s="51"/>
      <c r="M69" s="52"/>
      <c r="N69" s="53"/>
      <c r="O69" s="51"/>
      <c r="P69" s="52"/>
    </row>
    <row r="70" spans="3:16" x14ac:dyDescent="0.25">
      <c r="E70" s="51"/>
      <c r="F70" s="51"/>
      <c r="G70" s="52"/>
      <c r="H70" s="53"/>
      <c r="I70" s="51"/>
      <c r="J70" s="52"/>
      <c r="K70" s="53"/>
      <c r="L70" s="51"/>
      <c r="M70" s="52"/>
      <c r="N70" s="53"/>
      <c r="O70" s="51"/>
      <c r="P70" s="52"/>
    </row>
    <row r="71" spans="3:16" x14ac:dyDescent="0.25">
      <c r="E71" s="51"/>
      <c r="F71" s="51"/>
      <c r="G71" s="52"/>
      <c r="H71" s="53"/>
      <c r="I71" s="51"/>
      <c r="J71" s="52"/>
      <c r="K71" s="53"/>
      <c r="L71" s="51"/>
      <c r="M71" s="52"/>
      <c r="N71" s="53"/>
      <c r="O71" s="51"/>
      <c r="P71" s="52"/>
    </row>
    <row r="72" spans="3:16" x14ac:dyDescent="0.25">
      <c r="D72" t="s">
        <v>92</v>
      </c>
      <c r="E72" s="51"/>
      <c r="F72" s="51"/>
      <c r="G72" s="52"/>
      <c r="H72" s="53"/>
      <c r="I72" s="51"/>
      <c r="J72" s="52"/>
      <c r="K72" s="53"/>
      <c r="L72" s="51"/>
      <c r="M72" s="52"/>
      <c r="N72" s="53"/>
      <c r="O72" s="51"/>
      <c r="P72" s="52"/>
    </row>
    <row r="76" spans="3:16" x14ac:dyDescent="0.25">
      <c r="C76" s="46" t="s">
        <v>93</v>
      </c>
      <c r="D76" s="46" t="s">
        <v>94</v>
      </c>
    </row>
    <row r="77" spans="3:16" x14ac:dyDescent="0.25">
      <c r="E77" s="51"/>
      <c r="F77" s="51"/>
      <c r="G77" s="52"/>
      <c r="H77" s="53"/>
      <c r="I77" s="51"/>
      <c r="J77" s="52"/>
      <c r="K77" s="53"/>
      <c r="L77" s="51"/>
      <c r="M77" s="52"/>
      <c r="N77" s="53"/>
      <c r="O77" s="51"/>
      <c r="P77" s="52"/>
    </row>
    <row r="78" spans="3:16" x14ac:dyDescent="0.25">
      <c r="E78" s="51"/>
      <c r="F78" s="51"/>
      <c r="G78" s="52"/>
      <c r="H78" s="53"/>
      <c r="I78" s="51"/>
      <c r="J78" s="52"/>
      <c r="K78" s="53"/>
      <c r="L78" s="51"/>
      <c r="M78" s="52"/>
      <c r="N78" s="53"/>
      <c r="O78" s="51"/>
      <c r="P78" s="52"/>
    </row>
    <row r="79" spans="3:16" x14ac:dyDescent="0.25">
      <c r="E79" s="51"/>
      <c r="F79" s="51"/>
      <c r="G79" s="52"/>
      <c r="H79" s="53"/>
      <c r="I79" s="51"/>
      <c r="J79" s="52"/>
      <c r="K79" s="53"/>
      <c r="L79" s="51"/>
      <c r="M79" s="52"/>
      <c r="N79" s="53"/>
      <c r="O79" s="51"/>
      <c r="P79" s="52"/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parametres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Huddén</dc:creator>
  <cp:lastModifiedBy>Petter Huddén</cp:lastModifiedBy>
  <dcterms:created xsi:type="dcterms:W3CDTF">2022-10-18T13:07:00Z</dcterms:created>
  <dcterms:modified xsi:type="dcterms:W3CDTF">2022-10-18T13:07:37Z</dcterms:modified>
</cp:coreProperties>
</file>