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0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intuiziose-my.sharepoint.com/personal/petter_hudden_intuizio_se/Documents/1. Intuizio/2. Planering &amp; Uppdrag/Elektrifiering/Hactoberfest_EV Calculation/"/>
    </mc:Choice>
  </mc:AlternateContent>
  <xr:revisionPtr revIDLastSave="76" documentId="13_ncr:1_{DD1926AD-A3BA-4D5C-BB08-8A4D98AD9C06}" xr6:coauthVersionLast="47" xr6:coauthVersionMax="47" xr10:uidLastSave="{48229EEE-53A1-4A80-8012-6CFC2607E2A8}"/>
  <bookViews>
    <workbookView xWindow="-120" yWindow="-120" windowWidth="29040" windowHeight="15840" tabRatio="881" xr2:uid="{E609ADB6-D6DE-42F1-8DED-039621EEB378}"/>
  </bookViews>
  <sheets>
    <sheet name="Bränslefakta" sheetId="27" r:id="rId1"/>
    <sheet name="STARTSIDA" sheetId="5" r:id="rId2"/>
    <sheet name="Registrering &amp; Resultat" sheetId="6" r:id="rId3"/>
    <sheet name="Åkerisammanställning" sheetId="7" state="hidden" r:id="rId4"/>
    <sheet name="Lastbil" sheetId="1" r:id="rId5"/>
    <sheet name="Cost parametres" sheetId="26" r:id="rId6"/>
    <sheet name="Släp" sheetId="4" r:id="rId7"/>
    <sheet name="Sammandrag" sheetId="2" r:id="rId8"/>
    <sheet name="Laddlogistik 1" sheetId="24" r:id="rId9"/>
    <sheet name="Laddlogistik 2" sheetId="25" r:id="rId10"/>
    <sheet name="Sammanställning" sheetId="21" state="hidden" r:id="rId11"/>
    <sheet name="FORDONSLISTA" sheetId="8" state="hidden" r:id="rId12"/>
  </sheets>
  <externalReferences>
    <externalReference r:id="rId13"/>
    <externalReference r:id="rId14"/>
  </externalReferences>
  <definedNames>
    <definedName name="_xlnm._FilterDatabase" localSheetId="11" hidden="1">FORDONSLISTA!$B$4:$AW$4</definedName>
    <definedName name="cRkPerMil">[1]Lastbil!$K$21</definedName>
    <definedName name="ExternalData_2" localSheetId="0" hidden="1">Bränslefakta!$C$6:$C$12</definedName>
    <definedName name="_xlnm.Print_Area" localSheetId="8">'Laddlogistik 1'!$A$1:$T$50</definedName>
    <definedName name="_xlnm.Print_Area" localSheetId="9">'Laddlogistik 2'!$A$1:$T$50</definedName>
    <definedName name="TotalKostnad">[2]Std!$N$18</definedName>
    <definedName name="XXX">#REF!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8" i="27" l="1"/>
  <c r="X7" i="27" s="1"/>
  <c r="I10" i="26"/>
  <c r="J10" i="26"/>
  <c r="H10" i="26"/>
  <c r="L10" i="26"/>
  <c r="M10" i="26"/>
  <c r="K10" i="26"/>
  <c r="BD36" i="4"/>
  <c r="D26" i="2" l="1"/>
  <c r="J42" i="25" l="1"/>
  <c r="I42" i="25"/>
  <c r="O39" i="25"/>
  <c r="P39" i="25" s="1"/>
  <c r="L39" i="25"/>
  <c r="O38" i="25"/>
  <c r="P38" i="25" s="1"/>
  <c r="O37" i="25"/>
  <c r="P37" i="25" s="1"/>
  <c r="O36" i="25"/>
  <c r="P36" i="25" s="1"/>
  <c r="O35" i="25"/>
  <c r="P35" i="25" s="1"/>
  <c r="O34" i="25"/>
  <c r="P34" i="25" s="1"/>
  <c r="O33" i="25"/>
  <c r="P33" i="25" s="1"/>
  <c r="O32" i="25"/>
  <c r="P32" i="25" s="1"/>
  <c r="O31" i="25"/>
  <c r="P31" i="25" s="1"/>
  <c r="O30" i="25"/>
  <c r="P30" i="25" s="1"/>
  <c r="O26" i="25"/>
  <c r="P26" i="25" s="1"/>
  <c r="O24" i="25"/>
  <c r="O22" i="25"/>
  <c r="H14" i="25"/>
  <c r="D14" i="25"/>
  <c r="D13" i="25"/>
  <c r="O29" i="25" s="1"/>
  <c r="P29" i="25" s="1"/>
  <c r="D12" i="25"/>
  <c r="O25" i="25" s="1"/>
  <c r="P25" i="25" s="1"/>
  <c r="AP5" i="25"/>
  <c r="Q20" i="25" s="1"/>
  <c r="AM5" i="25"/>
  <c r="G21" i="25" s="1"/>
  <c r="AP5" i="24"/>
  <c r="L39" i="24"/>
  <c r="J42" i="24"/>
  <c r="O32" i="24"/>
  <c r="P32" i="24" s="1"/>
  <c r="O33" i="24"/>
  <c r="P33" i="24" s="1"/>
  <c r="O34" i="24"/>
  <c r="P34" i="24" s="1"/>
  <c r="O35" i="24"/>
  <c r="P35" i="24" s="1"/>
  <c r="O36" i="24"/>
  <c r="P36" i="24" s="1"/>
  <c r="O37" i="24"/>
  <c r="P37" i="24" s="1"/>
  <c r="O38" i="24"/>
  <c r="P38" i="24" s="1"/>
  <c r="O39" i="24"/>
  <c r="P39" i="24" s="1"/>
  <c r="I42" i="24"/>
  <c r="O24" i="24"/>
  <c r="AM5" i="24"/>
  <c r="G21" i="24" s="1"/>
  <c r="H21" i="24" s="1"/>
  <c r="L21" i="24" s="1"/>
  <c r="G22" i="24" s="1"/>
  <c r="H22" i="24" s="1"/>
  <c r="L22" i="24" s="1"/>
  <c r="S22" i="24" s="1"/>
  <c r="T22" i="24" s="1"/>
  <c r="P22" i="24" s="1"/>
  <c r="D13" i="24"/>
  <c r="D12" i="24"/>
  <c r="O22" i="24" s="1"/>
  <c r="H14" i="24"/>
  <c r="H40" i="6"/>
  <c r="K40" i="6" s="1"/>
  <c r="H39" i="6"/>
  <c r="K39" i="6" s="1"/>
  <c r="B28" i="2" s="1"/>
  <c r="O42" i="2"/>
  <c r="D29" i="2" s="1"/>
  <c r="O41" i="2"/>
  <c r="D28" i="2" s="1"/>
  <c r="P35" i="2"/>
  <c r="P36" i="2"/>
  <c r="P37" i="2"/>
  <c r="P38" i="2"/>
  <c r="P34" i="2"/>
  <c r="K26" i="2"/>
  <c r="L39" i="6" l="1"/>
  <c r="L40" i="6"/>
  <c r="M40" i="6"/>
  <c r="B29" i="2"/>
  <c r="G29" i="2" s="1"/>
  <c r="O23" i="25"/>
  <c r="P23" i="25" s="1"/>
  <c r="G28" i="2"/>
  <c r="R20" i="25"/>
  <c r="H21" i="25"/>
  <c r="L21" i="25" s="1"/>
  <c r="O27" i="25"/>
  <c r="P27" i="25" s="1"/>
  <c r="O21" i="25"/>
  <c r="P21" i="25" s="1"/>
  <c r="Q21" i="25" s="1"/>
  <c r="O28" i="25"/>
  <c r="P28" i="25" s="1"/>
  <c r="Q20" i="24"/>
  <c r="S21" i="24"/>
  <c r="T21" i="24" s="1"/>
  <c r="M39" i="6"/>
  <c r="X20" i="1"/>
  <c r="R21" i="25" l="1"/>
  <c r="S21" i="25"/>
  <c r="T21" i="25" s="1"/>
  <c r="G22" i="25"/>
  <c r="H22" i="25" s="1"/>
  <c r="R20" i="24"/>
  <c r="G23" i="24"/>
  <c r="H23" i="24" s="1"/>
  <c r="L23" i="24" s="1"/>
  <c r="S23" i="24" s="1"/>
  <c r="T23" i="24" s="1"/>
  <c r="G23" i="25" l="1"/>
  <c r="H23" i="25" s="1"/>
  <c r="L22" i="25"/>
  <c r="S22" i="25" s="1"/>
  <c r="T22" i="25" s="1"/>
  <c r="P22" i="25" s="1"/>
  <c r="Q22" i="25" s="1"/>
  <c r="G24" i="24"/>
  <c r="H24" i="24" s="1"/>
  <c r="L27" i="2"/>
  <c r="D25" i="2" s="1"/>
  <c r="L26" i="2"/>
  <c r="Q23" i="25" l="1"/>
  <c r="R22" i="25"/>
  <c r="L23" i="25"/>
  <c r="S23" i="25" s="1"/>
  <c r="T23" i="25" s="1"/>
  <c r="G24" i="25"/>
  <c r="H24" i="25" s="1"/>
  <c r="L24" i="24"/>
  <c r="S24" i="24" s="1"/>
  <c r="T24" i="24" s="1"/>
  <c r="P24" i="24" s="1"/>
  <c r="G25" i="24"/>
  <c r="H25" i="24" s="1"/>
  <c r="L25" i="24" s="1"/>
  <c r="S25" i="24" s="1"/>
  <c r="T25" i="24" s="1"/>
  <c r="D23" i="2"/>
  <c r="D27" i="2"/>
  <c r="D24" i="2"/>
  <c r="AP16" i="1"/>
  <c r="T20" i="1"/>
  <c r="H52" i="6"/>
  <c r="L24" i="25" l="1"/>
  <c r="S24" i="25" s="1"/>
  <c r="T24" i="25" s="1"/>
  <c r="P24" i="25" s="1"/>
  <c r="Q24" i="25" s="1"/>
  <c r="G25" i="25"/>
  <c r="H25" i="25" s="1"/>
  <c r="R23" i="25"/>
  <c r="G26" i="24"/>
  <c r="H26" i="24" s="1"/>
  <c r="M67" i="6"/>
  <c r="X10" i="1"/>
  <c r="X11" i="1" s="1"/>
  <c r="Q25" i="25" l="1"/>
  <c r="R24" i="25"/>
  <c r="L25" i="25"/>
  <c r="S25" i="25" s="1"/>
  <c r="T25" i="25" s="1"/>
  <c r="G26" i="25"/>
  <c r="H26" i="25" s="1"/>
  <c r="L26" i="24"/>
  <c r="S26" i="24" s="1"/>
  <c r="T26" i="24" s="1"/>
  <c r="G67" i="6"/>
  <c r="V67" i="6"/>
  <c r="U67" i="6"/>
  <c r="T67" i="6"/>
  <c r="BG10" i="4"/>
  <c r="X19" i="4"/>
  <c r="BH10" i="1"/>
  <c r="K35" i="6"/>
  <c r="M35" i="6" s="1"/>
  <c r="H34" i="6"/>
  <c r="K34" i="6" s="1"/>
  <c r="M34" i="6" s="1"/>
  <c r="H33" i="6"/>
  <c r="K33" i="6" l="1"/>
  <c r="K38" i="6" s="1"/>
  <c r="M38" i="6" s="1"/>
  <c r="L26" i="25"/>
  <c r="S26" i="25" s="1"/>
  <c r="T26" i="25" s="1"/>
  <c r="G27" i="25"/>
  <c r="H27" i="25" s="1"/>
  <c r="R25" i="25"/>
  <c r="Q26" i="25"/>
  <c r="G27" i="24"/>
  <c r="F9" i="1"/>
  <c r="D50" i="2" s="1"/>
  <c r="L34" i="6"/>
  <c r="L35" i="6"/>
  <c r="L33" i="6" l="1"/>
  <c r="K41" i="6"/>
  <c r="M41" i="6" s="1"/>
  <c r="K37" i="6"/>
  <c r="M37" i="6" s="1"/>
  <c r="K36" i="6"/>
  <c r="M36" i="6" s="1"/>
  <c r="M33" i="6"/>
  <c r="Q27" i="25"/>
  <c r="R26" i="25"/>
  <c r="G28" i="25"/>
  <c r="H28" i="25" s="1"/>
  <c r="L27" i="25"/>
  <c r="S27" i="25" s="1"/>
  <c r="T27" i="25" s="1"/>
  <c r="H38" i="6"/>
  <c r="L38" i="6"/>
  <c r="L37" i="6" l="1"/>
  <c r="L41" i="6"/>
  <c r="L36" i="6"/>
  <c r="H41" i="6"/>
  <c r="H36" i="6"/>
  <c r="H37" i="6"/>
  <c r="Q28" i="25"/>
  <c r="R27" i="25"/>
  <c r="L28" i="25"/>
  <c r="S28" i="25" s="1"/>
  <c r="T28" i="25" s="1"/>
  <c r="G29" i="25"/>
  <c r="H29" i="25" s="1"/>
  <c r="P67" i="6"/>
  <c r="O67" i="6"/>
  <c r="N67" i="6"/>
  <c r="L67" i="6"/>
  <c r="K67" i="6"/>
  <c r="J67" i="6"/>
  <c r="I67" i="6"/>
  <c r="H67" i="6"/>
  <c r="L29" i="25" l="1"/>
  <c r="S29" i="25" s="1"/>
  <c r="T29" i="25" s="1"/>
  <c r="G30" i="25"/>
  <c r="H30" i="25" s="1"/>
  <c r="Q29" i="25"/>
  <c r="R28" i="25"/>
  <c r="Y67" i="6"/>
  <c r="X67" i="6"/>
  <c r="W67" i="6"/>
  <c r="K22" i="1"/>
  <c r="Q30" i="25" l="1"/>
  <c r="R29" i="25"/>
  <c r="G31" i="25"/>
  <c r="H31" i="25" s="1"/>
  <c r="L30" i="25"/>
  <c r="S30" i="25" s="1"/>
  <c r="T30" i="25" s="1"/>
  <c r="Q29" i="1"/>
  <c r="K52" i="6"/>
  <c r="J52" i="6"/>
  <c r="C2" i="1" a="1"/>
  <c r="C2" i="1" s="1"/>
  <c r="C9" i="4"/>
  <c r="R17" i="1"/>
  <c r="Q21" i="1"/>
  <c r="R8" i="1"/>
  <c r="R9" i="1"/>
  <c r="F16" i="1"/>
  <c r="J18" i="6"/>
  <c r="H21" i="6" s="1"/>
  <c r="AI61" i="7"/>
  <c r="AJ61" i="7" s="1"/>
  <c r="Q61" i="7"/>
  <c r="Q60" i="7"/>
  <c r="Q55" i="7"/>
  <c r="Q57" i="7"/>
  <c r="S49" i="7"/>
  <c r="AJ49" i="7" s="1"/>
  <c r="S50" i="7"/>
  <c r="AI50" i="7" s="1"/>
  <c r="S51" i="7"/>
  <c r="AI51" i="7" s="1"/>
  <c r="S52" i="7"/>
  <c r="T49" i="7"/>
  <c r="T50" i="7"/>
  <c r="T51" i="7"/>
  <c r="T52" i="7"/>
  <c r="U49" i="7"/>
  <c r="U50" i="7"/>
  <c r="U51" i="7"/>
  <c r="U52" i="7"/>
  <c r="AK52" i="7" l="1"/>
  <c r="AK50" i="7"/>
  <c r="AK49" i="7"/>
  <c r="AJ51" i="7"/>
  <c r="AI49" i="7"/>
  <c r="AJ50" i="7"/>
  <c r="AJ52" i="7"/>
  <c r="AK51" i="7"/>
  <c r="AI52" i="7"/>
  <c r="L31" i="25"/>
  <c r="S31" i="25" s="1"/>
  <c r="T31" i="25" s="1"/>
  <c r="G32" i="25"/>
  <c r="H32" i="25" s="1"/>
  <c r="Q31" i="25"/>
  <c r="R30" i="25"/>
  <c r="AK61" i="7"/>
  <c r="AL61" i="7" s="1"/>
  <c r="AK11" i="7"/>
  <c r="AK12" i="7"/>
  <c r="AK13" i="7"/>
  <c r="AJ11" i="7"/>
  <c r="AJ12" i="7"/>
  <c r="AJ13" i="7"/>
  <c r="AI11" i="7"/>
  <c r="AI12" i="7"/>
  <c r="AI13" i="7"/>
  <c r="Q32" i="25" l="1"/>
  <c r="R31" i="25"/>
  <c r="L32" i="25"/>
  <c r="S32" i="25" s="1"/>
  <c r="T32" i="25" s="1"/>
  <c r="G33" i="25"/>
  <c r="H33" i="25" s="1"/>
  <c r="AI60" i="7"/>
  <c r="AK60" i="7" s="1"/>
  <c r="AL60" i="7" s="1"/>
  <c r="S22" i="7"/>
  <c r="T22" i="7"/>
  <c r="U22" i="7"/>
  <c r="S23" i="7"/>
  <c r="T23" i="7"/>
  <c r="U23" i="7"/>
  <c r="S25" i="7"/>
  <c r="T25" i="7"/>
  <c r="U25" i="7"/>
  <c r="R32" i="25" l="1"/>
  <c r="Q33" i="25"/>
  <c r="L33" i="25"/>
  <c r="S33" i="25" s="1"/>
  <c r="T33" i="25" s="1"/>
  <c r="G34" i="25"/>
  <c r="H34" i="25" s="1"/>
  <c r="AJ60" i="7"/>
  <c r="AK23" i="7"/>
  <c r="AI23" i="7"/>
  <c r="AJ23" i="7"/>
  <c r="AK25" i="7"/>
  <c r="AI25" i="7"/>
  <c r="AJ25" i="7"/>
  <c r="AI22" i="7"/>
  <c r="AJ22" i="7"/>
  <c r="AK22" i="7"/>
  <c r="L34" i="25" l="1"/>
  <c r="S34" i="25" s="1"/>
  <c r="T34" i="25" s="1"/>
  <c r="G35" i="25"/>
  <c r="H35" i="25" s="1"/>
  <c r="R33" i="25"/>
  <c r="Q34" i="25"/>
  <c r="AI55" i="7"/>
  <c r="S24" i="7"/>
  <c r="T24" i="7"/>
  <c r="U24" i="7"/>
  <c r="Q35" i="25" l="1"/>
  <c r="R34" i="25"/>
  <c r="G36" i="25"/>
  <c r="H36" i="25" s="1"/>
  <c r="L35" i="25"/>
  <c r="S35" i="25" s="1"/>
  <c r="T35" i="25" s="1"/>
  <c r="AI57" i="7"/>
  <c r="AK55" i="7"/>
  <c r="AK57" i="7" s="1"/>
  <c r="AJ24" i="7"/>
  <c r="AK24" i="7"/>
  <c r="AI24" i="7"/>
  <c r="L36" i="25" l="1"/>
  <c r="S36" i="25" s="1"/>
  <c r="T36" i="25" s="1"/>
  <c r="G37" i="25"/>
  <c r="H37" i="25" s="1"/>
  <c r="Q36" i="25"/>
  <c r="R35" i="25"/>
  <c r="A3" i="2"/>
  <c r="Q37" i="25" l="1"/>
  <c r="R36" i="25"/>
  <c r="L37" i="25"/>
  <c r="S37" i="25" s="1"/>
  <c r="T37" i="25" s="1"/>
  <c r="G38" i="25"/>
  <c r="H38" i="25" s="1"/>
  <c r="C3" i="2"/>
  <c r="L38" i="25" l="1"/>
  <c r="S38" i="25" s="1"/>
  <c r="T38" i="25" s="1"/>
  <c r="K42" i="25"/>
  <c r="Q38" i="25"/>
  <c r="R37" i="25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R38" i="25" l="1"/>
  <c r="Q39" i="25"/>
  <c r="R39" i="25" s="1"/>
  <c r="F6" i="2"/>
  <c r="D42" i="2"/>
  <c r="D40" i="2"/>
  <c r="R17" i="4"/>
  <c r="Q21" i="4"/>
  <c r="Q29" i="4"/>
  <c r="R9" i="4"/>
  <c r="R10" i="4"/>
  <c r="R11" i="4"/>
  <c r="R12" i="4"/>
  <c r="R13" i="4"/>
  <c r="R8" i="4"/>
  <c r="P9" i="4"/>
  <c r="P10" i="4"/>
  <c r="P11" i="4"/>
  <c r="P12" i="4"/>
  <c r="P13" i="4"/>
  <c r="P8" i="4"/>
  <c r="N9" i="4"/>
  <c r="N10" i="4"/>
  <c r="N11" i="4"/>
  <c r="N12" i="4"/>
  <c r="N13" i="4"/>
  <c r="N8" i="4"/>
  <c r="F9" i="4"/>
  <c r="C2" i="4"/>
  <c r="D15" i="25" l="1"/>
  <c r="AI17" i="7"/>
  <c r="AJ17" i="7"/>
  <c r="AK17" i="7"/>
  <c r="AJ20" i="7"/>
  <c r="AK20" i="7"/>
  <c r="AI20" i="7"/>
  <c r="AJ16" i="7"/>
  <c r="AI16" i="7"/>
  <c r="AK16" i="7"/>
  <c r="AI21" i="7"/>
  <c r="AJ21" i="7"/>
  <c r="AK21" i="7"/>
  <c r="AK19" i="7"/>
  <c r="AI19" i="7"/>
  <c r="AJ19" i="7"/>
  <c r="AK15" i="7"/>
  <c r="AI15" i="7"/>
  <c r="AJ15" i="7"/>
  <c r="AI18" i="7"/>
  <c r="AK18" i="7"/>
  <c r="AJ18" i="7"/>
  <c r="AK14" i="7"/>
  <c r="AI14" i="7"/>
  <c r="AJ14" i="7"/>
  <c r="H6" i="2"/>
  <c r="V15" i="2"/>
  <c r="L24" i="6"/>
  <c r="G24" i="6"/>
  <c r="R10" i="1"/>
  <c r="R11" i="1"/>
  <c r="R12" i="1"/>
  <c r="R13" i="1"/>
  <c r="P10" i="1"/>
  <c r="P11" i="1"/>
  <c r="P12" i="1"/>
  <c r="P13" i="1"/>
  <c r="N9" i="1"/>
  <c r="N10" i="1"/>
  <c r="N11" i="1"/>
  <c r="N12" i="1"/>
  <c r="N13" i="1"/>
  <c r="N8" i="1"/>
  <c r="C9" i="1"/>
  <c r="L22" i="6"/>
  <c r="I52" i="6"/>
  <c r="F8" i="1"/>
  <c r="O18" i="6" l="1"/>
  <c r="U15" i="2" s="1"/>
  <c r="F8" i="4"/>
  <c r="BB25" i="4" s="1"/>
  <c r="F7" i="4"/>
  <c r="F7" i="1"/>
  <c r="BH22" i="1" s="1"/>
  <c r="BG11" i="1"/>
  <c r="BH26" i="1" s="1"/>
  <c r="G52" i="6" l="1"/>
  <c r="B24" i="2"/>
  <c r="G24" i="2" s="1"/>
  <c r="B25" i="2"/>
  <c r="B27" i="2"/>
  <c r="B26" i="2"/>
  <c r="BG20" i="1"/>
  <c r="X25" i="1" l="1"/>
  <c r="X27" i="1" s="1"/>
  <c r="AV8" i="1" l="1"/>
  <c r="AV8" i="4"/>
  <c r="R14" i="4" s="1"/>
  <c r="G5" i="2" l="1"/>
  <c r="J15" i="2" s="1"/>
  <c r="F5" i="2"/>
  <c r="K15" i="2"/>
  <c r="F52" i="6" l="1"/>
  <c r="G44" i="6"/>
  <c r="AV28" i="4"/>
  <c r="AV31" i="4" s="1"/>
  <c r="AV17" i="4"/>
  <c r="AS17" i="4"/>
  <c r="AC22" i="1" l="1"/>
  <c r="A48" i="4" l="1"/>
  <c r="Q30" i="4"/>
  <c r="AU28" i="4"/>
  <c r="AU31" i="4" s="1"/>
  <c r="AT28" i="4"/>
  <c r="AT31" i="4" s="1"/>
  <c r="AS28" i="4"/>
  <c r="AS31" i="4" s="1"/>
  <c r="X27" i="4"/>
  <c r="BB24" i="4"/>
  <c r="BB26" i="4" s="1"/>
  <c r="BA27" i="4" s="1"/>
  <c r="BA24" i="4"/>
  <c r="BH23" i="4"/>
  <c r="BH28" i="4" s="1"/>
  <c r="AP22" i="4"/>
  <c r="F25" i="4" s="1"/>
  <c r="K11" i="4" s="1"/>
  <c r="AJ22" i="4"/>
  <c r="F24" i="4" s="1"/>
  <c r="K10" i="4" s="1"/>
  <c r="AC22" i="4"/>
  <c r="F23" i="4" s="1"/>
  <c r="W22" i="4"/>
  <c r="W23" i="4" s="1"/>
  <c r="K22" i="4"/>
  <c r="BH20" i="4"/>
  <c r="BG20" i="4"/>
  <c r="AV18" i="4"/>
  <c r="AU18" i="4"/>
  <c r="AT18" i="4"/>
  <c r="AS18" i="4"/>
  <c r="AU17" i="4"/>
  <c r="AT17" i="4"/>
  <c r="R15" i="4"/>
  <c r="R21" i="4" s="1"/>
  <c r="R26" i="4" s="1"/>
  <c r="F14" i="4" s="1"/>
  <c r="W14" i="4"/>
  <c r="W15" i="4" s="1"/>
  <c r="F15" i="4"/>
  <c r="F13" i="4"/>
  <c r="BG11" i="4"/>
  <c r="BH26" i="4" s="1"/>
  <c r="X15" i="4" l="1"/>
  <c r="F19" i="4" s="1"/>
  <c r="BH10" i="4"/>
  <c r="BH11" i="4" s="1"/>
  <c r="BH27" i="4" s="1"/>
  <c r="X23" i="4"/>
  <c r="X29" i="4" s="1"/>
  <c r="F20" i="4" s="1"/>
  <c r="BH21" i="4"/>
  <c r="BA28" i="4"/>
  <c r="F29" i="4" s="1"/>
  <c r="K20" i="4" s="1"/>
  <c r="K9" i="4"/>
  <c r="F12" i="4"/>
  <c r="K8" i="4" s="1"/>
  <c r="AU32" i="4"/>
  <c r="F28" i="4" s="1"/>
  <c r="K19" i="4" s="1"/>
  <c r="BH29" i="4" l="1"/>
  <c r="F33" i="4" s="1"/>
  <c r="K27" i="4" s="1"/>
  <c r="X31" i="4"/>
  <c r="K21" i="4"/>
  <c r="K7" i="4"/>
  <c r="K14" i="4" s="1"/>
  <c r="D13" i="2" s="1"/>
  <c r="E13" i="2" s="1"/>
  <c r="K18" i="4"/>
  <c r="K32" i="4" l="1"/>
  <c r="D21" i="2"/>
  <c r="K24" i="4"/>
  <c r="K31" i="4" s="1"/>
  <c r="F41" i="4"/>
  <c r="K30" i="4"/>
  <c r="D20" i="2" l="1"/>
  <c r="K33" i="4"/>
  <c r="F44" i="4"/>
  <c r="F47" i="4" s="1"/>
  <c r="F43" i="4"/>
  <c r="B23" i="2" l="1"/>
  <c r="L15" i="2" s="1"/>
  <c r="B16" i="2"/>
  <c r="E14" i="2"/>
  <c r="G25" i="2"/>
  <c r="G26" i="2"/>
  <c r="G27" i="2"/>
  <c r="G31" i="2"/>
  <c r="H31" i="2" s="1"/>
  <c r="H34" i="2"/>
  <c r="H47" i="2"/>
  <c r="A48" i="1"/>
  <c r="Q30" i="1"/>
  <c r="AV28" i="1"/>
  <c r="AV31" i="1" s="1"/>
  <c r="AU28" i="1"/>
  <c r="AU31" i="1" s="1"/>
  <c r="AT28" i="1"/>
  <c r="AT31" i="1" s="1"/>
  <c r="AS28" i="1"/>
  <c r="AS31" i="1" s="1"/>
  <c r="BB25" i="1"/>
  <c r="BB24" i="1"/>
  <c r="BA24" i="1"/>
  <c r="AP22" i="1"/>
  <c r="F25" i="1" s="1"/>
  <c r="K11" i="1" s="1"/>
  <c r="AJ22" i="1"/>
  <c r="F24" i="1" s="1"/>
  <c r="K10" i="1" s="1"/>
  <c r="W22" i="1"/>
  <c r="X23" i="1" s="1"/>
  <c r="X29" i="1" s="1"/>
  <c r="F20" i="1" s="1"/>
  <c r="BH20" i="1"/>
  <c r="BH21" i="1" s="1"/>
  <c r="BH23" i="1" s="1"/>
  <c r="AV18" i="1"/>
  <c r="AU18" i="1"/>
  <c r="AT18" i="1"/>
  <c r="AS18" i="1"/>
  <c r="AV17" i="1"/>
  <c r="AU17" i="1"/>
  <c r="AT17" i="1"/>
  <c r="AS17" i="1"/>
  <c r="F23" i="1"/>
  <c r="R15" i="1"/>
  <c r="R21" i="1" s="1"/>
  <c r="W14" i="1"/>
  <c r="X15" i="1" s="1"/>
  <c r="F15" i="1"/>
  <c r="F13" i="1"/>
  <c r="M15" i="2" l="1"/>
  <c r="U52" i="6" s="1"/>
  <c r="T52" i="6"/>
  <c r="W15" i="1"/>
  <c r="BH11" i="1"/>
  <c r="BH27" i="1" s="1"/>
  <c r="B20" i="2"/>
  <c r="F20" i="2" s="1"/>
  <c r="B18" i="2"/>
  <c r="F61" i="2" s="1"/>
  <c r="F12" i="1"/>
  <c r="R26" i="1"/>
  <c r="F14" i="1" s="1"/>
  <c r="BB26" i="1"/>
  <c r="BA27" i="1" s="1"/>
  <c r="BA28" i="1" s="1"/>
  <c r="F29" i="1" s="1"/>
  <c r="K20" i="1" s="1"/>
  <c r="F46" i="2"/>
  <c r="B17" i="2"/>
  <c r="G39" i="2"/>
  <c r="BH28" i="1"/>
  <c r="K9" i="1"/>
  <c r="G46" i="2"/>
  <c r="E46" i="2"/>
  <c r="F38" i="2"/>
  <c r="G23" i="2"/>
  <c r="H29" i="2" s="1"/>
  <c r="E57" i="2" s="1"/>
  <c r="AU32" i="1"/>
  <c r="F28" i="1" s="1"/>
  <c r="K19" i="1" s="1"/>
  <c r="W23" i="1"/>
  <c r="B21" i="2" l="1"/>
  <c r="F21" i="2" s="1"/>
  <c r="G36" i="2"/>
  <c r="K7" i="1"/>
  <c r="BH29" i="1"/>
  <c r="F33" i="1" s="1"/>
  <c r="K27" i="1" s="1"/>
  <c r="K32" i="1" s="1"/>
  <c r="K18" i="1"/>
  <c r="G45" i="6"/>
  <c r="G46" i="6"/>
  <c r="F19" i="1"/>
  <c r="K21" i="1" s="1"/>
  <c r="X31" i="1"/>
  <c r="K8" i="1"/>
  <c r="F60" i="2" l="1"/>
  <c r="F57" i="2"/>
  <c r="K24" i="1"/>
  <c r="K14" i="1"/>
  <c r="D18" i="2"/>
  <c r="F18" i="2" s="1"/>
  <c r="G40" i="2"/>
  <c r="G41" i="2" s="1"/>
  <c r="G42" i="2"/>
  <c r="K30" i="1" l="1"/>
  <c r="K31" i="1"/>
  <c r="D12" i="2"/>
  <c r="E12" i="2" s="1"/>
  <c r="F41" i="1"/>
  <c r="D16" i="2"/>
  <c r="F16" i="2" s="1"/>
  <c r="D17" i="2"/>
  <c r="F17" i="2" s="1"/>
  <c r="G43" i="2"/>
  <c r="K33" i="1" l="1"/>
  <c r="F44" i="1"/>
  <c r="F47" i="1" s="1"/>
  <c r="F43" i="1"/>
  <c r="G44" i="2"/>
  <c r="G50" i="2" l="1"/>
  <c r="G52" i="2"/>
  <c r="G51" i="2"/>
  <c r="AA27" i="2"/>
  <c r="P52" i="6"/>
  <c r="G47" i="2"/>
  <c r="E36" i="2"/>
  <c r="H14" i="2"/>
  <c r="S46" i="6" l="1"/>
  <c r="S47" i="6"/>
  <c r="S45" i="6"/>
  <c r="F36" i="2"/>
  <c r="H21" i="2"/>
  <c r="H36" i="2" s="1"/>
  <c r="E42" i="2"/>
  <c r="E40" i="2"/>
  <c r="F58" i="2" l="1"/>
  <c r="E58" i="2"/>
  <c r="G57" i="2"/>
  <c r="E43" i="2"/>
  <c r="F42" i="2"/>
  <c r="F40" i="2"/>
  <c r="F41" i="2" s="1"/>
  <c r="E41" i="2"/>
  <c r="H57" i="2" l="1"/>
  <c r="G58" i="2"/>
  <c r="E44" i="2"/>
  <c r="T15" i="2"/>
  <c r="F43" i="2"/>
  <c r="F44" i="2" s="1"/>
  <c r="V52" i="6" l="1"/>
  <c r="F50" i="2"/>
  <c r="F51" i="2"/>
  <c r="F52" i="2"/>
  <c r="E50" i="2"/>
  <c r="E51" i="2"/>
  <c r="E52" i="2"/>
  <c r="AA25" i="2"/>
  <c r="M52" i="6" s="1"/>
  <c r="N52" i="6"/>
  <c r="AA26" i="2"/>
  <c r="O52" i="6"/>
  <c r="E47" i="2"/>
  <c r="AA19" i="2" s="1"/>
  <c r="Q15" i="2" s="1"/>
  <c r="H44" i="2"/>
  <c r="F47" i="2"/>
  <c r="AA18" i="2" s="1"/>
  <c r="R15" i="2" s="1"/>
  <c r="Q47" i="6" l="1"/>
  <c r="R47" i="6"/>
  <c r="R46" i="6"/>
  <c r="Q46" i="6"/>
  <c r="Q45" i="6"/>
  <c r="R45" i="6"/>
  <c r="H50" i="2"/>
  <c r="H52" i="2"/>
  <c r="G53" i="2" s="1"/>
  <c r="H51" i="2"/>
  <c r="AA30" i="2"/>
  <c r="AA14" i="2"/>
  <c r="AA15" i="2"/>
  <c r="O15" i="2" s="1"/>
  <c r="N15" i="2"/>
  <c r="AA21" i="2"/>
  <c r="S15" i="2" s="1"/>
  <c r="E53" i="2" l="1"/>
  <c r="F53" i="2"/>
  <c r="X52" i="6"/>
  <c r="K45" i="6"/>
  <c r="P15" i="2"/>
  <c r="Y52" i="6"/>
  <c r="L52" i="6"/>
  <c r="K49" i="6"/>
  <c r="G48" i="6"/>
  <c r="K48" i="6"/>
  <c r="O46" i="6" l="1"/>
  <c r="W52" i="6"/>
  <c r="K46" i="6"/>
  <c r="O47" i="6"/>
  <c r="O45" i="6"/>
  <c r="S52" i="6"/>
  <c r="Q52" i="6"/>
  <c r="R52" i="6"/>
  <c r="D14" i="24" l="1"/>
  <c r="O25" i="24"/>
  <c r="P25" i="24" s="1"/>
  <c r="O21" i="24"/>
  <c r="P21" i="24" l="1"/>
  <c r="Q21" i="24" s="1"/>
  <c r="O23" i="24"/>
  <c r="P23" i="24" s="1"/>
  <c r="O31" i="24"/>
  <c r="P31" i="24" s="1"/>
  <c r="O30" i="24"/>
  <c r="P30" i="24" s="1"/>
  <c r="O28" i="24"/>
  <c r="P28" i="24" s="1"/>
  <c r="O29" i="24"/>
  <c r="P29" i="24" s="1"/>
  <c r="O27" i="24"/>
  <c r="P27" i="24" s="1"/>
  <c r="O26" i="24"/>
  <c r="P26" i="24" s="1"/>
  <c r="R21" i="24" l="1"/>
  <c r="Q22" i="24"/>
  <c r="Q23" i="24" s="1"/>
  <c r="Q24" i="24" s="1"/>
  <c r="Q25" i="24" s="1"/>
  <c r="Q26" i="24" s="1"/>
  <c r="Q27" i="24" s="1"/>
  <c r="Q28" i="24" s="1"/>
  <c r="Q29" i="24" s="1"/>
  <c r="Q30" i="24" s="1"/>
  <c r="Q31" i="24" s="1"/>
  <c r="Q32" i="24" s="1"/>
  <c r="Q33" i="24" s="1"/>
  <c r="Q34" i="24" s="1"/>
  <c r="Q35" i="24" s="1"/>
  <c r="Q36" i="24" s="1"/>
  <c r="Q37" i="24" s="1"/>
  <c r="Q38" i="24" s="1"/>
  <c r="Q39" i="24" s="1"/>
  <c r="R22" i="24" l="1"/>
  <c r="R23" i="24"/>
  <c r="R24" i="24"/>
  <c r="R25" i="24" l="1"/>
  <c r="R26" i="24" l="1"/>
  <c r="R27" i="24" l="1"/>
  <c r="R28" i="24" l="1"/>
  <c r="R29" i="24" l="1"/>
  <c r="R30" i="24" l="1"/>
  <c r="R32" i="24" l="1"/>
  <c r="R31" i="24"/>
  <c r="R33" i="24" l="1"/>
  <c r="H27" i="24"/>
  <c r="R34" i="24" l="1"/>
  <c r="R35" i="24"/>
  <c r="G28" i="24"/>
  <c r="L27" i="24"/>
  <c r="S27" i="24" s="1"/>
  <c r="T27" i="24" s="1"/>
  <c r="R36" i="24" l="1"/>
  <c r="H28" i="24"/>
  <c r="G29" i="24" s="1"/>
  <c r="H29" i="24" s="1"/>
  <c r="R37" i="24" l="1"/>
  <c r="L29" i="24"/>
  <c r="G30" i="24"/>
  <c r="H30" i="24" s="1"/>
  <c r="L28" i="24"/>
  <c r="S28" i="24" s="1"/>
  <c r="T28" i="24" s="1"/>
  <c r="R38" i="24" l="1"/>
  <c r="L30" i="24"/>
  <c r="G31" i="24"/>
  <c r="H31" i="24" s="1"/>
  <c r="G32" i="24" s="1"/>
  <c r="H32" i="24" s="1"/>
  <c r="S29" i="24"/>
  <c r="T29" i="24" s="1"/>
  <c r="L32" i="24" l="1"/>
  <c r="S32" i="24" s="1"/>
  <c r="T32" i="24" s="1"/>
  <c r="G33" i="24"/>
  <c r="H33" i="24" s="1"/>
  <c r="L31" i="24"/>
  <c r="S30" i="24"/>
  <c r="T30" i="24" s="1"/>
  <c r="R39" i="24" l="1"/>
  <c r="D15" i="24" s="1"/>
  <c r="G34" i="24"/>
  <c r="H34" i="24" s="1"/>
  <c r="L33" i="24"/>
  <c r="S33" i="24" s="1"/>
  <c r="T33" i="24" s="1"/>
  <c r="S31" i="24"/>
  <c r="T31" i="24" s="1"/>
  <c r="G35" i="24" l="1"/>
  <c r="H35" i="24" s="1"/>
  <c r="L34" i="24"/>
  <c r="S34" i="24" s="1"/>
  <c r="T34" i="24" s="1"/>
  <c r="G36" i="24" l="1"/>
  <c r="H36" i="24" s="1"/>
  <c r="L35" i="24"/>
  <c r="S35" i="24" s="1"/>
  <c r="T35" i="24" s="1"/>
  <c r="L36" i="24" l="1"/>
  <c r="S36" i="24" s="1"/>
  <c r="T36" i="24" s="1"/>
  <c r="G37" i="24"/>
  <c r="H37" i="24" s="1"/>
  <c r="L37" i="24" l="1"/>
  <c r="S37" i="24" s="1"/>
  <c r="T37" i="24" s="1"/>
  <c r="G38" i="24"/>
  <c r="H38" i="24" s="1"/>
  <c r="K42" i="24" s="1"/>
  <c r="L38" i="24" l="1"/>
  <c r="S38" i="24" s="1"/>
  <c r="T38" i="2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<sst xmlns="http://schemas.openxmlformats.org/spreadsheetml/2006/main" count="1438" uniqueCount="834">
  <si>
    <t>GRUNDUPPGIFTER</t>
  </si>
  <si>
    <t>KALKYL</t>
  </si>
  <si>
    <t>Specifikation investering</t>
  </si>
  <si>
    <t>Specifikation av drivmedelskostnad</t>
  </si>
  <si>
    <t>Specifikation Fordonskatt och vägavgift</t>
  </si>
  <si>
    <t>Specifikation Försäkringar</t>
  </si>
  <si>
    <t>Specifikation Övriga fasta kostnader</t>
  </si>
  <si>
    <t>Specifikation Däckkostnad</t>
  </si>
  <si>
    <t>Reparation och service</t>
  </si>
  <si>
    <t>Specifikation Tidsberoende rörliga kostnader</t>
  </si>
  <si>
    <t>Avskrivning, livslängd och restvärde</t>
  </si>
  <si>
    <t xml:space="preserve">Mall: </t>
  </si>
  <si>
    <t>1 Förbrukning efter förhållanden och normalpris</t>
  </si>
  <si>
    <t>1 Lastbil</t>
  </si>
  <si>
    <t>Typ 1</t>
  </si>
  <si>
    <t>Typ 2</t>
  </si>
  <si>
    <t>Typ 3</t>
  </si>
  <si>
    <t>Typ 4</t>
  </si>
  <si>
    <t>1 Normal</t>
  </si>
  <si>
    <t>2 Temperaturaggregat</t>
  </si>
  <si>
    <t>Användning per år</t>
  </si>
  <si>
    <t>Fasta Fordonskostnader</t>
  </si>
  <si>
    <t>kr/år</t>
  </si>
  <si>
    <t>Anskaffningsvärden</t>
  </si>
  <si>
    <t>inkl kostnad för tillsats, ex AdBlue</t>
  </si>
  <si>
    <t>Försäkring</t>
  </si>
  <si>
    <t>Kr/år</t>
  </si>
  <si>
    <t>Övriga poster</t>
  </si>
  <si>
    <t>Belopp per år</t>
  </si>
  <si>
    <t>Bil/släp/axlar</t>
  </si>
  <si>
    <t>Framaxel</t>
  </si>
  <si>
    <t>Axel 2</t>
  </si>
  <si>
    <t>Axel 3</t>
  </si>
  <si>
    <t>Släp</t>
  </si>
  <si>
    <t>Belopp anges antingen som kr per mil eller som</t>
  </si>
  <si>
    <t>Timmar</t>
  </si>
  <si>
    <t>Avskrivning, fast del</t>
  </si>
  <si>
    <t>Fordonsdel</t>
  </si>
  <si>
    <t>Pris</t>
  </si>
  <si>
    <t>Drivmedelsförbrukning</t>
  </si>
  <si>
    <t>Vägavgiftspliktig</t>
  </si>
  <si>
    <t>Ja</t>
  </si>
  <si>
    <t>Trafik, delkassko,</t>
  </si>
  <si>
    <t xml:space="preserve">Tvätt </t>
  </si>
  <si>
    <t>Antal däck</t>
  </si>
  <si>
    <t>kr per år.</t>
  </si>
  <si>
    <t>Temperaturaggregat</t>
  </si>
  <si>
    <t>Bil</t>
  </si>
  <si>
    <t>Mil</t>
  </si>
  <si>
    <t>Räntekostnad</t>
  </si>
  <si>
    <t>Förhållande</t>
  </si>
  <si>
    <t>Andel</t>
  </si>
  <si>
    <t>Förbrukning</t>
  </si>
  <si>
    <t>Skattevikt, kg</t>
  </si>
  <si>
    <t>kg</t>
  </si>
  <si>
    <t>vagnskada, godförsäkring</t>
  </si>
  <si>
    <t>Garage, uppställningsplats</t>
  </si>
  <si>
    <t>Pris per st</t>
  </si>
  <si>
    <t>Drivmedel</t>
  </si>
  <si>
    <t>Fordonskatt</t>
  </si>
  <si>
    <t>Snittförbrukning (bara kärran)</t>
  </si>
  <si>
    <t>Draganordning/koppling</t>
  </si>
  <si>
    <t>Annan kopplingsanordning</t>
  </si>
  <si>
    <t>Strömförbrukning aggregat</t>
  </si>
  <si>
    <t>Nya däck per st</t>
  </si>
  <si>
    <t>Åtgärd</t>
  </si>
  <si>
    <t>kr per mil</t>
  </si>
  <si>
    <t>Kr per år</t>
  </si>
  <si>
    <t>Förbrukning per drifttimma</t>
  </si>
  <si>
    <t>Investeringen</t>
  </si>
  <si>
    <t>Försäkringar, skador</t>
  </si>
  <si>
    <t>Endast bil med last</t>
  </si>
  <si>
    <t>Antal axlar på fordonet</t>
  </si>
  <si>
    <t>axlar</t>
  </si>
  <si>
    <t>Småskador</t>
  </si>
  <si>
    <t>Regummerade per st</t>
  </si>
  <si>
    <t>Avtal service o reparation</t>
  </si>
  <si>
    <t>Drivmedelspris per enhet</t>
  </si>
  <si>
    <t>Nuanskaffningskostnad</t>
  </si>
  <si>
    <t>Övriga fasta kostnader</t>
  </si>
  <si>
    <t>Endast bil, tom</t>
  </si>
  <si>
    <t>Fordonets avgasklass</t>
  </si>
  <si>
    <t>Euro 2 eller renare</t>
  </si>
  <si>
    <t>Extra bromstest</t>
  </si>
  <si>
    <t>Byte/balansering per st</t>
  </si>
  <si>
    <t>släp inom 75000 mil</t>
  </si>
  <si>
    <t>Kostnad per drifttimma</t>
  </si>
  <si>
    <t>Livslängd, år</t>
  </si>
  <si>
    <t>Leasing</t>
  </si>
  <si>
    <t>Bil o släp, med last</t>
  </si>
  <si>
    <t>Självrisk</t>
  </si>
  <si>
    <t>Livslängd mil</t>
  </si>
  <si>
    <t>Tillägg efter 75000 mil</t>
  </si>
  <si>
    <t>Restvärde, kr</t>
  </si>
  <si>
    <t>Bil o släp, tom</t>
  </si>
  <si>
    <t>Skatt beräknas på uppgifter från</t>
  </si>
  <si>
    <t>Nya däck</t>
  </si>
  <si>
    <t>utslaget på alla bilens mil</t>
  </si>
  <si>
    <t>Reparation, service och övrigt</t>
  </si>
  <si>
    <t>Andel fast avskrivning %</t>
  </si>
  <si>
    <t>Totala fastakostnader</t>
  </si>
  <si>
    <t>Avgår däck på släp</t>
  </si>
  <si>
    <t>Resterande användning</t>
  </si>
  <si>
    <t>Regummerade däck</t>
  </si>
  <si>
    <t>Reparation</t>
  </si>
  <si>
    <t>kr per år</t>
  </si>
  <si>
    <t>Ränta %</t>
  </si>
  <si>
    <t>Summa anskaffningsvärden</t>
  </si>
  <si>
    <t>Genomsnittlig förbrukning per mil</t>
  </si>
  <si>
    <t>Vägavgift</t>
  </si>
  <si>
    <t>Reparationer påbyggnad</t>
  </si>
  <si>
    <t>Service</t>
  </si>
  <si>
    <t>Kostnad för ett däck per mil</t>
  </si>
  <si>
    <t>Reparationer chassi</t>
  </si>
  <si>
    <t>Besiktning</t>
  </si>
  <si>
    <r>
      <t xml:space="preserve">Drivmedel </t>
    </r>
    <r>
      <rPr>
        <b/>
        <sz val="8"/>
        <color indexed="9"/>
        <rFont val="Arial"/>
        <family val="2"/>
      </rPr>
      <t>(inkl tillsatser)</t>
    </r>
  </si>
  <si>
    <r>
      <t xml:space="preserve">Sträckberoende rörliga kostn.   </t>
    </r>
    <r>
      <rPr>
        <b/>
        <sz val="8"/>
        <color theme="0"/>
        <rFont val="Arial"/>
        <family val="2"/>
      </rPr>
      <t>kr/mil</t>
    </r>
  </si>
  <si>
    <t>Livslängd</t>
  </si>
  <si>
    <t>år</t>
  </si>
  <si>
    <t>Pris per liter drivmedel</t>
  </si>
  <si>
    <t>Tillsynsavgift kör o vilotider</t>
  </si>
  <si>
    <t>Service släpaggregat</t>
  </si>
  <si>
    <t>Förbrukning drivmedel liter per mil</t>
  </si>
  <si>
    <t>Avskrivning</t>
  </si>
  <si>
    <t>Andel %</t>
  </si>
  <si>
    <t>Pris/liter</t>
  </si>
  <si>
    <t>Kostnad drivmedel o tillsats per liter drivm.</t>
  </si>
  <si>
    <t>Däck</t>
  </si>
  <si>
    <t>Restvärden</t>
  </si>
  <si>
    <t>HVO 100%</t>
  </si>
  <si>
    <t>Hur sker växling Nya-Reg</t>
  </si>
  <si>
    <t>Förbrukningsmaterial</t>
  </si>
  <si>
    <t>Summa kronor per år och fordonsdel</t>
  </si>
  <si>
    <t>Övrig fasta kostnader per år</t>
  </si>
  <si>
    <t>Spec</t>
  </si>
  <si>
    <t>Exemeplvis 1 omg nya och 2 omgångar regummerade</t>
  </si>
  <si>
    <t>Totalt</t>
  </si>
  <si>
    <t>Fordonskatt och vägavg</t>
  </si>
  <si>
    <t>Övriga rörliga kostnader</t>
  </si>
  <si>
    <t>Summa</t>
  </si>
  <si>
    <t>Omgångar Nya</t>
  </si>
  <si>
    <t>Drifttimmar per år</t>
  </si>
  <si>
    <t>Genomsnittligt pris per liter drivmedel</t>
  </si>
  <si>
    <t>Omgångar Reg</t>
  </si>
  <si>
    <t>Rep, servic mm</t>
  </si>
  <si>
    <t>kr per drifttimma</t>
  </si>
  <si>
    <t>Summa rörliga kostnader</t>
  </si>
  <si>
    <t>Tillägg för tillsatser (ex AdBlue)</t>
  </si>
  <si>
    <t>Anteckningar</t>
  </si>
  <si>
    <t>Noteringar</t>
  </si>
  <si>
    <t>Delsumma</t>
  </si>
  <si>
    <t>Förbrukning per liter diesel</t>
  </si>
  <si>
    <t>liter</t>
  </si>
  <si>
    <t>Skador</t>
  </si>
  <si>
    <t>Årlig körsträcka</t>
  </si>
  <si>
    <t>Sammanlagd kostnad per drifttimma</t>
  </si>
  <si>
    <t>Sträckberoende rörliga kostnader</t>
  </si>
  <si>
    <t>kr/mil</t>
  </si>
  <si>
    <r>
      <t xml:space="preserve">Tidsberoende rörliga kostn.       </t>
    </r>
    <r>
      <rPr>
        <b/>
        <sz val="8"/>
        <color theme="0"/>
        <rFont val="Arial"/>
        <family val="2"/>
      </rPr>
      <t>kr/tim</t>
    </r>
  </si>
  <si>
    <t>Summa restvärden</t>
  </si>
  <si>
    <t>Pris tillsats ( AdBlue)</t>
  </si>
  <si>
    <t>kr</t>
  </si>
  <si>
    <t>Antal mil som går till ett av däcken på axeln får en totalskada</t>
  </si>
  <si>
    <t>bil</t>
  </si>
  <si>
    <t>kostnad för tillsatser per liter drivmedel</t>
  </si>
  <si>
    <t>Mil mellan skada</t>
  </si>
  <si>
    <t>släp</t>
  </si>
  <si>
    <t>Värdeminskningens fördelning mellan sträcka och ålder</t>
  </si>
  <si>
    <t>Kostnad per mil</t>
  </si>
  <si>
    <t>Summa reparation o service per mil</t>
  </si>
  <si>
    <t>Rep, service och övrigt</t>
  </si>
  <si>
    <t>Kostnad per år</t>
  </si>
  <si>
    <t>Fast del (ålder styr värdeminskning)</t>
  </si>
  <si>
    <t>Kostnad per liter drivmedel</t>
  </si>
  <si>
    <t>Fasta Fordonkostnader</t>
  </si>
  <si>
    <t>Rörlig del (sträcka styr värdeminskning)</t>
  </si>
  <si>
    <t>Summering</t>
  </si>
  <si>
    <t>Tidsberoende rörliga kostnader</t>
  </si>
  <si>
    <t>kr/tim</t>
  </si>
  <si>
    <t>Rörliga milberoende kost.</t>
  </si>
  <si>
    <t>Snittkostnad per mil</t>
  </si>
  <si>
    <t>Förbr = 3 l/h, 70% av tiden = 2,1 l/driftstimma</t>
  </si>
  <si>
    <t>Rörliga tidberoende kost.</t>
  </si>
  <si>
    <t>Däckkostnad totalt</t>
  </si>
  <si>
    <t>Total årskostnad</t>
  </si>
  <si>
    <t>Fordons fasta kostnader per månad/vecka/dag</t>
  </si>
  <si>
    <t>Hur många månader/veckor/dagar har ni verksamhet som</t>
  </si>
  <si>
    <t>ger täckning för bilens fasta kostnader?</t>
  </si>
  <si>
    <t>En lastbils fasta kostnader under ett år</t>
  </si>
  <si>
    <t>År</t>
  </si>
  <si>
    <t>Antal per år</t>
  </si>
  <si>
    <t>Kostnad per månad</t>
  </si>
  <si>
    <t>Månader</t>
  </si>
  <si>
    <t>Kostnad per vecka</t>
  </si>
  <si>
    <t>Veckor</t>
  </si>
  <si>
    <t>Antal per vecka</t>
  </si>
  <si>
    <t>Kostnad per dag</t>
  </si>
  <si>
    <t>Dagar</t>
  </si>
  <si>
    <t>Kr/mil</t>
  </si>
  <si>
    <t>Kr/tim</t>
  </si>
  <si>
    <t>Kostnad per debiterbar enhet</t>
  </si>
  <si>
    <t>Debiterbar mängd</t>
  </si>
  <si>
    <t>Debiterbara mängder</t>
  </si>
  <si>
    <t>Totalt inkl pålägg</t>
  </si>
  <si>
    <t>marginal %</t>
  </si>
  <si>
    <t>Förmedl prov/LBC provision</t>
  </si>
  <si>
    <t>pålägg %</t>
  </si>
  <si>
    <t>Vinstpålägg</t>
  </si>
  <si>
    <t>Pålägg indirekta kostnader mm</t>
  </si>
  <si>
    <t>tim</t>
  </si>
  <si>
    <t>Övrigt</t>
  </si>
  <si>
    <t>Ej debiterbara timmar</t>
  </si>
  <si>
    <t>OB-tillägg, 2</t>
  </si>
  <si>
    <t>OB-tillägg, 1</t>
  </si>
  <si>
    <t>Övertid</t>
  </si>
  <si>
    <t>Normalarbetstid</t>
  </si>
  <si>
    <t>Personalkostnader</t>
  </si>
  <si>
    <t>Kylaggregat</t>
  </si>
  <si>
    <t>mil</t>
  </si>
  <si>
    <t>Ej debiterbara mil</t>
  </si>
  <si>
    <t>Lastbil milkostnad</t>
  </si>
  <si>
    <t>Fordons milkostnader</t>
  </si>
  <si>
    <t>årskost</t>
  </si>
  <si>
    <t>Lastbil fast kostnad</t>
  </si>
  <si>
    <t>Fasta fordonskostnader</t>
  </si>
  <si>
    <t>Tidberoende personalkostnad</t>
  </si>
  <si>
    <t>Milberoende</t>
  </si>
  <si>
    <t>Fasta kostnader</t>
  </si>
  <si>
    <t>Enhet</t>
  </si>
  <si>
    <t>Mängd</t>
  </si>
  <si>
    <t>Summa för respektive prisfaktor</t>
  </si>
  <si>
    <t>á pris</t>
  </si>
  <si>
    <t>Resurs</t>
  </si>
  <si>
    <t>Faktiskt använda resurser</t>
  </si>
  <si>
    <t>Beräkning av kostnad och pris för transporttjänster</t>
  </si>
  <si>
    <t>Intuizio - fordonskalkyl. Baseras på SÅ Calc modell</t>
  </si>
  <si>
    <t>Släpkostnad</t>
  </si>
  <si>
    <t>Släp rörliga kostnader</t>
  </si>
  <si>
    <t>Släp milkostnad</t>
  </si>
  <si>
    <t>Mobiltelefon</t>
  </si>
  <si>
    <t>Handtruck</t>
  </si>
  <si>
    <t>Service aggregat</t>
  </si>
  <si>
    <t>Sek per mil</t>
  </si>
  <si>
    <t>Sek per timme</t>
  </si>
  <si>
    <t>Antal turer</t>
  </si>
  <si>
    <t>per vecka</t>
  </si>
  <si>
    <t>Sek per tur</t>
  </si>
  <si>
    <t>Nyanskaffningskostnad</t>
  </si>
  <si>
    <t>Drift aggregat</t>
  </si>
  <si>
    <t>MIL/ÅR</t>
  </si>
  <si>
    <t>TIM/År</t>
  </si>
  <si>
    <t>Sek/ÅR</t>
  </si>
  <si>
    <t>Total SEK/MIL</t>
  </si>
  <si>
    <t>Total SEK/TIM</t>
  </si>
  <si>
    <t>SEK/MIL</t>
  </si>
  <si>
    <t>SEK/TIM</t>
  </si>
  <si>
    <t>SEK/Tur</t>
  </si>
  <si>
    <t>Tur/ÅR</t>
  </si>
  <si>
    <t>BilNR</t>
  </si>
  <si>
    <t>Bidrag</t>
  </si>
  <si>
    <t>Dragbil</t>
  </si>
  <si>
    <t>(en omgång nya däck=</t>
  </si>
  <si>
    <t>En omgång nya däck =</t>
  </si>
  <si>
    <t>Lastbil</t>
  </si>
  <si>
    <t>Långtrailer</t>
  </si>
  <si>
    <t>20% PBB självrisk</t>
  </si>
  <si>
    <t>26ggr a 1000</t>
  </si>
  <si>
    <t>Adminkostnad/fordon</t>
  </si>
  <si>
    <t>Meny</t>
  </si>
  <si>
    <t>Instruktion</t>
  </si>
  <si>
    <t>Planering</t>
  </si>
  <si>
    <t>Linjelista</t>
  </si>
  <si>
    <t>Systemflik &amp; Prenumeration</t>
  </si>
  <si>
    <t>Kontakt Intuizio:</t>
  </si>
  <si>
    <t>Petter Huddén</t>
  </si>
  <si>
    <t>Tel. +46 (0) 709-64 30 93</t>
  </si>
  <si>
    <t>Mail petter.hudden@intuizio.se</t>
  </si>
  <si>
    <t>Baseras på Svenska Åkeiföretags fordonskalkyl</t>
  </si>
  <si>
    <t>Kalkylnamn</t>
  </si>
  <si>
    <t>Beskrivning ekipage</t>
  </si>
  <si>
    <t>Anskaffning</t>
  </si>
  <si>
    <t>Specifikation</t>
  </si>
  <si>
    <t>Beskrivning</t>
  </si>
  <si>
    <t>Minuspost</t>
  </si>
  <si>
    <t>Avskrivningstid, ÅR</t>
  </si>
  <si>
    <t>Ränta</t>
  </si>
  <si>
    <t>Restvärde</t>
  </si>
  <si>
    <t>Mil per dag</t>
  </si>
  <si>
    <t>Timmar per dag</t>
  </si>
  <si>
    <t>Turer/Arbetspass</t>
  </si>
  <si>
    <t>Per dag</t>
  </si>
  <si>
    <t>Per vecka</t>
  </si>
  <si>
    <t>Per År</t>
  </si>
  <si>
    <t>Aggregat</t>
  </si>
  <si>
    <t>Fördeln värdeminskning</t>
  </si>
  <si>
    <r>
      <t xml:space="preserve">Övertid, </t>
    </r>
    <r>
      <rPr>
        <sz val="9"/>
        <color theme="1"/>
        <rFont val="Calibri Light"/>
        <family val="2"/>
        <scheme val="major"/>
      </rPr>
      <t xml:space="preserve"> (%-andel)</t>
    </r>
  </si>
  <si>
    <r>
      <t xml:space="preserve">OB1, </t>
    </r>
    <r>
      <rPr>
        <sz val="9"/>
        <color theme="1"/>
        <rFont val="Calibri Light"/>
        <family val="2"/>
        <scheme val="major"/>
      </rPr>
      <t xml:space="preserve"> (%-andel)</t>
    </r>
  </si>
  <si>
    <r>
      <t xml:space="preserve">OB2, </t>
    </r>
    <r>
      <rPr>
        <sz val="9"/>
        <color theme="1"/>
        <rFont val="Calibri Light"/>
        <family val="2"/>
        <scheme val="major"/>
      </rPr>
      <t xml:space="preserve"> (%-andel)</t>
    </r>
  </si>
  <si>
    <r>
      <t>Ej deb bara tim</t>
    </r>
    <r>
      <rPr>
        <sz val="9"/>
        <color theme="1"/>
        <rFont val="Calibri Light"/>
        <family val="2"/>
        <scheme val="major"/>
      </rPr>
      <t xml:space="preserve"> ( %-andel)</t>
    </r>
  </si>
  <si>
    <t xml:space="preserve">Kronor: </t>
  </si>
  <si>
    <t>Affärsvillkor</t>
  </si>
  <si>
    <t>Admin kostnader</t>
  </si>
  <si>
    <t>Vinstpåslag</t>
  </si>
  <si>
    <t>Resultat</t>
  </si>
  <si>
    <t>Tim/År</t>
  </si>
  <si>
    <t>Mil/År</t>
  </si>
  <si>
    <t>Sek/År</t>
  </si>
  <si>
    <t>Exporterbar rad</t>
  </si>
  <si>
    <t>Kombinationspris</t>
  </si>
  <si>
    <t>Annan inkomst per år</t>
  </si>
  <si>
    <t>Val kalkyl</t>
  </si>
  <si>
    <t>Endast bil</t>
  </si>
  <si>
    <t>Bil + Släp</t>
  </si>
  <si>
    <t>kalkylval</t>
  </si>
  <si>
    <t>VAL; Kalkylmodell</t>
  </si>
  <si>
    <t>Tar med siffror från Släpflik alt inte</t>
  </si>
  <si>
    <t>Användning</t>
  </si>
  <si>
    <t>Registrering &amp; Resultat</t>
  </si>
  <si>
    <t>Detalj kalkyl LASTBIL</t>
  </si>
  <si>
    <t>Detalj kalkyl SLÄP</t>
  </si>
  <si>
    <t>Detalj sammandrag</t>
  </si>
  <si>
    <t>Åkeri</t>
  </si>
  <si>
    <t>Vinst, SEK</t>
  </si>
  <si>
    <t>Investering, SEK</t>
  </si>
  <si>
    <t>Column1</t>
  </si>
  <si>
    <t>RegNr</t>
  </si>
  <si>
    <t>Tur/Vecka</t>
  </si>
  <si>
    <t>Mil/Tur</t>
  </si>
  <si>
    <t>Tim/Tur</t>
  </si>
  <si>
    <t>Kombination Tid &amp; Sträcka</t>
  </si>
  <si>
    <t>Fordonsfakta</t>
  </si>
  <si>
    <t>Kapacitet</t>
  </si>
  <si>
    <t>Id NR</t>
  </si>
  <si>
    <t>Aktiv/ Inaktiv</t>
  </si>
  <si>
    <t>REG_NR</t>
  </si>
  <si>
    <t>REG kort</t>
  </si>
  <si>
    <t>MA_NR</t>
  </si>
  <si>
    <t>Bokf. NR</t>
  </si>
  <si>
    <t>Ord Släp</t>
  </si>
  <si>
    <t>Körkorts krav</t>
  </si>
  <si>
    <t>Typ</t>
  </si>
  <si>
    <t>Tillverkn. år</t>
  </si>
  <si>
    <t>Euro- klass</t>
  </si>
  <si>
    <t>Tot. vikt</t>
  </si>
  <si>
    <t>Max last</t>
  </si>
  <si>
    <t>Skåp höjd</t>
  </si>
  <si>
    <t>Skåp bredd</t>
  </si>
  <si>
    <t>Skåp längd</t>
  </si>
  <si>
    <t>Pallpl</t>
  </si>
  <si>
    <t>Drag</t>
  </si>
  <si>
    <t>Antal axlar</t>
  </si>
  <si>
    <t>Max last2</t>
  </si>
  <si>
    <t>Max totalvikt</t>
  </si>
  <si>
    <t>Kylaggregat - Fabrikat</t>
  </si>
  <si>
    <t>Antal aggregat</t>
  </si>
  <si>
    <t>Temp skiljare</t>
  </si>
  <si>
    <t>Öppn bar sida</t>
  </si>
  <si>
    <t>Lift</t>
  </si>
  <si>
    <t>Balk</t>
  </si>
  <si>
    <t>Bur / RC</t>
  </si>
  <si>
    <t>Mjölk bur</t>
  </si>
  <si>
    <t>Pall / SLE golvställt</t>
  </si>
  <si>
    <t>Pall / SLE Totalt</t>
  </si>
  <si>
    <t>Information</t>
  </si>
  <si>
    <t>E-Post3</t>
  </si>
  <si>
    <t>Tel nr</t>
  </si>
  <si>
    <t>Övrig info - fritext</t>
  </si>
  <si>
    <t>ID001</t>
  </si>
  <si>
    <t>Aktiv</t>
  </si>
  <si>
    <t>ID002</t>
  </si>
  <si>
    <t>B</t>
  </si>
  <si>
    <t>ID003</t>
  </si>
  <si>
    <t>ID004</t>
  </si>
  <si>
    <t>ID005</t>
  </si>
  <si>
    <t>C</t>
  </si>
  <si>
    <t>ID006</t>
  </si>
  <si>
    <t>ID007</t>
  </si>
  <si>
    <t>ID008</t>
  </si>
  <si>
    <t>ID009</t>
  </si>
  <si>
    <t>ID010</t>
  </si>
  <si>
    <t>ID011</t>
  </si>
  <si>
    <t>ID012</t>
  </si>
  <si>
    <t>ID013</t>
  </si>
  <si>
    <t>ID014</t>
  </si>
  <si>
    <t>ID015</t>
  </si>
  <si>
    <t>ID016</t>
  </si>
  <si>
    <t>ID017</t>
  </si>
  <si>
    <t>ID018</t>
  </si>
  <si>
    <t>ID019</t>
  </si>
  <si>
    <t>ID020</t>
  </si>
  <si>
    <t>ID021</t>
  </si>
  <si>
    <t>ID022</t>
  </si>
  <si>
    <t>ID023</t>
  </si>
  <si>
    <t>ID024</t>
  </si>
  <si>
    <t>ID025</t>
  </si>
  <si>
    <t>ID026</t>
  </si>
  <si>
    <t>ID027</t>
  </si>
  <si>
    <t>ID028</t>
  </si>
  <si>
    <t>ID029</t>
  </si>
  <si>
    <t>ID030</t>
  </si>
  <si>
    <t>ID031</t>
  </si>
  <si>
    <t>ID032</t>
  </si>
  <si>
    <t>ID033</t>
  </si>
  <si>
    <t>ID034</t>
  </si>
  <si>
    <t>ID035</t>
  </si>
  <si>
    <t>ID036</t>
  </si>
  <si>
    <t>ID037</t>
  </si>
  <si>
    <t>ID038</t>
  </si>
  <si>
    <t>ID039</t>
  </si>
  <si>
    <t>ID040</t>
  </si>
  <si>
    <t>ID041</t>
  </si>
  <si>
    <t>ID042</t>
  </si>
  <si>
    <t>ID043</t>
  </si>
  <si>
    <t>ID044</t>
  </si>
  <si>
    <t>ID045</t>
  </si>
  <si>
    <t>ID046</t>
  </si>
  <si>
    <t>ID047</t>
  </si>
  <si>
    <t>ID048</t>
  </si>
  <si>
    <t>ID049</t>
  </si>
  <si>
    <t>ID050</t>
  </si>
  <si>
    <t>ID051</t>
  </si>
  <si>
    <t>ID052</t>
  </si>
  <si>
    <t>ID053</t>
  </si>
  <si>
    <t>ID054</t>
  </si>
  <si>
    <t>ID055</t>
  </si>
  <si>
    <t>ID056</t>
  </si>
  <si>
    <t>ID057</t>
  </si>
  <si>
    <t>ID058</t>
  </si>
  <si>
    <t>ID059</t>
  </si>
  <si>
    <t>ID060</t>
  </si>
  <si>
    <t>ID061</t>
  </si>
  <si>
    <t>ID062</t>
  </si>
  <si>
    <t>ID063</t>
  </si>
  <si>
    <t>ID064</t>
  </si>
  <si>
    <t>ID065</t>
  </si>
  <si>
    <t>ID066</t>
  </si>
  <si>
    <t>ID067</t>
  </si>
  <si>
    <t>ID068</t>
  </si>
  <si>
    <t>ID069</t>
  </si>
  <si>
    <t>ID070</t>
  </si>
  <si>
    <t>ID071</t>
  </si>
  <si>
    <t>ID072</t>
  </si>
  <si>
    <t>ID073</t>
  </si>
  <si>
    <t>ID074</t>
  </si>
  <si>
    <t>ID075</t>
  </si>
  <si>
    <t>ID076</t>
  </si>
  <si>
    <t>ID077</t>
  </si>
  <si>
    <t>ID078</t>
  </si>
  <si>
    <t>ID079</t>
  </si>
  <si>
    <t>ID080</t>
  </si>
  <si>
    <t>ID081</t>
  </si>
  <si>
    <t>ID082</t>
  </si>
  <si>
    <t>ID083</t>
  </si>
  <si>
    <t>ID084</t>
  </si>
  <si>
    <t>ID085</t>
  </si>
  <si>
    <t>ID086</t>
  </si>
  <si>
    <t>ID087</t>
  </si>
  <si>
    <t>ID088</t>
  </si>
  <si>
    <t>ID089</t>
  </si>
  <si>
    <t>ID090</t>
  </si>
  <si>
    <t>ID091</t>
  </si>
  <si>
    <t>ID092</t>
  </si>
  <si>
    <t>ID093</t>
  </si>
  <si>
    <t>ID094</t>
  </si>
  <si>
    <t>ID095</t>
  </si>
  <si>
    <t>ID096</t>
  </si>
  <si>
    <t>ID097</t>
  </si>
  <si>
    <t>ID098</t>
  </si>
  <si>
    <t>ID099</t>
  </si>
  <si>
    <t>ID100</t>
  </si>
  <si>
    <t>Åkerisammanställning</t>
  </si>
  <si>
    <t>Kommentar</t>
  </si>
  <si>
    <t>Kalkylval</t>
  </si>
  <si>
    <r>
      <t xml:space="preserve">Kronor per mil </t>
    </r>
    <r>
      <rPr>
        <sz val="8"/>
        <rFont val="Calibri Light"/>
        <family val="2"/>
        <scheme val="major"/>
      </rPr>
      <t>(mil från B11)</t>
    </r>
  </si>
  <si>
    <r>
      <t xml:space="preserve">Kronor per timma </t>
    </r>
    <r>
      <rPr>
        <sz val="8"/>
        <rFont val="Calibri Light"/>
        <family val="2"/>
        <scheme val="major"/>
      </rPr>
      <t>(tim från B15)</t>
    </r>
  </si>
  <si>
    <r>
      <t xml:space="preserve">Procent på direkta kostnader </t>
    </r>
    <r>
      <rPr>
        <sz val="8"/>
        <rFont val="Calibri Light"/>
        <family val="2"/>
        <scheme val="major"/>
      </rPr>
      <t>(rad 24)</t>
    </r>
  </si>
  <si>
    <t>Sek per vecka</t>
  </si>
  <si>
    <t>Timar per vecka</t>
  </si>
  <si>
    <t>Mil per vecka</t>
  </si>
  <si>
    <t>Ordinarie Chaufför</t>
  </si>
  <si>
    <t>Beskrivning 2</t>
  </si>
  <si>
    <t>Beskrivning 1</t>
  </si>
  <si>
    <t>Typfordon</t>
  </si>
  <si>
    <t>Kalkyl TID/Vecka</t>
  </si>
  <si>
    <t>Kalkyl MIL/Vecka</t>
  </si>
  <si>
    <t>Kalkyl_OB1</t>
  </si>
  <si>
    <t>Kalkyl_OB2</t>
  </si>
  <si>
    <t>Priskalkyl</t>
  </si>
  <si>
    <t>Priskalkyl NR</t>
  </si>
  <si>
    <t>A</t>
  </si>
  <si>
    <t>D</t>
  </si>
  <si>
    <t>E</t>
  </si>
  <si>
    <t>F</t>
  </si>
  <si>
    <t>G</t>
  </si>
  <si>
    <t>H</t>
  </si>
  <si>
    <t>I</t>
  </si>
  <si>
    <t>J</t>
  </si>
  <si>
    <t>K</t>
  </si>
  <si>
    <t>Prislista per typfordon</t>
  </si>
  <si>
    <t>Grundpriser SEK/Vecka. Se ovan</t>
  </si>
  <si>
    <t>Tillkommer</t>
  </si>
  <si>
    <t>Övertimmar tillkommer med</t>
  </si>
  <si>
    <t>Bil+Släp</t>
  </si>
  <si>
    <t>Sek/Tim</t>
  </si>
  <si>
    <t>Villkora grundpriser. Veckodagar &amp; Klockslag per fordon.</t>
  </si>
  <si>
    <t>Ordinarie bil. Utanför schema</t>
  </si>
  <si>
    <t>Extrabilar / Bud</t>
  </si>
  <si>
    <t>Dela upp bilar ytterligare?</t>
  </si>
  <si>
    <t>Sek/Mil</t>
  </si>
  <si>
    <t>Celsiusprislista</t>
  </si>
  <si>
    <t>Uppdragspriser</t>
  </si>
  <si>
    <t>Kalkyl</t>
  </si>
  <si>
    <t>Sek/Tur</t>
  </si>
  <si>
    <t>Villkor:</t>
  </si>
  <si>
    <t xml:space="preserve">Helgtillägg. OB1 o OB2 </t>
  </si>
  <si>
    <t>Eventuella OB1 ob 22-tillägg tillkommer enligt kollektivavtal.</t>
  </si>
  <si>
    <t>Släptillägg</t>
  </si>
  <si>
    <t>Revideringsdatum</t>
  </si>
  <si>
    <t>Ordinarie trafiker</t>
  </si>
  <si>
    <t>Eventuella tillägg debiteras efter specifikation.</t>
  </si>
  <si>
    <t>De olika typbilarna är följande:</t>
  </si>
  <si>
    <t>1A</t>
  </si>
  <si>
    <t>Ekipage</t>
  </si>
  <si>
    <t>Område</t>
  </si>
  <si>
    <t>Priserna baseras på kalkylerad nyttjandegrad och typbil efter årskalkyl. Trafik på svarta arbetsdagar</t>
  </si>
  <si>
    <t>1B</t>
  </si>
  <si>
    <t>Bil&amp;Släp</t>
  </si>
  <si>
    <t>2A</t>
  </si>
  <si>
    <t>2B</t>
  </si>
  <si>
    <t>3B</t>
  </si>
  <si>
    <t>Kapacitet SLE</t>
  </si>
  <si>
    <t>Förslag på vilka bilar/REGNR som tillhör vilken Typbil. Denna ska diskuteras tillsammans för optimering</t>
  </si>
  <si>
    <t>Timmar/vecka</t>
  </si>
  <si>
    <t>Mil/Vecka</t>
  </si>
  <si>
    <t>Arbetspass/Vecka</t>
  </si>
  <si>
    <t>Sek/Vecka</t>
  </si>
  <si>
    <t>Schemaläggning sker på bilnivå nedan.</t>
  </si>
  <si>
    <t>Lastkapacitet, PPL</t>
  </si>
  <si>
    <t>Stadig/Vid behov</t>
  </si>
  <si>
    <t>Tim/Vecka</t>
  </si>
  <si>
    <t>TRFområde</t>
  </si>
  <si>
    <t>Ansvarig TRPplanering</t>
  </si>
  <si>
    <t>Pris per vecka</t>
  </si>
  <si>
    <t>Affär</t>
  </si>
  <si>
    <t>Prisöverenskommelse</t>
  </si>
  <si>
    <t>Lastkapacitet</t>
  </si>
  <si>
    <t>Trafikledning</t>
  </si>
  <si>
    <t>Fast/vid behov</t>
  </si>
  <si>
    <t>SEK/Vecka</t>
  </si>
  <si>
    <t>SEK/TIM2</t>
  </si>
  <si>
    <t>Beräkningsperiod</t>
  </si>
  <si>
    <t>Grundpriser biltyper kalkyl &amp; Fordonslista resultat</t>
  </si>
  <si>
    <t>Biltypskalkyler</t>
  </si>
  <si>
    <t>Summa Ersättning</t>
  </si>
  <si>
    <t>Obs! vikta in "Vid behov"-bilar + BN 86 87 88 89</t>
  </si>
  <si>
    <t>Summa kalkyl</t>
  </si>
  <si>
    <t>Per Månad</t>
  </si>
  <si>
    <t>Diff</t>
  </si>
  <si>
    <t>Per månad</t>
  </si>
  <si>
    <t>S:A Vidbehov-bilar</t>
  </si>
  <si>
    <t>Distributionsbilar</t>
  </si>
  <si>
    <t>Fjärrbilar</t>
  </si>
  <si>
    <t>Dif / Mån</t>
  </si>
  <si>
    <t>Per Vecka</t>
  </si>
  <si>
    <t>kombination</t>
  </si>
  <si>
    <t xml:space="preserve">Carrier </t>
  </si>
  <si>
    <t>Volvo FM</t>
  </si>
  <si>
    <t xml:space="preserve">Tempövervakning </t>
  </si>
  <si>
    <t>Utan kopplingsanordning</t>
  </si>
  <si>
    <t>Fast kostnad</t>
  </si>
  <si>
    <t>Rörlig Tidberoende</t>
  </si>
  <si>
    <t>Rörlig Milberoende</t>
  </si>
  <si>
    <t>Milberoende kostnad per ÅR</t>
  </si>
  <si>
    <t>Fast kostnad/Dag</t>
  </si>
  <si>
    <t>Tidsberoende kostnad per År</t>
  </si>
  <si>
    <t>Bilkalkyl</t>
  </si>
  <si>
    <t>Fast kostnad, andel av total</t>
  </si>
  <si>
    <t>Fast kostnad/År</t>
  </si>
  <si>
    <t>Tidsberoende, andel av total</t>
  </si>
  <si>
    <t>Milberoende, andel av total</t>
  </si>
  <si>
    <t>Tur/År</t>
  </si>
  <si>
    <t>Tim/ÅR</t>
  </si>
  <si>
    <t>Sammanställning fordonsgrupp</t>
  </si>
  <si>
    <t>Nedan presenteras överenskomm´na priser mellan XXX och XXX</t>
  </si>
  <si>
    <t>Priserna debiteras/regleras veckovis efter ordinarie schemaläggning med överenskommet veckobelopp.</t>
  </si>
  <si>
    <t>Kalkylvärden</t>
  </si>
  <si>
    <t>Kalkylval J/N</t>
  </si>
  <si>
    <t>XXX</t>
  </si>
  <si>
    <t>Idag intäkter</t>
  </si>
  <si>
    <t>Prislistor Åkeri</t>
  </si>
  <si>
    <t>Prislista Åkeri</t>
  </si>
  <si>
    <t>Åkerikalkyl</t>
  </si>
  <si>
    <t>Drivmedelstillägg tillkommer enligt Åkeri Frigos gällande drivmedelstillägg.</t>
  </si>
  <si>
    <t>Väntetider tillkommer enligt Åkeri Frigos transportvillkor</t>
  </si>
  <si>
    <t>Alla uppdrag utföres i enlighet med Alltrans 2007 och  i  tillbörliga kompletterande områden Åkeri Frigos transportvillkor.</t>
  </si>
  <si>
    <t>Kalkylresultat</t>
  </si>
  <si>
    <t>Exempelbil</t>
  </si>
  <si>
    <t>Veckor per år</t>
  </si>
  <si>
    <t>SEK/Månad</t>
  </si>
  <si>
    <t>Rörlig sträcka</t>
  </si>
  <si>
    <t>Rörlig Tid</t>
  </si>
  <si>
    <t>Sek per dag</t>
  </si>
  <si>
    <t>Sek/vecka</t>
  </si>
  <si>
    <t>Sek/ Månad</t>
  </si>
  <si>
    <t>Vinst</t>
  </si>
  <si>
    <t>Snabbsammanställning flera bilar; kopiera ner ovan resultatrad i format värde</t>
  </si>
  <si>
    <t>Summa flotta</t>
  </si>
  <si>
    <t>HVO</t>
  </si>
  <si>
    <t>https://energifabriken.se/pris/</t>
  </si>
  <si>
    <t>CircleK</t>
  </si>
  <si>
    <t>https://www.circlek.se/foretag/drivmedel/truckdieselpriser</t>
  </si>
  <si>
    <t>Diesel</t>
  </si>
  <si>
    <t>Total</t>
  </si>
  <si>
    <t>SEK /Dag Tur</t>
  </si>
  <si>
    <t>Hämtar pris från registrering</t>
  </si>
  <si>
    <t>Anskaffningsvärde</t>
  </si>
  <si>
    <t>Bidrag (Miljö)</t>
  </si>
  <si>
    <t>Distributionsbil</t>
  </si>
  <si>
    <t>Volvo FL42R  2axl, 2x170Ah 16 ton</t>
  </si>
  <si>
    <t>inkl ovan</t>
  </si>
  <si>
    <t>Fleet Management system, positionering</t>
  </si>
  <si>
    <t>Lön</t>
  </si>
  <si>
    <t>Lön, kollektivavtal</t>
  </si>
  <si>
    <t>Revision 2022 april</t>
  </si>
  <si>
    <t>Grundlön +grundpåslag</t>
  </si>
  <si>
    <t>OB1</t>
  </si>
  <si>
    <t>OB2</t>
  </si>
  <si>
    <t>Kalkylpris</t>
  </si>
  <si>
    <t>Energiförbrukning</t>
  </si>
  <si>
    <t>Energipris</t>
  </si>
  <si>
    <t>Kollektiv from 1/4 2022</t>
  </si>
  <si>
    <t>Månadslön</t>
  </si>
  <si>
    <t>Månadslön ( 2 år)</t>
  </si>
  <si>
    <t>Riket</t>
  </si>
  <si>
    <t>Sthlm</t>
  </si>
  <si>
    <t>174 tim/mån</t>
  </si>
  <si>
    <t>Månadslön ( 4 år)</t>
  </si>
  <si>
    <t>Månadslön ( 6 år)</t>
  </si>
  <si>
    <t>Månadslön B-kort</t>
  </si>
  <si>
    <t>Länk till avtal</t>
  </si>
  <si>
    <t>Vald månadslön</t>
  </si>
  <si>
    <t>Kalkylbil 2022</t>
  </si>
  <si>
    <t>Volvo 3axl Distrib</t>
  </si>
  <si>
    <t>Skåp P</t>
  </si>
  <si>
    <t>Bakgavellift</t>
  </si>
  <si>
    <t>Bränslepris</t>
  </si>
  <si>
    <t>l/mil</t>
  </si>
  <si>
    <t>Svarta fält hämtar info från sida "registrering"</t>
  </si>
  <si>
    <t xml:space="preserve"> Reglering 2020-11-01</t>
  </si>
  <si>
    <t>202011 vs 220401</t>
  </si>
  <si>
    <t>Traktamente hel</t>
  </si>
  <si>
    <t>Traktamente halv</t>
  </si>
  <si>
    <t>antal</t>
  </si>
  <si>
    <t>Traktamente, logi</t>
  </si>
  <si>
    <t>Traktamente, halvdag</t>
  </si>
  <si>
    <t>Traktamente</t>
  </si>
  <si>
    <t>Logiersättning</t>
  </si>
  <si>
    <t>Dagtraktamente</t>
  </si>
  <si>
    <t>kronor per halvt dygn</t>
  </si>
  <si>
    <t>Lönragare</t>
  </si>
  <si>
    <t>Arbetsgivare</t>
  </si>
  <si>
    <t>OB3</t>
  </si>
  <si>
    <t>Biltyp</t>
  </si>
  <si>
    <t>Batteri</t>
  </si>
  <si>
    <t>kW</t>
  </si>
  <si>
    <t>Sträcka</t>
  </si>
  <si>
    <t>km</t>
  </si>
  <si>
    <t>Säkerhetsmaginal</t>
  </si>
  <si>
    <t>Lastad</t>
  </si>
  <si>
    <t>Aktivitet</t>
  </si>
  <si>
    <t>Från</t>
  </si>
  <si>
    <t>Adress</t>
  </si>
  <si>
    <t>Till</t>
  </si>
  <si>
    <t>Avg Tid</t>
  </si>
  <si>
    <t>Km</t>
  </si>
  <si>
    <t>Andel lastad</t>
  </si>
  <si>
    <t>Kw per km</t>
  </si>
  <si>
    <t>Tid</t>
  </si>
  <si>
    <t>Min</t>
  </si>
  <si>
    <t>Länk</t>
  </si>
  <si>
    <t>Nej</t>
  </si>
  <si>
    <t>Akalla</t>
  </si>
  <si>
    <t>Laddning</t>
  </si>
  <si>
    <t>Eskilstuna</t>
  </si>
  <si>
    <t>https://goo.gl/maps/ynfvsE35C1VTXakC6</t>
  </si>
  <si>
    <t>Malmköping</t>
  </si>
  <si>
    <t>https://goo.gl/maps/EhYQBDnjSvbvUgR9A</t>
  </si>
  <si>
    <t>Flen</t>
  </si>
  <si>
    <t>https://goo.gl/maps/uynHHgE8YQkVJJMA8</t>
  </si>
  <si>
    <t>Sparreholm</t>
  </si>
  <si>
    <t>https://goo.gl/maps/TrNVkubafMSstMka7</t>
  </si>
  <si>
    <t>KM</t>
  </si>
  <si>
    <t>Case</t>
  </si>
  <si>
    <t>kWh</t>
  </si>
  <si>
    <t>Klipp &amp; Klistra-område</t>
  </si>
  <si>
    <t>Körtid</t>
  </si>
  <si>
    <t>Stopptid</t>
  </si>
  <si>
    <t>Trp</t>
  </si>
  <si>
    <t>Esbogatan 13, 164 74 Kista</t>
  </si>
  <si>
    <t>Hantverkarvägen 2, 145 63 Norsborg</t>
  </si>
  <si>
    <t>Morgongåva</t>
  </si>
  <si>
    <t>Adlibris AB, Adlibrisvägen 1, 744 81 Morgongåva</t>
  </si>
  <si>
    <t>https://goo.gl/maps/65ChgyG7L7dy1qeL9</t>
  </si>
  <si>
    <t>V-Tab Södertälje, #15-07 The Metropolis Tower 2 wikipedia</t>
  </si>
  <si>
    <t>ja</t>
  </si>
  <si>
    <t>Rålambsvägen 17, 112 59 Stockholm</t>
  </si>
  <si>
    <t>Vretensborgsvägen 17, 126 30 Hägersten</t>
  </si>
  <si>
    <t>Ellipsvägen 3, 141 75 Kungens Kurva</t>
  </si>
  <si>
    <t>Stopp</t>
  </si>
  <si>
    <t>Kommentarer</t>
  </si>
  <si>
    <t>Mått Johanssons väg 54, 633 46 Eskilstuna</t>
  </si>
  <si>
    <t>Starttid</t>
  </si>
  <si>
    <t>05</t>
  </si>
  <si>
    <t>00</t>
  </si>
  <si>
    <t>01</t>
  </si>
  <si>
    <t>02</t>
  </si>
  <si>
    <t>03</t>
  </si>
  <si>
    <t>04</t>
  </si>
  <si>
    <t>06</t>
  </si>
  <si>
    <t>07</t>
  </si>
  <si>
    <t>08</t>
  </si>
  <si>
    <t>09</t>
  </si>
  <si>
    <t>Timme</t>
  </si>
  <si>
    <r>
      <t xml:space="preserve">Förbrukning, </t>
    </r>
    <r>
      <rPr>
        <sz val="8"/>
        <color theme="1"/>
        <rFont val="Calibri"/>
        <family val="2"/>
        <scheme val="minor"/>
      </rPr>
      <t>kWh/km</t>
    </r>
  </si>
  <si>
    <r>
      <t xml:space="preserve">Laddning, </t>
    </r>
    <r>
      <rPr>
        <sz val="8"/>
        <color theme="1"/>
        <rFont val="Calibri"/>
        <family val="2"/>
        <scheme val="minor"/>
      </rPr>
      <t>effekt</t>
    </r>
  </si>
  <si>
    <r>
      <t xml:space="preserve">Förbrukning, </t>
    </r>
    <r>
      <rPr>
        <sz val="8"/>
        <color theme="1"/>
        <rFont val="Calibri"/>
        <family val="2"/>
        <scheme val="minor"/>
      </rPr>
      <t>Lastad</t>
    </r>
  </si>
  <si>
    <r>
      <t xml:space="preserve">Förbrukning, </t>
    </r>
    <r>
      <rPr>
        <sz val="8"/>
        <color theme="1"/>
        <rFont val="Calibri"/>
        <family val="2"/>
        <scheme val="minor"/>
      </rPr>
      <t>Tom</t>
    </r>
  </si>
  <si>
    <t>https://goo.gl/maps/MkZsQcS72qBdsPtN6</t>
  </si>
  <si>
    <t>SOC_start</t>
  </si>
  <si>
    <t>Batterikapacitet, kvar</t>
  </si>
  <si>
    <t>Förbrukning/ Laddning</t>
  </si>
  <si>
    <t>Ank Tid</t>
  </si>
  <si>
    <t>Sluttid</t>
  </si>
  <si>
    <t>https://goo.gl/maps/fswM7NKChDyNmNVS6</t>
  </si>
  <si>
    <t>Total arbetstid</t>
  </si>
  <si>
    <t>Dragbil 2 axl Elektrisk</t>
  </si>
  <si>
    <t>Bonnier - E-tuna Mogongåva- Akala +</t>
  </si>
  <si>
    <t>Laddlogistik 1</t>
  </si>
  <si>
    <t>Laddlogistik 2</t>
  </si>
  <si>
    <t>Fördelning</t>
  </si>
  <si>
    <t>SÅ Kostnadsindelning Index</t>
  </si>
  <si>
    <t>Förare</t>
  </si>
  <si>
    <t>Årskostnad</t>
  </si>
  <si>
    <t>Spec Drivmedelesfördelning</t>
  </si>
  <si>
    <t>Bil Inkl aggregatdrift</t>
  </si>
  <si>
    <t>Släp aggregatdrift</t>
  </si>
  <si>
    <t>Elektrisk</t>
  </si>
  <si>
    <t>2,1 l/timme. 3,5 liter/mil = 13kWh.grovt</t>
  </si>
  <si>
    <t>kWh per timme</t>
  </si>
  <si>
    <t>Pris/Energienhet</t>
  </si>
  <si>
    <t>Vehicle type</t>
  </si>
  <si>
    <t>Local</t>
  </si>
  <si>
    <t>Regional</t>
  </si>
  <si>
    <t>Long distance</t>
  </si>
  <si>
    <t>Investment</t>
  </si>
  <si>
    <t>Fi</t>
  </si>
  <si>
    <t>Fixed cost</t>
  </si>
  <si>
    <t>SE</t>
  </si>
  <si>
    <t>EN</t>
  </si>
  <si>
    <t>Rörliga kostnader, sträcka</t>
  </si>
  <si>
    <t>Variable cost, Distance</t>
  </si>
  <si>
    <t>Fuel consumtion</t>
  </si>
  <si>
    <t>Bränsleslag</t>
  </si>
  <si>
    <t>Fossil diesel</t>
  </si>
  <si>
    <t>Biogas</t>
  </si>
  <si>
    <t>BEV</t>
  </si>
  <si>
    <t>Rörliga kostnader, Tid</t>
  </si>
  <si>
    <t>Variable cost, Time</t>
  </si>
  <si>
    <t>Consumtion factor</t>
  </si>
  <si>
    <t>Fuel cost</t>
  </si>
  <si>
    <t>Link to update source</t>
  </si>
  <si>
    <t>Cost per KM</t>
  </si>
  <si>
    <t>Cost per Hour</t>
  </si>
  <si>
    <t>Kringkostnader</t>
  </si>
  <si>
    <t>Summera en samlad kostnadsbild från parkering, däck, service osv…</t>
  </si>
  <si>
    <t>Utökad livslängdsfaktor</t>
  </si>
  <si>
    <t>Expanded life span</t>
  </si>
  <si>
    <t>Fossil free diesel, HVO</t>
  </si>
  <si>
    <t>Fixed cost per Year</t>
  </si>
  <si>
    <t>Product</t>
  </si>
  <si>
    <t>Energivärde</t>
  </si>
  <si>
    <t>CO2e</t>
  </si>
  <si>
    <t>Produkt</t>
  </si>
  <si>
    <t>Andel Fossilfri</t>
  </si>
  <si>
    <t>Växthusreduktion</t>
  </si>
  <si>
    <t>CO2; t2w</t>
  </si>
  <si>
    <t>CO2; livscykel</t>
  </si>
  <si>
    <t>SO2</t>
  </si>
  <si>
    <t>Nox</t>
  </si>
  <si>
    <t>Aromater</t>
  </si>
  <si>
    <t>Partiklar</t>
  </si>
  <si>
    <t xml:space="preserve">2G Polar, </t>
  </si>
  <si>
    <t>Effektfaktor HVO vs Diesel</t>
  </si>
  <si>
    <t>Innebär att om det gått åt 100 liter HVO, motsvar det en åtgång av MK2-diesel om 964 liter</t>
  </si>
  <si>
    <t>Diesel, MK2</t>
  </si>
  <si>
    <t>Drivkraft Sverige</t>
  </si>
  <si>
    <t>http://207.154.197.103/uppslagsverk/fakta/berakningsfaktorer/energiinnehall-densitet-och-koldioxidemission/</t>
  </si>
  <si>
    <t>Produkterna uppdaterar sig efter vilka produkter som redovisas av Bränsleföretaget.</t>
  </si>
  <si>
    <t>Bränsle</t>
  </si>
  <si>
    <t>Energiinnehåll kWh/m3</t>
  </si>
  <si>
    <t>Densitet kg/m3 vid 15deg C</t>
  </si>
  <si>
    <t>Koldioxidem. kg CO2/liter</t>
  </si>
  <si>
    <t>kWh/L</t>
  </si>
  <si>
    <t>Fyll i respektive kategori, energivärde och CO2e så uppdateras hela modellen med dessa siffror</t>
  </si>
  <si>
    <t>Motorbensin utan etanol</t>
  </si>
  <si>
    <t>Motorbensin med 5%vol etanol</t>
  </si>
  <si>
    <t>Etanol</t>
  </si>
  <si>
    <t>Etanol E85, Sommar, ca 85% etanol, 15% bensin</t>
  </si>
  <si>
    <t>Etanol E85, Vinter, ca 75% etanol, 25% bensin</t>
  </si>
  <si>
    <t>Alkylatbensin</t>
  </si>
  <si>
    <t>Flygfotogen, JET A1</t>
  </si>
  <si>
    <t>Diesel – Mk1</t>
  </si>
  <si>
    <t>Diesel – Mk2</t>
  </si>
  <si>
    <t>Diesel – Mk3 (EU diesel, EN 590)</t>
  </si>
  <si>
    <t>FAME</t>
  </si>
  <si>
    <t>Diesel – Mk1 med 5% FAME (B5)</t>
  </si>
  <si>
    <t>Diesel – Mk2 med 5% FAME (B5)</t>
  </si>
  <si>
    <t>Diesel – Mk3 (EU diesel, EN 590) med 5% FAME (B5)</t>
  </si>
  <si>
    <t>Eldningsolja 1</t>
  </si>
  <si>
    <t>Eldningsolja 2</t>
  </si>
  <si>
    <t>Eldningsolja 3</t>
  </si>
  <si>
    <t>Eldningsolja 4</t>
  </si>
  <si>
    <t>Eldningsolja 5</t>
  </si>
  <si>
    <t>Eldningsolja 6</t>
  </si>
  <si>
    <t>HVO 100</t>
  </si>
  <si>
    <t>Leverantör St1, Ago plus </t>
  </si>
  <si>
    <t>RME (B100)</t>
  </si>
  <si>
    <t>Fordonsgas</t>
  </si>
  <si>
    <t>LBG</t>
  </si>
  <si>
    <t>CBG</t>
  </si>
  <si>
    <t>Diesel (Bioinblandning 40 % eller mer)</t>
  </si>
  <si>
    <t>Miles diesel bio, Preem ACP diesel 50</t>
  </si>
  <si>
    <t>Diesel (Låginblandad/reduktionspliktig)</t>
  </si>
  <si>
    <t>Miles diesel, Preem Evolution, Diesel 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</si>
</sst>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">
    <numFmt numFmtId="43" formatCode="_-* #,##0.00_-;\-* #,##0.00_-;_-* &quot;-&quot;??_-;_-@_-"/>
    <numFmt numFmtId="164" formatCode="#,##0_ ;[Red]\-#,##0\ "/>
    <numFmt numFmtId="165" formatCode="#,##0.0"/>
    <numFmt numFmtId="166" formatCode="0.0"/>
    <numFmt numFmtId="167" formatCode="#,##0.00_ ;[Red]\-#,##0.00\ "/>
    <numFmt numFmtId="168" formatCode="0.00_ ;[Red]\-0.00\ "/>
    <numFmt numFmtId="169" formatCode="#,##0;[Red]\-#,##0;&quot; - &quot;"/>
    <numFmt numFmtId="170" formatCode="0.00000"/>
    <numFmt numFmtId="171" formatCode="_-* #,##0_-;\-* #,##0_-;_-* &quot;-&quot;??_-;_-@_-"/>
    <numFmt numFmtId="172" formatCode="0.0%"/>
    <numFmt numFmtId="173" formatCode="0.000"/>
    <numFmt numFmtId="174" formatCode="hh:mm;@"/>
    <numFmt numFmtId="175" formatCode="[$-F400]h:mm:ss\ AM/PM"/>
    <numFmt numFmtId="176" formatCode="_-* #,##0.0_-;\-* #,##0.0_-;_-* &quot;-&quot;??_-;_-@_-"/>
    <numFmt numFmtId="177" formatCode="0.000000"/>
  </numFmts>
  <fonts count="1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color indexed="1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0"/>
      <color theme="0"/>
      <name val="Arial"/>
      <family val="2"/>
    </font>
    <font>
      <b/>
      <sz val="10"/>
      <color indexed="17"/>
      <name val="Arial"/>
      <family val="2"/>
    </font>
    <font>
      <sz val="10"/>
      <color indexed="17"/>
      <name val="Arial"/>
      <family val="2"/>
    </font>
    <font>
      <sz val="11"/>
      <name val="Calibri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b/>
      <sz val="9"/>
      <color indexed="9"/>
      <name val="Arial"/>
      <family val="2"/>
    </font>
    <font>
      <b/>
      <sz val="9"/>
      <color theme="0"/>
      <name val="Arial"/>
      <family val="2"/>
    </font>
    <font>
      <sz val="8"/>
      <name val="Calibri"/>
      <family val="2"/>
    </font>
    <font>
      <sz val="9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</font>
    <font>
      <sz val="9"/>
      <color indexed="62"/>
      <name val="Arial"/>
      <family val="2"/>
    </font>
    <font>
      <u/>
      <sz val="9"/>
      <name val="Arial"/>
      <family val="2"/>
    </font>
    <font>
      <sz val="9"/>
      <color indexed="18"/>
      <name val="Arial"/>
      <family val="2"/>
    </font>
    <font>
      <sz val="9"/>
      <color indexed="1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9"/>
      <color indexed="8"/>
      <name val="Calibri"/>
      <family val="2"/>
    </font>
    <font>
      <sz val="8"/>
      <color theme="0"/>
      <name val="Arial"/>
      <family val="2"/>
    </font>
    <font>
      <b/>
      <sz val="8"/>
      <color indexed="9"/>
      <name val="Arial"/>
      <family val="2"/>
    </font>
    <font>
      <i/>
      <sz val="8"/>
      <name val="Arial"/>
      <family val="2"/>
    </font>
    <font>
      <b/>
      <sz val="8"/>
      <color theme="0"/>
      <name val="Arial"/>
      <family val="2"/>
    </font>
    <font>
      <i/>
      <sz val="9"/>
      <name val="Arial"/>
      <family val="2"/>
    </font>
    <font>
      <sz val="9"/>
      <name val="Wingdings 3"/>
      <family val="1"/>
      <charset val="2"/>
    </font>
    <font>
      <b/>
      <sz val="9"/>
      <color indexed="62"/>
      <name val="Arial"/>
      <family val="2"/>
    </font>
    <font>
      <sz val="9"/>
      <color indexed="9"/>
      <name val="Arial"/>
      <family val="2"/>
    </font>
    <font>
      <i/>
      <sz val="9"/>
      <name val="Calibri"/>
      <family val="2"/>
    </font>
    <font>
      <sz val="10"/>
      <color indexed="62"/>
      <name val="Arial"/>
      <family val="2"/>
    </font>
    <font>
      <sz val="11"/>
      <name val="Calibri"/>
      <family val="2"/>
      <scheme val="minor"/>
    </font>
    <font>
      <b/>
      <sz val="9"/>
      <name val="Wingdings 3"/>
      <family val="1"/>
      <charset val="2"/>
    </font>
    <font>
      <b/>
      <sz val="9"/>
      <color indexed="10"/>
      <name val="Arial"/>
      <family val="2"/>
    </font>
    <font>
      <i/>
      <sz val="10"/>
      <color indexed="19"/>
      <name val="Arial"/>
      <family val="2"/>
    </font>
    <font>
      <i/>
      <sz val="8"/>
      <color rgb="FFFF0000"/>
      <name val="Arial"/>
      <family val="2"/>
    </font>
    <font>
      <i/>
      <sz val="9"/>
      <color theme="0" tint="-0.249977111117893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rgb="FFFF0000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4.9989318521683403E-2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6"/>
      <color theme="0" tint="-4.9989318521683403E-2"/>
      <name val="Calibri Light"/>
      <family val="2"/>
      <scheme val="major"/>
    </font>
    <font>
      <sz val="18"/>
      <color theme="0"/>
      <name val="Calibri Light"/>
      <family val="2"/>
      <scheme val="major"/>
    </font>
    <font>
      <sz val="18"/>
      <color theme="0" tint="-4.9989318521683403E-2"/>
      <name val="Calibri Light"/>
      <family val="2"/>
      <scheme val="major"/>
    </font>
    <font>
      <u/>
      <sz val="20"/>
      <color theme="1" tint="0.249977111117893"/>
      <name val="Calibri Light"/>
      <family val="2"/>
      <scheme val="major"/>
    </font>
    <font>
      <sz val="11"/>
      <color theme="1" tint="0.249977111117893"/>
      <name val="Calibri Light"/>
      <family val="2"/>
      <scheme val="major"/>
    </font>
    <font>
      <u/>
      <sz val="11"/>
      <color theme="0"/>
      <name val="Calibri"/>
      <family val="2"/>
      <scheme val="minor"/>
    </font>
    <font>
      <sz val="12"/>
      <color theme="1"/>
      <name val="Calibri Light"/>
      <family val="2"/>
      <scheme val="major"/>
    </font>
    <font>
      <sz val="11"/>
      <color theme="0"/>
      <name val="Calibri Light"/>
      <family val="2"/>
      <scheme val="major"/>
    </font>
    <font>
      <sz val="16"/>
      <color theme="0"/>
      <name val="Calibri Light"/>
      <family val="2"/>
      <scheme val="major"/>
    </font>
    <font>
      <sz val="9"/>
      <color theme="0"/>
      <name val="Arial"/>
      <family val="2"/>
    </font>
    <font>
      <sz val="9"/>
      <color theme="1"/>
      <name val="Calibri Light"/>
      <family val="2"/>
      <scheme val="major"/>
    </font>
    <font>
      <sz val="16"/>
      <color theme="1"/>
      <name val="Calibri Light"/>
      <family val="2"/>
      <scheme val="major"/>
    </font>
    <font>
      <sz val="14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Arial"/>
      <family val="2"/>
    </font>
    <font>
      <sz val="12"/>
      <color theme="0"/>
      <name val="Arial"/>
      <family val="2"/>
    </font>
    <font>
      <sz val="16"/>
      <name val="Arial"/>
      <family val="2"/>
    </font>
    <font>
      <sz val="14"/>
      <color theme="1" tint="4.9989318521683403E-2"/>
      <name val="Arial"/>
      <family val="2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theme="0" tint="-4.9989318521683403E-2"/>
      <name val="Calibri"/>
      <family val="2"/>
      <scheme val="minor"/>
    </font>
    <font>
      <sz val="20"/>
      <color theme="0" tint="-4.9989318521683403E-2"/>
      <name val="Calibri"/>
      <family val="2"/>
      <scheme val="minor"/>
    </font>
    <font>
      <sz val="16"/>
      <color theme="0" tint="-4.9989318521683403E-2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0"/>
      <color theme="0" tint="-0.14999847407452621"/>
      <name val="Calibri Light"/>
      <family val="2"/>
      <scheme val="major"/>
    </font>
    <font>
      <sz val="10"/>
      <name val="Calibri Light"/>
      <family val="2"/>
      <scheme val="major"/>
    </font>
    <font>
      <b/>
      <sz val="12"/>
      <color indexed="18"/>
      <name val="Calibri Light"/>
      <family val="2"/>
      <scheme val="major"/>
    </font>
    <font>
      <sz val="10"/>
      <color indexed="18"/>
      <name val="Calibri Light"/>
      <family val="2"/>
      <scheme val="major"/>
    </font>
    <font>
      <sz val="10"/>
      <color theme="0" tint="-4.9989318521683403E-2"/>
      <name val="Calibri Light"/>
      <family val="2"/>
      <scheme val="major"/>
    </font>
    <font>
      <sz val="12"/>
      <color theme="0" tint="-4.9989318521683403E-2"/>
      <name val="Calibri Light"/>
      <family val="2"/>
      <scheme val="major"/>
    </font>
    <font>
      <b/>
      <sz val="8"/>
      <color indexed="18"/>
      <name val="Calibri Light"/>
      <family val="2"/>
      <scheme val="major"/>
    </font>
    <font>
      <sz val="8"/>
      <color indexed="18"/>
      <name val="Calibri Light"/>
      <family val="2"/>
      <scheme val="major"/>
    </font>
    <font>
      <sz val="14"/>
      <color indexed="9"/>
      <name val="Calibri Light"/>
      <family val="2"/>
      <scheme val="major"/>
    </font>
    <font>
      <sz val="10"/>
      <color indexed="9"/>
      <name val="Calibri Light"/>
      <family val="2"/>
      <scheme val="major"/>
    </font>
    <font>
      <b/>
      <sz val="10"/>
      <name val="Calibri Light"/>
      <family val="2"/>
      <scheme val="major"/>
    </font>
    <font>
      <sz val="8"/>
      <name val="Calibri Light"/>
      <family val="2"/>
      <scheme val="major"/>
    </font>
    <font>
      <b/>
      <sz val="8"/>
      <name val="Calibri Light"/>
      <family val="2"/>
      <scheme val="major"/>
    </font>
    <font>
      <sz val="10"/>
      <color theme="0"/>
      <name val="Calibri Light"/>
      <family val="2"/>
      <scheme val="major"/>
    </font>
    <font>
      <sz val="14"/>
      <name val="Calibri Light"/>
      <family val="2"/>
      <scheme val="major"/>
    </font>
    <font>
      <b/>
      <sz val="14"/>
      <name val="Calibri Light"/>
      <family val="2"/>
      <scheme val="major"/>
    </font>
    <font>
      <b/>
      <sz val="16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theme="1" tint="4.9989318521683403E-2"/>
      <name val="Arial"/>
      <family val="2"/>
    </font>
    <font>
      <sz val="12"/>
      <color theme="0"/>
      <name val="Calibri"/>
      <family val="2"/>
      <scheme val="minor"/>
    </font>
    <font>
      <sz val="14"/>
      <color theme="0"/>
      <name val="Calibri Light"/>
      <family val="2"/>
      <scheme val="major"/>
    </font>
    <font>
      <sz val="12"/>
      <color theme="1" tint="4.9989318521683403E-2"/>
      <name val="Arial"/>
      <family val="2"/>
    </font>
    <font>
      <sz val="16"/>
      <name val="Calibri Light"/>
      <family val="2"/>
      <scheme val="major"/>
    </font>
    <font>
      <b/>
      <sz val="14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2"/>
      <color theme="0"/>
      <name val="Calibri Light"/>
      <family val="2"/>
      <scheme val="major"/>
    </font>
    <font>
      <sz val="11"/>
      <color rgb="FFC47500"/>
      <name val="Calibri"/>
      <family val="2"/>
      <scheme val="minor"/>
    </font>
    <font>
      <sz val="9"/>
      <color theme="0"/>
      <name val="Calibri"/>
      <family val="2"/>
    </font>
    <font>
      <sz val="11"/>
      <color theme="0" tint="-0.14999847407452621"/>
      <name val="Calibri Light"/>
      <family val="2"/>
      <scheme val="major"/>
    </font>
    <font>
      <u/>
      <sz val="8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u/>
      <sz val="5"/>
      <color theme="0" tint="-4.9989318521683403E-2"/>
      <name val="Calibri"/>
      <family val="2"/>
      <scheme val="minor"/>
    </font>
    <font>
      <u/>
      <sz val="6"/>
      <color theme="10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i/>
      <sz val="10"/>
      <name val="Calibri Light"/>
      <family val="2"/>
      <scheme val="major"/>
    </font>
    <font>
      <sz val="16"/>
      <color theme="0"/>
      <name val="Calibri"/>
      <family val="2"/>
      <scheme val="minor"/>
    </font>
  </fonts>
  <fills count="74">
    <fill>
      <patternFill patternType="none"/>
    </fill>
    <fill>
      <patternFill patternType="gray125"/>
    </fill>
    <fill>
      <patternFill patternType="solid">
        <fgColor rgb="FF003870"/>
        <bgColor indexed="64"/>
      </patternFill>
    </fill>
    <fill>
      <patternFill patternType="solid">
        <fgColor rgb="FFEE9F12"/>
        <bgColor indexed="64"/>
      </patternFill>
    </fill>
    <fill>
      <patternFill patternType="mediumGray">
        <fgColor indexed="28"/>
        <bgColor rgb="FFCE2844"/>
      </patternFill>
    </fill>
    <fill>
      <patternFill patternType="solid">
        <fgColor rgb="FF99BF97"/>
        <bgColor auto="1"/>
      </patternFill>
    </fill>
    <fill>
      <patternFill patternType="mediumGray">
        <fgColor indexed="28"/>
        <bgColor rgb="FF0091C4"/>
      </patternFill>
    </fill>
    <fill>
      <patternFill patternType="solid">
        <fgColor rgb="FFFFB871"/>
        <bgColor indexed="64"/>
      </patternFill>
    </fill>
    <fill>
      <patternFill patternType="solid">
        <fgColor rgb="FF4D7731"/>
        <bgColor indexed="64"/>
      </patternFill>
    </fill>
    <fill>
      <patternFill patternType="solid">
        <fgColor rgb="FF548235"/>
        <bgColor indexed="28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428BCE"/>
        <bgColor indexed="64"/>
      </patternFill>
    </fill>
    <fill>
      <patternFill patternType="solid">
        <fgColor rgb="FFEA0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A96A4"/>
        <bgColor auto="1"/>
      </patternFill>
    </fill>
    <fill>
      <patternFill patternType="solid">
        <fgColor rgb="FFEEEEEE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71A446"/>
        <bgColor indexed="28"/>
      </patternFill>
    </fill>
    <fill>
      <patternFill patternType="solid">
        <fgColor rgb="FFE6E6E6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D1A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D9D9D9"/>
        <bgColor indexed="28"/>
      </patternFill>
    </fill>
    <fill>
      <patternFill patternType="solid">
        <fgColor theme="5" tint="-0.24997711111789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7D7A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475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A0141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D6A3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39997558519241921"/>
        <bgColor theme="7" tint="0.39994506668294322"/>
      </patternFill>
    </fill>
    <fill>
      <patternFill patternType="solid">
        <fgColor theme="8" tint="0.39997558519241921"/>
        <bgColor theme="7" tint="0.3999145481734672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39997558519241921"/>
        <bgColor indexed="64"/>
      </patternFill>
    </fill>
  </fills>
  <borders count="307">
    <border>
      <left/>
      <right/>
      <top/>
      <bottom/>
      <diagonal/>
    </border>
    <border>
      <left/>
      <right style="medium">
        <color indexed="22"/>
      </right>
      <top/>
      <bottom/>
      <diagonal/>
    </border>
    <border>
      <left style="medium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3"/>
      </left>
      <right/>
      <top style="medium">
        <color indexed="63"/>
      </top>
      <bottom style="medium">
        <color indexed="63"/>
      </bottom>
      <diagonal/>
    </border>
    <border>
      <left/>
      <right/>
      <top style="medium">
        <color indexed="63"/>
      </top>
      <bottom style="medium">
        <color indexed="63"/>
      </bottom>
      <diagonal/>
    </border>
    <border>
      <left/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 style="dotted">
        <color indexed="55"/>
      </left>
      <right style="medium">
        <color indexed="63"/>
      </right>
      <top style="medium">
        <color indexed="63"/>
      </top>
      <bottom style="thin">
        <color indexed="63"/>
      </bottom>
      <diagonal/>
    </border>
    <border>
      <left style="medium">
        <color indexed="63"/>
      </left>
      <right/>
      <top/>
      <bottom style="thin">
        <color indexed="63"/>
      </bottom>
      <diagonal/>
    </border>
    <border>
      <left/>
      <right/>
      <top/>
      <bottom style="thin">
        <color indexed="63"/>
      </bottom>
      <diagonal/>
    </border>
    <border>
      <left style="hair">
        <color indexed="22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2"/>
      </right>
      <top style="hair">
        <color indexed="64"/>
      </top>
      <bottom style="hair">
        <color indexed="64"/>
      </bottom>
      <diagonal/>
    </border>
    <border>
      <left style="medium">
        <color indexed="62"/>
      </left>
      <right/>
      <top/>
      <bottom style="hair">
        <color indexed="62"/>
      </bottom>
      <diagonal/>
    </border>
    <border>
      <left/>
      <right style="medium">
        <color indexed="62"/>
      </right>
      <top/>
      <bottom style="hair">
        <color indexed="62"/>
      </bottom>
      <diagonal/>
    </border>
    <border>
      <left style="medium">
        <color indexed="64"/>
      </left>
      <right/>
      <top style="medium">
        <color indexed="62"/>
      </top>
      <bottom style="hair">
        <color theme="0" tint="-0.34998626667073579"/>
      </bottom>
      <diagonal/>
    </border>
    <border>
      <left/>
      <right/>
      <top style="medium">
        <color indexed="62"/>
      </top>
      <bottom style="hair">
        <color theme="0" tint="-0.34998626667073579"/>
      </bottom>
      <diagonal/>
    </border>
    <border>
      <left/>
      <right style="hair">
        <color indexed="62"/>
      </right>
      <top style="medium">
        <color indexed="62"/>
      </top>
      <bottom style="hair">
        <color theme="0" tint="-0.34998626667073579"/>
      </bottom>
      <diagonal/>
    </border>
    <border>
      <left style="hair">
        <color indexed="62"/>
      </left>
      <right style="medium">
        <color indexed="64"/>
      </right>
      <top style="medium">
        <color indexed="62"/>
      </top>
      <bottom style="hair">
        <color theme="0" tint="-0.34998626667073579"/>
      </bottom>
      <diagonal/>
    </border>
    <border>
      <left style="medium">
        <color indexed="64"/>
      </left>
      <right/>
      <top style="medium">
        <color indexed="62"/>
      </top>
      <bottom style="hair">
        <color indexed="62"/>
      </bottom>
      <diagonal/>
    </border>
    <border>
      <left/>
      <right/>
      <top style="medium">
        <color indexed="62"/>
      </top>
      <bottom style="hair">
        <color indexed="62"/>
      </bottom>
      <diagonal/>
    </border>
    <border>
      <left/>
      <right style="hair">
        <color indexed="62"/>
      </right>
      <top style="medium">
        <color indexed="62"/>
      </top>
      <bottom style="hair">
        <color indexed="62"/>
      </bottom>
      <diagonal/>
    </border>
    <border>
      <left style="hair">
        <color indexed="62"/>
      </left>
      <right style="medium">
        <color indexed="64"/>
      </right>
      <top style="medium">
        <color indexed="62"/>
      </top>
      <bottom style="hair">
        <color indexed="6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medium">
        <color indexed="62"/>
      </bottom>
      <diagonal/>
    </border>
    <border>
      <left style="medium">
        <color indexed="63"/>
      </left>
      <right/>
      <top style="thin">
        <color indexed="63"/>
      </top>
      <bottom style="medium">
        <color indexed="63"/>
      </bottom>
      <diagonal/>
    </border>
    <border>
      <left/>
      <right/>
      <top style="thin">
        <color indexed="63"/>
      </top>
      <bottom style="medium">
        <color indexed="63"/>
      </bottom>
      <diagonal/>
    </border>
    <border>
      <left style="dotted">
        <color indexed="55"/>
      </left>
      <right style="medium">
        <color indexed="63"/>
      </right>
      <top style="thin">
        <color indexed="63"/>
      </top>
      <bottom style="medium">
        <color indexed="63"/>
      </bottom>
      <diagonal/>
    </border>
    <border>
      <left style="medium">
        <color indexed="63"/>
      </left>
      <right/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 style="thin">
        <color indexed="63"/>
      </bottom>
      <diagonal/>
    </border>
    <border>
      <left style="hair">
        <color indexed="22"/>
      </left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2"/>
      </left>
      <right/>
      <top style="hair">
        <color indexed="62"/>
      </top>
      <bottom style="hair">
        <color indexed="62"/>
      </bottom>
      <diagonal/>
    </border>
    <border>
      <left/>
      <right style="medium">
        <color indexed="62"/>
      </right>
      <top style="hair">
        <color indexed="62"/>
      </top>
      <bottom style="hair">
        <color indexed="62"/>
      </bottom>
      <diagonal/>
    </border>
    <border>
      <left style="medium">
        <color indexed="64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indexed="62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2"/>
      </left>
      <right style="medium">
        <color indexed="64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indexed="64"/>
      </left>
      <right/>
      <top style="hair">
        <color indexed="62"/>
      </top>
      <bottom style="hair">
        <color indexed="62"/>
      </bottom>
      <diagonal/>
    </border>
    <border>
      <left/>
      <right/>
      <top style="hair">
        <color indexed="62"/>
      </top>
      <bottom style="hair">
        <color indexed="62"/>
      </bottom>
      <diagonal/>
    </border>
    <border>
      <left/>
      <right style="hair">
        <color indexed="62"/>
      </right>
      <top style="hair">
        <color indexed="62"/>
      </top>
      <bottom style="hair">
        <color indexed="62"/>
      </bottom>
      <diagonal/>
    </border>
    <border>
      <left style="hair">
        <color indexed="62"/>
      </left>
      <right style="medium">
        <color indexed="64"/>
      </right>
      <top style="hair">
        <color indexed="62"/>
      </top>
      <bottom style="hair">
        <color indexed="62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medium">
        <color indexed="62"/>
      </top>
      <bottom style="hair">
        <color indexed="62"/>
      </bottom>
      <diagonal/>
    </border>
    <border>
      <left style="thin">
        <color indexed="64"/>
      </left>
      <right/>
      <top/>
      <bottom style="hair">
        <color theme="0" tint="-0.34998626667073579"/>
      </bottom>
      <diagonal/>
    </border>
    <border>
      <left/>
      <right/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indexed="64"/>
      </right>
      <top/>
      <bottom style="hair">
        <color theme="0" tint="-0.34998626667073579"/>
      </bottom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3"/>
      </left>
      <right/>
      <top style="medium">
        <color indexed="63"/>
      </top>
      <bottom style="hair">
        <color indexed="55"/>
      </bottom>
      <diagonal/>
    </border>
    <border>
      <left/>
      <right/>
      <top style="medium">
        <color indexed="63"/>
      </top>
      <bottom style="hair">
        <color indexed="55"/>
      </bottom>
      <diagonal/>
    </border>
    <border>
      <left/>
      <right style="medium">
        <color indexed="63"/>
      </right>
      <top style="medium">
        <color indexed="63"/>
      </top>
      <bottom style="hair">
        <color indexed="55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indexed="64"/>
      </right>
      <top style="hair">
        <color theme="0" tint="-0.34998626667073579"/>
      </top>
      <bottom style="hair">
        <color theme="0" tint="-0.34998626667073579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2"/>
      </left>
      <right style="medium">
        <color indexed="64"/>
      </right>
      <top style="hair">
        <color indexed="62"/>
      </top>
      <bottom/>
      <diagonal/>
    </border>
    <border>
      <left style="medium">
        <color indexed="63"/>
      </left>
      <right/>
      <top style="hair">
        <color indexed="55"/>
      </top>
      <bottom style="thin">
        <color indexed="63"/>
      </bottom>
      <diagonal/>
    </border>
    <border>
      <left/>
      <right/>
      <top style="hair">
        <color indexed="55"/>
      </top>
      <bottom style="thin">
        <color indexed="63"/>
      </bottom>
      <diagonal/>
    </border>
    <border>
      <left style="dotted">
        <color indexed="55"/>
      </left>
      <right style="medium">
        <color indexed="63"/>
      </right>
      <top style="hair">
        <color indexed="55"/>
      </top>
      <bottom style="thin">
        <color indexed="63"/>
      </bottom>
      <diagonal/>
    </border>
    <border>
      <left style="medium">
        <color indexed="64"/>
      </left>
      <right/>
      <top style="hair">
        <color indexed="64"/>
      </top>
      <bottom style="hair">
        <color indexed="62"/>
      </bottom>
      <diagonal/>
    </border>
    <border>
      <left/>
      <right style="medium">
        <color indexed="62"/>
      </right>
      <top style="hair">
        <color indexed="64"/>
      </top>
      <bottom style="hair">
        <color indexed="6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2"/>
      </right>
      <top style="thin">
        <color indexed="64"/>
      </top>
      <bottom style="double">
        <color indexed="64"/>
      </bottom>
      <diagonal/>
    </border>
    <border>
      <left style="hair">
        <color indexed="62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medium">
        <color indexed="63"/>
      </right>
      <top style="thin">
        <color indexed="63"/>
      </top>
      <bottom style="thin">
        <color indexed="63"/>
      </bottom>
      <diagonal/>
    </border>
    <border>
      <left/>
      <right style="medium">
        <color indexed="64"/>
      </right>
      <top style="hair">
        <color indexed="62"/>
      </top>
      <bottom/>
      <diagonal/>
    </border>
    <border>
      <left/>
      <right style="hair">
        <color indexed="62"/>
      </right>
      <top/>
      <bottom style="hair">
        <color indexed="62"/>
      </bottom>
      <diagonal/>
    </border>
    <border>
      <left style="hair">
        <color indexed="62"/>
      </left>
      <right style="medium">
        <color indexed="64"/>
      </right>
      <top/>
      <bottom style="hair">
        <color indexed="62"/>
      </bottom>
      <diagonal/>
    </border>
    <border>
      <left style="medium">
        <color indexed="63"/>
      </left>
      <right/>
      <top/>
      <bottom/>
      <diagonal/>
    </border>
    <border>
      <left style="hair">
        <color indexed="22"/>
      </left>
      <right style="medium">
        <color indexed="63"/>
      </right>
      <top/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hair">
        <color theme="0" tint="-0.34998626667073579"/>
      </top>
      <bottom style="thin">
        <color indexed="64"/>
      </bottom>
      <diagonal/>
    </border>
    <border>
      <left/>
      <right/>
      <top style="hair">
        <color theme="0" tint="-0.34998626667073579"/>
      </top>
      <bottom style="thin">
        <color indexed="64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thin">
        <color indexed="64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thin">
        <color indexed="64"/>
      </bottom>
      <diagonal/>
    </border>
    <border>
      <left style="hair">
        <color theme="0" tint="-0.34998626667073579"/>
      </left>
      <right style="thin">
        <color indexed="64"/>
      </right>
      <top style="hair">
        <color theme="0" tint="-0.34998626667073579"/>
      </top>
      <bottom style="thin">
        <color indexed="64"/>
      </bottom>
      <diagonal/>
    </border>
    <border>
      <left/>
      <right style="medium">
        <color indexed="64"/>
      </right>
      <top style="hair">
        <color indexed="62"/>
      </top>
      <bottom style="hair">
        <color indexed="62"/>
      </bottom>
      <diagonal/>
    </border>
    <border>
      <left style="medium">
        <color indexed="63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3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1"/>
      </left>
      <right style="hair">
        <color indexed="61"/>
      </right>
      <top/>
      <bottom/>
      <diagonal/>
    </border>
    <border>
      <left style="hair">
        <color indexed="61"/>
      </left>
      <right style="thin">
        <color indexed="64"/>
      </right>
      <top/>
      <bottom/>
      <diagonal/>
    </border>
    <border>
      <left/>
      <right style="medium">
        <color indexed="62"/>
      </right>
      <top style="medium">
        <color indexed="62"/>
      </top>
      <bottom style="hair">
        <color indexed="6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hair">
        <color indexed="61"/>
      </left>
      <right style="hair">
        <color indexed="61"/>
      </right>
      <top style="medium">
        <color indexed="64"/>
      </top>
      <bottom style="thin">
        <color indexed="64"/>
      </bottom>
      <diagonal/>
    </border>
    <border>
      <left style="hair">
        <color indexed="6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2"/>
      </left>
      <right style="medium">
        <color indexed="62"/>
      </right>
      <top style="hair">
        <color indexed="62"/>
      </top>
      <bottom style="hair">
        <color indexed="62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2"/>
      </bottom>
      <diagonal/>
    </border>
    <border>
      <left/>
      <right/>
      <top style="thin">
        <color indexed="64"/>
      </top>
      <bottom style="hair">
        <color indexed="62"/>
      </bottom>
      <diagonal/>
    </border>
    <border>
      <left/>
      <right style="hair">
        <color indexed="62"/>
      </right>
      <top style="thin">
        <color indexed="64"/>
      </top>
      <bottom style="hair">
        <color indexed="62"/>
      </bottom>
      <diagonal/>
    </border>
    <border>
      <left style="hair">
        <color indexed="62"/>
      </left>
      <right style="medium">
        <color indexed="64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/>
      <top style="hair">
        <color indexed="62"/>
      </top>
      <bottom style="medium">
        <color indexed="62"/>
      </bottom>
      <diagonal/>
    </border>
    <border>
      <left/>
      <right/>
      <top style="hair">
        <color indexed="62"/>
      </top>
      <bottom style="medium">
        <color indexed="62"/>
      </bottom>
      <diagonal/>
    </border>
    <border>
      <left style="medium">
        <color indexed="62"/>
      </left>
      <right style="medium">
        <color indexed="62"/>
      </right>
      <top style="hair">
        <color indexed="62"/>
      </top>
      <bottom style="medium">
        <color indexed="62"/>
      </bottom>
      <diagonal/>
    </border>
    <border>
      <left/>
      <right style="medium">
        <color indexed="64"/>
      </right>
      <top style="hair">
        <color indexed="62"/>
      </top>
      <bottom style="medium">
        <color indexed="62"/>
      </bottom>
      <diagonal/>
    </border>
    <border>
      <left style="medium">
        <color indexed="64"/>
      </left>
      <right/>
      <top style="hair">
        <color theme="0" tint="-0.34998626667073579"/>
      </top>
      <bottom style="medium">
        <color indexed="62"/>
      </bottom>
      <diagonal/>
    </border>
    <border>
      <left/>
      <right/>
      <top style="hair">
        <color theme="0" tint="-0.34998626667073579"/>
      </top>
      <bottom style="medium">
        <color indexed="62"/>
      </bottom>
      <diagonal/>
    </border>
    <border>
      <left/>
      <right style="hair">
        <color indexed="62"/>
      </right>
      <top style="hair">
        <color theme="0" tint="-0.34998626667073579"/>
      </top>
      <bottom style="medium">
        <color indexed="62"/>
      </bottom>
      <diagonal/>
    </border>
    <border>
      <left style="hair">
        <color indexed="62"/>
      </left>
      <right style="medium">
        <color indexed="64"/>
      </right>
      <top style="hair">
        <color theme="0" tint="-0.34998626667073579"/>
      </top>
      <bottom style="medium">
        <color indexed="62"/>
      </bottom>
      <diagonal/>
    </border>
    <border>
      <left/>
      <right style="hair">
        <color indexed="62"/>
      </right>
      <top style="hair">
        <color indexed="62"/>
      </top>
      <bottom style="medium">
        <color indexed="62"/>
      </bottom>
      <diagonal/>
    </border>
    <border>
      <left style="hair">
        <color indexed="62"/>
      </left>
      <right style="medium">
        <color indexed="64"/>
      </right>
      <top style="hair">
        <color indexed="62"/>
      </top>
      <bottom style="medium">
        <color indexed="62"/>
      </bottom>
      <diagonal/>
    </border>
    <border>
      <left style="hair">
        <color indexed="62"/>
      </left>
      <right style="medium">
        <color indexed="64"/>
      </right>
      <top/>
      <bottom/>
      <diagonal/>
    </border>
    <border>
      <left/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2"/>
      </top>
      <bottom style="medium">
        <color indexed="62"/>
      </bottom>
      <diagonal/>
    </border>
    <border>
      <left/>
      <right/>
      <top style="medium">
        <color indexed="62"/>
      </top>
      <bottom style="medium">
        <color indexed="62"/>
      </bottom>
      <diagonal/>
    </border>
    <border>
      <left style="medium">
        <color indexed="62"/>
      </left>
      <right style="medium">
        <color indexed="62"/>
      </right>
      <top style="medium">
        <color indexed="62"/>
      </top>
      <bottom style="medium">
        <color indexed="62"/>
      </bottom>
      <diagonal/>
    </border>
    <border>
      <left/>
      <right style="medium">
        <color indexed="64"/>
      </right>
      <top style="medium">
        <color indexed="62"/>
      </top>
      <bottom style="medium">
        <color indexed="62"/>
      </bottom>
      <diagonal/>
    </border>
    <border>
      <left style="medium">
        <color indexed="64"/>
      </left>
      <right/>
      <top style="hair">
        <color indexed="62"/>
      </top>
      <bottom/>
      <diagonal/>
    </border>
    <border>
      <left/>
      <right/>
      <top style="hair">
        <color indexed="62"/>
      </top>
      <bottom/>
      <diagonal/>
    </border>
    <border>
      <left/>
      <right style="hair">
        <color indexed="62"/>
      </right>
      <top style="hair">
        <color indexed="62"/>
      </top>
      <bottom/>
      <diagonal/>
    </border>
    <border>
      <left style="hair">
        <color indexed="22"/>
      </left>
      <right style="medium">
        <color indexed="63"/>
      </right>
      <top/>
      <bottom style="thin">
        <color indexed="64"/>
      </bottom>
      <diagonal/>
    </border>
    <border>
      <left/>
      <right style="hair">
        <color theme="0" tint="-0.34998626667073579"/>
      </right>
      <top style="medium">
        <color indexed="64"/>
      </top>
      <bottom style="thin">
        <color indexed="64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indexed="64"/>
      </top>
      <bottom style="thin">
        <color indexed="64"/>
      </bottom>
      <diagonal/>
    </border>
    <border>
      <left style="hair">
        <color theme="0" tint="-0.34998626667073579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3"/>
      </left>
      <right/>
      <top style="thin">
        <color indexed="64"/>
      </top>
      <bottom style="medium">
        <color indexed="63"/>
      </bottom>
      <diagonal/>
    </border>
    <border>
      <left/>
      <right/>
      <top style="thin">
        <color indexed="64"/>
      </top>
      <bottom style="medium">
        <color indexed="63"/>
      </bottom>
      <diagonal/>
    </border>
    <border>
      <left style="hair">
        <color indexed="64"/>
      </left>
      <right style="medium">
        <color indexed="63"/>
      </right>
      <top style="thin">
        <color indexed="64"/>
      </top>
      <bottom style="medium">
        <color indexed="6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theme="0" tint="-0.34998626667073579"/>
      </bottom>
      <diagonal/>
    </border>
    <border>
      <left/>
      <right/>
      <top style="thin">
        <color indexed="64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thin">
        <color indexed="64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indexed="64"/>
      </right>
      <top style="thin">
        <color indexed="64"/>
      </top>
      <bottom style="hair">
        <color theme="0" tint="-0.34998626667073579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theme="0" tint="-0.34998626667073579"/>
      </top>
      <bottom style="medium">
        <color indexed="64"/>
      </bottom>
      <diagonal/>
    </border>
    <border>
      <left/>
      <right/>
      <top style="hair">
        <color theme="0" tint="-0.34998626667073579"/>
      </top>
      <bottom style="medium">
        <color indexed="64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medium">
        <color indexed="64"/>
      </bottom>
      <diagonal/>
    </border>
    <border>
      <left style="hair">
        <color theme="0" tint="-0.34998626667073579"/>
      </left>
      <right style="thin">
        <color indexed="64"/>
      </right>
      <top style="hair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hair">
        <color indexed="22"/>
      </left>
      <right style="medium">
        <color indexed="63"/>
      </right>
      <top/>
      <bottom style="medium">
        <color indexed="63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3"/>
      </bottom>
      <diagonal/>
    </border>
    <border>
      <left/>
      <right/>
      <top style="medium">
        <color indexed="64"/>
      </top>
      <bottom style="medium">
        <color indexed="63"/>
      </bottom>
      <diagonal/>
    </border>
    <border>
      <left/>
      <right style="medium">
        <color indexed="64"/>
      </right>
      <top style="medium">
        <color indexed="64"/>
      </top>
      <bottom style="medium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3"/>
      </top>
      <bottom style="thin">
        <color indexed="63"/>
      </bottom>
      <diagonal/>
    </border>
    <border>
      <left style="hair">
        <color indexed="22"/>
      </left>
      <right style="medium">
        <color indexed="64"/>
      </right>
      <top style="medium">
        <color indexed="63"/>
      </top>
      <bottom style="thin">
        <color indexed="63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hair">
        <color indexed="22"/>
      </left>
      <right style="medium">
        <color indexed="64"/>
      </right>
      <top style="thin">
        <color indexed="63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55"/>
      </left>
      <right style="medium">
        <color indexed="63"/>
      </right>
      <top/>
      <bottom style="medium">
        <color indexed="63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22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3"/>
      </bottom>
      <diagonal/>
    </border>
    <border>
      <left/>
      <right style="thin">
        <color indexed="64"/>
      </right>
      <top style="thin">
        <color indexed="64"/>
      </top>
      <bottom style="medium">
        <color indexed="63"/>
      </bottom>
      <diagonal/>
    </border>
    <border>
      <left style="hair">
        <color indexed="22"/>
      </left>
      <right style="thin">
        <color indexed="64"/>
      </right>
      <top style="thin">
        <color indexed="63"/>
      </top>
      <bottom style="thin">
        <color indexed="63"/>
      </bottom>
      <diagonal/>
    </border>
    <border>
      <left style="hair">
        <color rgb="FF00B050"/>
      </left>
      <right style="hair">
        <color rgb="FF00B050"/>
      </right>
      <top style="hair">
        <color rgb="FF00B050"/>
      </top>
      <bottom style="hair">
        <color rgb="FF00B050"/>
      </bottom>
      <diagonal/>
    </border>
    <border>
      <left style="hair">
        <color indexed="22"/>
      </left>
      <right style="thin">
        <color indexed="64"/>
      </right>
      <top style="thin">
        <color indexed="63"/>
      </top>
      <bottom/>
      <diagonal/>
    </border>
    <border>
      <left style="hair">
        <color indexed="22"/>
      </left>
      <right style="thin">
        <color indexed="64"/>
      </right>
      <top/>
      <bottom style="thin">
        <color indexed="63"/>
      </bottom>
      <diagonal/>
    </border>
    <border>
      <left style="hair">
        <color rgb="FF00B050"/>
      </left>
      <right style="hair">
        <color rgb="FF00B050"/>
      </right>
      <top style="hair">
        <color rgb="FF00B050"/>
      </top>
      <bottom style="thin">
        <color indexed="64"/>
      </bottom>
      <diagonal/>
    </border>
    <border>
      <left style="hair">
        <color indexed="22"/>
      </left>
      <right style="thin">
        <color indexed="64"/>
      </right>
      <top style="thin">
        <color indexed="6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34998626667073579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C47500"/>
      </left>
      <right style="thin">
        <color rgb="FFC47500"/>
      </right>
      <top style="thin">
        <color rgb="FFC47500"/>
      </top>
      <bottom style="thin">
        <color rgb="FFC4750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6" tint="-0.499984740745262"/>
      </left>
      <right style="thin">
        <color theme="6" tint="-0.499984740745262"/>
      </right>
      <top/>
      <bottom style="thin">
        <color theme="6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 style="thick">
        <color theme="0" tint="-0.24994659260841701"/>
      </left>
      <right/>
      <top/>
      <bottom/>
      <diagonal/>
    </border>
    <border>
      <left/>
      <right style="thick">
        <color theme="0" tint="-0.24994659260841701"/>
      </right>
      <top/>
      <bottom/>
      <diagonal/>
    </border>
    <border>
      <left style="thick">
        <color theme="0" tint="-0.24994659260841701"/>
      </left>
      <right/>
      <top/>
      <bottom style="thick">
        <color theme="0" tint="-0.24994659260841701"/>
      </bottom>
      <diagonal/>
    </border>
    <border>
      <left/>
      <right/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/>
      <bottom style="thick">
        <color theme="0" tint="-0.24994659260841701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2" fillId="0" borderId="0"/>
    <xf numFmtId="0" fontId="1" fillId="0" borderId="0"/>
    <xf numFmtId="43" fontId="1" fillId="0" borderId="0" applyFont="0" applyFill="0" applyBorder="0" applyAlignment="0" applyProtection="0"/>
    <xf numFmtId="0" fontId="49" fillId="0" borderId="0" applyNumberFormat="0" applyFill="0" applyBorder="0" applyAlignment="0" applyProtection="0"/>
  </cellStyleXfs>
  <cellXfs count="1036">
    <xf numFmtId="0" fontId="0" fillId="0" borderId="0" xfId="0"/>
    <xf numFmtId="0" fontId="2" fillId="0" borderId="0" xfId="0" applyFont="1" applyAlignment="1">
      <alignment horizontal="left" indent="1"/>
    </xf>
    <xf numFmtId="0" fontId="3" fillId="0" borderId="0" xfId="0" applyFont="1"/>
    <xf numFmtId="0" fontId="4" fillId="0" borderId="0" xfId="0" applyFont="1"/>
    <xf numFmtId="0" fontId="4" fillId="0" borderId="1" xfId="0" applyFont="1" applyBorder="1"/>
    <xf numFmtId="0" fontId="4" fillId="0" borderId="2" xfId="0" applyFont="1" applyBorder="1"/>
    <xf numFmtId="0" fontId="2" fillId="0" borderId="0" xfId="0" applyFont="1"/>
    <xf numFmtId="0" fontId="5" fillId="0" borderId="0" xfId="0" applyFont="1" applyAlignment="1">
      <alignment horizontal="right"/>
    </xf>
    <xf numFmtId="0" fontId="6" fillId="2" borderId="3" xfId="0" applyFont="1" applyFill="1" applyBorder="1"/>
    <xf numFmtId="0" fontId="7" fillId="2" borderId="4" xfId="0" applyFont="1" applyFill="1" applyBorder="1"/>
    <xf numFmtId="0" fontId="8" fillId="2" borderId="5" xfId="0" applyFont="1" applyFill="1" applyBorder="1"/>
    <xf numFmtId="0" fontId="9" fillId="3" borderId="6" xfId="0" applyFont="1" applyFill="1" applyBorder="1"/>
    <xf numFmtId="0" fontId="9" fillId="3" borderId="7" xfId="0" applyFont="1" applyFill="1" applyBorder="1"/>
    <xf numFmtId="0" fontId="9" fillId="3" borderId="8" xfId="0" applyFont="1" applyFill="1" applyBorder="1"/>
    <xf numFmtId="0" fontId="10" fillId="4" borderId="3" xfId="0" applyFont="1" applyFill="1" applyBorder="1"/>
    <xf numFmtId="0" fontId="11" fillId="4" borderId="4" xfId="0" applyFont="1" applyFill="1" applyBorder="1"/>
    <xf numFmtId="0" fontId="11" fillId="4" borderId="5" xfId="0" applyFont="1" applyFill="1" applyBorder="1"/>
    <xf numFmtId="0" fontId="4" fillId="5" borderId="3" xfId="0" applyFont="1" applyFill="1" applyBorder="1"/>
    <xf numFmtId="0" fontId="12" fillId="5" borderId="4" xfId="0" applyFont="1" applyFill="1" applyBorder="1"/>
    <xf numFmtId="0" fontId="12" fillId="5" borderId="5" xfId="0" applyFont="1" applyFill="1" applyBorder="1"/>
    <xf numFmtId="0" fontId="10" fillId="6" borderId="3" xfId="0" applyFont="1" applyFill="1" applyBorder="1"/>
    <xf numFmtId="0" fontId="11" fillId="6" borderId="4" xfId="0" applyFont="1" applyFill="1" applyBorder="1"/>
    <xf numFmtId="0" fontId="11" fillId="6" borderId="5" xfId="0" applyFont="1" applyFill="1" applyBorder="1"/>
    <xf numFmtId="0" fontId="2" fillId="7" borderId="9" xfId="0" applyFont="1" applyFill="1" applyBorder="1"/>
    <xf numFmtId="0" fontId="0" fillId="7" borderId="10" xfId="0" applyFill="1" applyBorder="1"/>
    <xf numFmtId="0" fontId="0" fillId="7" borderId="11" xfId="0" applyFill="1" applyBorder="1"/>
    <xf numFmtId="0" fontId="13" fillId="8" borderId="6" xfId="0" applyFont="1" applyFill="1" applyBorder="1"/>
    <xf numFmtId="0" fontId="14" fillId="8" borderId="7" xfId="0" applyFont="1" applyFill="1" applyBorder="1"/>
    <xf numFmtId="0" fontId="14" fillId="8" borderId="8" xfId="0" applyFont="1" applyFill="1" applyBorder="1"/>
    <xf numFmtId="0" fontId="6" fillId="9" borderId="3" xfId="0" applyFont="1" applyFill="1" applyBorder="1"/>
    <xf numFmtId="0" fontId="14" fillId="9" borderId="4" xfId="0" applyFont="1" applyFill="1" applyBorder="1"/>
    <xf numFmtId="0" fontId="14" fillId="9" borderId="5" xfId="0" applyFont="1" applyFill="1" applyBorder="1"/>
    <xf numFmtId="0" fontId="0" fillId="10" borderId="0" xfId="0" applyFill="1" applyAlignment="1" applyProtection="1">
      <alignment horizontal="left" indent="1"/>
      <protection locked="0"/>
    </xf>
    <xf numFmtId="0" fontId="0" fillId="10" borderId="0" xfId="0" applyFill="1" applyProtection="1">
      <protection locked="0"/>
    </xf>
    <xf numFmtId="0" fontId="0" fillId="0" borderId="1" xfId="0" applyBorder="1"/>
    <xf numFmtId="0" fontId="0" fillId="0" borderId="2" xfId="0" applyBorder="1"/>
    <xf numFmtId="0" fontId="6" fillId="2" borderId="12" xfId="0" applyFont="1" applyFill="1" applyBorder="1"/>
    <xf numFmtId="0" fontId="8" fillId="2" borderId="0" xfId="0" applyFont="1" applyFill="1"/>
    <xf numFmtId="0" fontId="8" fillId="2" borderId="13" xfId="0" applyFont="1" applyFill="1" applyBorder="1"/>
    <xf numFmtId="0" fontId="9" fillId="3" borderId="14" xfId="0" applyFont="1" applyFill="1" applyBorder="1"/>
    <xf numFmtId="0" fontId="5" fillId="3" borderId="0" xfId="0" applyFont="1" applyFill="1"/>
    <xf numFmtId="0" fontId="9" fillId="3" borderId="0" xfId="0" applyFont="1" applyFill="1"/>
    <xf numFmtId="0" fontId="9" fillId="3" borderId="15" xfId="0" applyFont="1" applyFill="1" applyBorder="1"/>
    <xf numFmtId="0" fontId="11" fillId="4" borderId="16" xfId="0" applyFont="1" applyFill="1" applyBorder="1"/>
    <xf numFmtId="0" fontId="11" fillId="4" borderId="17" xfId="0" applyFont="1" applyFill="1" applyBorder="1"/>
    <xf numFmtId="0" fontId="11" fillId="4" borderId="18" xfId="0" applyFont="1" applyFill="1" applyBorder="1"/>
    <xf numFmtId="0" fontId="12" fillId="5" borderId="12" xfId="0" applyFont="1" applyFill="1" applyBorder="1"/>
    <xf numFmtId="0" fontId="12" fillId="5" borderId="0" xfId="0" applyFont="1" applyFill="1"/>
    <xf numFmtId="0" fontId="12" fillId="5" borderId="13" xfId="0" applyFont="1" applyFill="1" applyBorder="1"/>
    <xf numFmtId="0" fontId="11" fillId="6" borderId="12" xfId="0" applyFont="1" applyFill="1" applyBorder="1"/>
    <xf numFmtId="0" fontId="11" fillId="6" borderId="0" xfId="0" applyFont="1" applyFill="1"/>
    <xf numFmtId="0" fontId="11" fillId="6" borderId="13" xfId="0" applyFont="1" applyFill="1" applyBorder="1"/>
    <xf numFmtId="0" fontId="0" fillId="11" borderId="19" xfId="0" applyFill="1" applyBorder="1" applyAlignment="1">
      <alignment horizontal="center"/>
    </xf>
    <xf numFmtId="0" fontId="5" fillId="11" borderId="20" xfId="0" applyFont="1" applyFill="1" applyBorder="1" applyAlignment="1">
      <alignment horizontal="center"/>
    </xf>
    <xf numFmtId="0" fontId="5" fillId="11" borderId="21" xfId="0" applyFont="1" applyFill="1" applyBorder="1" applyAlignment="1">
      <alignment horizontal="center"/>
    </xf>
    <xf numFmtId="0" fontId="5" fillId="11" borderId="22" xfId="0" applyFont="1" applyFill="1" applyBorder="1" applyAlignment="1">
      <alignment horizontal="center"/>
    </xf>
    <xf numFmtId="0" fontId="14" fillId="8" borderId="23" xfId="0" applyFont="1" applyFill="1" applyBorder="1"/>
    <xf numFmtId="0" fontId="14" fillId="8" borderId="17" xfId="0" applyFont="1" applyFill="1" applyBorder="1"/>
    <xf numFmtId="0" fontId="14" fillId="8" borderId="24" xfId="0" applyFont="1" applyFill="1" applyBorder="1"/>
    <xf numFmtId="0" fontId="14" fillId="9" borderId="12" xfId="0" applyFont="1" applyFill="1" applyBorder="1"/>
    <xf numFmtId="0" fontId="14" fillId="9" borderId="0" xfId="0" applyFont="1" applyFill="1"/>
    <xf numFmtId="0" fontId="14" fillId="9" borderId="13" xfId="0" applyFont="1" applyFill="1" applyBorder="1"/>
    <xf numFmtId="0" fontId="15" fillId="12" borderId="25" xfId="0" applyFont="1" applyFill="1" applyBorder="1" applyAlignment="1">
      <alignment horizontal="left" indent="1"/>
    </xf>
    <xf numFmtId="0" fontId="0" fillId="12" borderId="26" xfId="0" applyFill="1" applyBorder="1"/>
    <xf numFmtId="0" fontId="0" fillId="12" borderId="27" xfId="0" applyFill="1" applyBorder="1"/>
    <xf numFmtId="0" fontId="15" fillId="13" borderId="25" xfId="0" applyFont="1" applyFill="1" applyBorder="1"/>
    <xf numFmtId="0" fontId="11" fillId="13" borderId="26" xfId="0" applyFont="1" applyFill="1" applyBorder="1"/>
    <xf numFmtId="0" fontId="16" fillId="13" borderId="27" xfId="0" applyFont="1" applyFill="1" applyBorder="1" applyAlignment="1">
      <alignment horizontal="right" indent="1"/>
    </xf>
    <xf numFmtId="0" fontId="12" fillId="14" borderId="28" xfId="0" applyFont="1" applyFill="1" applyBorder="1"/>
    <xf numFmtId="0" fontId="12" fillId="14" borderId="7" xfId="0" applyFont="1" applyFill="1" applyBorder="1"/>
    <xf numFmtId="0" fontId="12" fillId="14" borderId="29" xfId="0" applyFont="1" applyFill="1" applyBorder="1"/>
    <xf numFmtId="0" fontId="17" fillId="3" borderId="0" xfId="0" applyFont="1" applyFill="1"/>
    <xf numFmtId="0" fontId="11" fillId="15" borderId="12" xfId="0" applyFont="1" applyFill="1" applyBorder="1"/>
    <xf numFmtId="0" fontId="11" fillId="15" borderId="0" xfId="0" applyFont="1" applyFill="1"/>
    <xf numFmtId="0" fontId="11" fillId="15" borderId="13" xfId="0" applyFont="1" applyFill="1" applyBorder="1" applyAlignment="1">
      <alignment horizontal="right"/>
    </xf>
    <xf numFmtId="0" fontId="12" fillId="16" borderId="12" xfId="0" applyFont="1" applyFill="1" applyBorder="1"/>
    <xf numFmtId="0" fontId="12" fillId="16" borderId="0" xfId="0" applyFont="1" applyFill="1"/>
    <xf numFmtId="0" fontId="12" fillId="16" borderId="13" xfId="0" applyFont="1" applyFill="1" applyBorder="1" applyAlignment="1">
      <alignment horizontal="right"/>
    </xf>
    <xf numFmtId="0" fontId="12" fillId="17" borderId="12" xfId="0" applyFont="1" applyFill="1" applyBorder="1"/>
    <xf numFmtId="0" fontId="12" fillId="17" borderId="0" xfId="0" applyFont="1" applyFill="1"/>
    <xf numFmtId="0" fontId="12" fillId="17" borderId="13" xfId="0" applyFont="1" applyFill="1" applyBorder="1" applyAlignment="1">
      <alignment horizontal="right"/>
    </xf>
    <xf numFmtId="0" fontId="18" fillId="14" borderId="19" xfId="0" applyFont="1" applyFill="1" applyBorder="1"/>
    <xf numFmtId="3" fontId="18" fillId="0" borderId="30" xfId="0" applyNumberFormat="1" applyFont="1" applyBorder="1" applyAlignment="1" applyProtection="1">
      <alignment horizontal="center"/>
      <protection locked="0"/>
    </xf>
    <xf numFmtId="3" fontId="18" fillId="0" borderId="31" xfId="0" applyNumberFormat="1" applyFont="1" applyBorder="1" applyAlignment="1" applyProtection="1">
      <alignment horizontal="center"/>
      <protection locked="0"/>
    </xf>
    <xf numFmtId="0" fontId="0" fillId="14" borderId="14" xfId="0" applyFill="1" applyBorder="1"/>
    <xf numFmtId="0" fontId="0" fillId="14" borderId="0" xfId="0" applyFill="1"/>
    <xf numFmtId="0" fontId="0" fillId="14" borderId="32" xfId="0" applyFill="1" applyBorder="1"/>
    <xf numFmtId="0" fontId="0" fillId="14" borderId="33" xfId="0" applyFill="1" applyBorder="1"/>
    <xf numFmtId="0" fontId="14" fillId="18" borderId="12" xfId="0" applyFont="1" applyFill="1" applyBorder="1"/>
    <xf numFmtId="0" fontId="12" fillId="18" borderId="0" xfId="0" applyFont="1" applyFill="1"/>
    <xf numFmtId="0" fontId="12" fillId="18" borderId="13" xfId="0" applyFont="1" applyFill="1" applyBorder="1" applyAlignment="1">
      <alignment horizontal="right"/>
    </xf>
    <xf numFmtId="0" fontId="5" fillId="19" borderId="34" xfId="0" applyFont="1" applyFill="1" applyBorder="1" applyAlignment="1">
      <alignment horizontal="left" indent="1"/>
    </xf>
    <xf numFmtId="0" fontId="0" fillId="19" borderId="35" xfId="0" applyFill="1" applyBorder="1"/>
    <xf numFmtId="0" fontId="18" fillId="19" borderId="37" xfId="0" applyFont="1" applyFill="1" applyBorder="1"/>
    <xf numFmtId="0" fontId="0" fillId="19" borderId="38" xfId="0" applyFill="1" applyBorder="1"/>
    <xf numFmtId="3" fontId="19" fillId="20" borderId="39" xfId="0" applyNumberFormat="1" applyFont="1" applyFill="1" applyBorder="1" applyAlignment="1">
      <alignment horizontal="right" indent="1"/>
    </xf>
    <xf numFmtId="0" fontId="12" fillId="14" borderId="12" xfId="0" applyFont="1" applyFill="1" applyBorder="1"/>
    <xf numFmtId="0" fontId="12" fillId="14" borderId="13" xfId="0" applyFont="1" applyFill="1" applyBorder="1"/>
    <xf numFmtId="0" fontId="4" fillId="3" borderId="14" xfId="0" applyFont="1" applyFill="1" applyBorder="1"/>
    <xf numFmtId="0" fontId="12" fillId="3" borderId="0" xfId="0" applyFont="1" applyFill="1"/>
    <xf numFmtId="0" fontId="18" fillId="21" borderId="13" xfId="0" applyFont="1" applyFill="1" applyBorder="1"/>
    <xf numFmtId="0" fontId="18" fillId="0" borderId="44" xfId="0" applyFont="1" applyBorder="1" applyProtection="1">
      <protection locked="0"/>
    </xf>
    <xf numFmtId="0" fontId="18" fillId="0" borderId="45" xfId="0" applyFont="1" applyBorder="1" applyProtection="1">
      <protection locked="0"/>
    </xf>
    <xf numFmtId="0" fontId="18" fillId="0" borderId="46" xfId="0" applyFont="1" applyBorder="1" applyProtection="1">
      <protection locked="0"/>
    </xf>
    <xf numFmtId="3" fontId="18" fillId="0" borderId="47" xfId="0" applyNumberFormat="1" applyFont="1" applyBorder="1" applyProtection="1">
      <protection locked="0"/>
    </xf>
    <xf numFmtId="0" fontId="18" fillId="0" borderId="48" xfId="0" applyFont="1" applyBorder="1" applyProtection="1">
      <protection locked="0"/>
    </xf>
    <xf numFmtId="0" fontId="18" fillId="0" borderId="49" xfId="0" applyFont="1" applyBorder="1" applyProtection="1">
      <protection locked="0"/>
    </xf>
    <xf numFmtId="0" fontId="18" fillId="0" borderId="50" xfId="0" applyFont="1" applyBorder="1" applyProtection="1">
      <protection locked="0"/>
    </xf>
    <xf numFmtId="3" fontId="18" fillId="0" borderId="51" xfId="0" applyNumberFormat="1" applyFont="1" applyBorder="1" applyProtection="1">
      <protection locked="0"/>
    </xf>
    <xf numFmtId="0" fontId="18" fillId="14" borderId="19" xfId="0" applyFont="1" applyFill="1" applyBorder="1" applyAlignment="1">
      <alignment horizontal="left"/>
    </xf>
    <xf numFmtId="3" fontId="19" fillId="0" borderId="30" xfId="0" applyNumberFormat="1" applyFont="1" applyBorder="1" applyProtection="1">
      <protection locked="0"/>
    </xf>
    <xf numFmtId="3" fontId="19" fillId="0" borderId="31" xfId="0" applyNumberFormat="1" applyFont="1" applyBorder="1" applyProtection="1">
      <protection locked="0"/>
    </xf>
    <xf numFmtId="0" fontId="0" fillId="14" borderId="52" xfId="0" applyFill="1" applyBorder="1"/>
    <xf numFmtId="0" fontId="0" fillId="14" borderId="53" xfId="0" applyFill="1" applyBorder="1"/>
    <xf numFmtId="0" fontId="20" fillId="23" borderId="0" xfId="0" applyFont="1" applyFill="1"/>
    <xf numFmtId="0" fontId="20" fillId="23" borderId="0" xfId="0" applyFont="1" applyFill="1" applyAlignment="1">
      <alignment horizontal="center"/>
    </xf>
    <xf numFmtId="0" fontId="20" fillId="23" borderId="54" xfId="0" applyFont="1" applyFill="1" applyBorder="1" applyAlignment="1">
      <alignment horizontal="center"/>
    </xf>
    <xf numFmtId="0" fontId="5" fillId="19" borderId="55" xfId="0" applyFont="1" applyFill="1" applyBorder="1" applyAlignment="1">
      <alignment horizontal="left" indent="1"/>
    </xf>
    <xf numFmtId="0" fontId="0" fillId="19" borderId="56" xfId="0" applyFill="1" applyBorder="1"/>
    <xf numFmtId="0" fontId="18" fillId="19" borderId="58" xfId="0" applyFont="1" applyFill="1" applyBorder="1"/>
    <xf numFmtId="0" fontId="0" fillId="19" borderId="59" xfId="0" applyFill="1" applyBorder="1"/>
    <xf numFmtId="3" fontId="19" fillId="20" borderId="60" xfId="0" applyNumberFormat="1" applyFont="1" applyFill="1" applyBorder="1" applyAlignment="1">
      <alignment horizontal="right" indent="1"/>
    </xf>
    <xf numFmtId="0" fontId="18" fillId="0" borderId="61" xfId="0" applyFont="1" applyBorder="1" applyProtection="1">
      <protection locked="0"/>
    </xf>
    <xf numFmtId="0" fontId="18" fillId="0" borderId="62" xfId="0" applyFont="1" applyBorder="1" applyProtection="1">
      <protection locked="0"/>
    </xf>
    <xf numFmtId="3" fontId="18" fillId="0" borderId="63" xfId="0" applyNumberFormat="1" applyFont="1" applyBorder="1" applyProtection="1">
      <protection locked="0"/>
    </xf>
    <xf numFmtId="0" fontId="21" fillId="14" borderId="6" xfId="0" applyFont="1" applyFill="1" applyBorder="1"/>
    <xf numFmtId="0" fontId="21" fillId="14" borderId="7" xfId="0" applyFont="1" applyFill="1" applyBorder="1"/>
    <xf numFmtId="0" fontId="21" fillId="14" borderId="7" xfId="0" applyFont="1" applyFill="1" applyBorder="1" applyAlignment="1">
      <alignment horizontal="right"/>
    </xf>
    <xf numFmtId="0" fontId="21" fillId="14" borderId="8" xfId="0" applyFont="1" applyFill="1" applyBorder="1" applyAlignment="1">
      <alignment horizontal="right"/>
    </xf>
    <xf numFmtId="0" fontId="18" fillId="0" borderId="66" xfId="0" applyFont="1" applyBorder="1" applyProtection="1">
      <protection locked="0"/>
    </xf>
    <xf numFmtId="0" fontId="18" fillId="0" borderId="67" xfId="0" applyFont="1" applyBorder="1" applyProtection="1">
      <protection locked="0"/>
    </xf>
    <xf numFmtId="0" fontId="18" fillId="0" borderId="68" xfId="0" applyFont="1" applyBorder="1" applyProtection="1">
      <protection locked="0"/>
    </xf>
    <xf numFmtId="3" fontId="18" fillId="0" borderId="69" xfId="0" applyNumberFormat="1" applyFont="1" applyBorder="1" applyProtection="1">
      <protection locked="0"/>
    </xf>
    <xf numFmtId="0" fontId="18" fillId="0" borderId="70" xfId="0" applyFont="1" applyBorder="1" applyProtection="1">
      <protection locked="0"/>
    </xf>
    <xf numFmtId="0" fontId="18" fillId="0" borderId="71" xfId="0" applyFont="1" applyBorder="1" applyProtection="1">
      <protection locked="0"/>
    </xf>
    <xf numFmtId="0" fontId="18" fillId="0" borderId="72" xfId="0" applyFont="1" applyBorder="1" applyProtection="1">
      <protection locked="0"/>
    </xf>
    <xf numFmtId="3" fontId="18" fillId="0" borderId="73" xfId="0" applyNumberFormat="1" applyFont="1" applyBorder="1" applyProtection="1">
      <protection locked="0"/>
    </xf>
    <xf numFmtId="0" fontId="18" fillId="24" borderId="19" xfId="0" applyFont="1" applyFill="1" applyBorder="1"/>
    <xf numFmtId="0" fontId="19" fillId="24" borderId="0" xfId="0" applyFont="1" applyFill="1"/>
    <xf numFmtId="0" fontId="18" fillId="24" borderId="22" xfId="0" applyFont="1" applyFill="1" applyBorder="1" applyAlignment="1">
      <alignment horizontal="right"/>
    </xf>
    <xf numFmtId="0" fontId="0" fillId="0" borderId="74" xfId="0" applyBorder="1" applyProtection="1">
      <protection locked="0"/>
    </xf>
    <xf numFmtId="0" fontId="0" fillId="0" borderId="62" xfId="0" applyBorder="1" applyProtection="1">
      <protection locked="0"/>
    </xf>
    <xf numFmtId="2" fontId="0" fillId="0" borderId="21" xfId="0" applyNumberFormat="1" applyBorder="1" applyProtection="1">
      <protection locked="0"/>
    </xf>
    <xf numFmtId="3" fontId="0" fillId="0" borderId="75" xfId="0" applyNumberFormat="1" applyBorder="1" applyProtection="1">
      <protection locked="0"/>
    </xf>
    <xf numFmtId="0" fontId="23" fillId="21" borderId="48" xfId="0" applyFont="1" applyFill="1" applyBorder="1" applyProtection="1">
      <protection locked="0"/>
    </xf>
    <xf numFmtId="0" fontId="18" fillId="21" borderId="49" xfId="0" applyFont="1" applyFill="1" applyBorder="1" applyProtection="1">
      <protection locked="0"/>
    </xf>
    <xf numFmtId="4" fontId="18" fillId="21" borderId="76" xfId="0" applyNumberFormat="1" applyFont="1" applyFill="1" applyBorder="1" applyProtection="1">
      <protection locked="0"/>
    </xf>
    <xf numFmtId="0" fontId="18" fillId="0" borderId="0" xfId="0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21" fillId="21" borderId="77" xfId="0" applyFont="1" applyFill="1" applyBorder="1" applyProtection="1">
      <protection locked="0"/>
    </xf>
    <xf numFmtId="0" fontId="21" fillId="21" borderId="78" xfId="0" applyFont="1" applyFill="1" applyBorder="1" applyProtection="1">
      <protection locked="0"/>
    </xf>
    <xf numFmtId="0" fontId="21" fillId="21" borderId="79" xfId="0" applyFont="1" applyFill="1" applyBorder="1" applyProtection="1">
      <protection locked="0"/>
    </xf>
    <xf numFmtId="9" fontId="21" fillId="0" borderId="80" xfId="0" applyNumberFormat="1" applyFont="1" applyBorder="1" applyProtection="1">
      <protection locked="0"/>
    </xf>
    <xf numFmtId="2" fontId="21" fillId="0" borderId="81" xfId="0" applyNumberFormat="1" applyFont="1" applyBorder="1" applyProtection="1">
      <protection locked="0"/>
    </xf>
    <xf numFmtId="0" fontId="18" fillId="14" borderId="82" xfId="0" applyFont="1" applyFill="1" applyBorder="1"/>
    <xf numFmtId="3" fontId="19" fillId="0" borderId="21" xfId="0" applyNumberFormat="1" applyFont="1" applyBorder="1" applyProtection="1">
      <protection locked="0"/>
    </xf>
    <xf numFmtId="3" fontId="19" fillId="0" borderId="83" xfId="0" applyNumberFormat="1" applyFont="1" applyBorder="1" applyProtection="1">
      <protection locked="0"/>
    </xf>
    <xf numFmtId="0" fontId="18" fillId="21" borderId="70" xfId="0" applyFont="1" applyFill="1" applyBorder="1" applyProtection="1">
      <protection locked="0"/>
    </xf>
    <xf numFmtId="0" fontId="18" fillId="21" borderId="71" xfId="0" applyFont="1" applyFill="1" applyBorder="1" applyProtection="1">
      <protection locked="0"/>
    </xf>
    <xf numFmtId="4" fontId="18" fillId="0" borderId="72" xfId="0" applyNumberFormat="1" applyFont="1" applyBorder="1" applyProtection="1">
      <protection locked="0"/>
    </xf>
    <xf numFmtId="4" fontId="18" fillId="0" borderId="73" xfId="0" applyNumberFormat="1" applyFont="1" applyBorder="1" applyProtection="1">
      <protection locked="0"/>
    </xf>
    <xf numFmtId="0" fontId="15" fillId="12" borderId="84" xfId="0" applyFont="1" applyFill="1" applyBorder="1" applyAlignment="1">
      <alignment horizontal="left" indent="1"/>
    </xf>
    <xf numFmtId="0" fontId="11" fillId="12" borderId="85" xfId="0" applyFont="1" applyFill="1" applyBorder="1"/>
    <xf numFmtId="0" fontId="11" fillId="12" borderId="86" xfId="0" applyFont="1" applyFill="1" applyBorder="1"/>
    <xf numFmtId="0" fontId="18" fillId="0" borderId="40" xfId="0" applyFont="1" applyBorder="1" applyProtection="1">
      <protection locked="0"/>
    </xf>
    <xf numFmtId="0" fontId="18" fillId="0" borderId="87" xfId="0" applyFont="1" applyBorder="1" applyProtection="1">
      <protection locked="0"/>
    </xf>
    <xf numFmtId="3" fontId="18" fillId="0" borderId="88" xfId="0" applyNumberFormat="1" applyFont="1" applyBorder="1" applyProtection="1">
      <protection locked="0"/>
    </xf>
    <xf numFmtId="0" fontId="21" fillId="0" borderId="89" xfId="0" applyFont="1" applyBorder="1" applyProtection="1">
      <protection locked="0"/>
    </xf>
    <xf numFmtId="0" fontId="21" fillId="0" borderId="67" xfId="0" applyFont="1" applyBorder="1" applyProtection="1">
      <protection locked="0"/>
    </xf>
    <xf numFmtId="0" fontId="21" fillId="0" borderId="90" xfId="0" applyFont="1" applyBorder="1" applyProtection="1">
      <protection locked="0"/>
    </xf>
    <xf numFmtId="9" fontId="21" fillId="0" borderId="91" xfId="0" applyNumberFormat="1" applyFont="1" applyBorder="1" applyProtection="1">
      <protection locked="0"/>
    </xf>
    <xf numFmtId="2" fontId="21" fillId="0" borderId="92" xfId="0" applyNumberFormat="1" applyFont="1" applyBorder="1" applyProtection="1">
      <protection locked="0"/>
    </xf>
    <xf numFmtId="0" fontId="18" fillId="14" borderId="93" xfId="0" applyFont="1" applyFill="1" applyBorder="1"/>
    <xf numFmtId="0" fontId="19" fillId="0" borderId="74" xfId="0" applyFont="1" applyBorder="1" applyProtection="1">
      <protection locked="0"/>
    </xf>
    <xf numFmtId="0" fontId="19" fillId="0" borderId="62" xfId="0" applyFont="1" applyBorder="1" applyProtection="1">
      <protection locked="0"/>
    </xf>
    <xf numFmtId="2" fontId="19" fillId="0" borderId="21" xfId="0" applyNumberFormat="1" applyFont="1" applyBorder="1" applyProtection="1">
      <protection locked="0"/>
    </xf>
    <xf numFmtId="3" fontId="19" fillId="0" borderId="75" xfId="0" applyNumberFormat="1" applyFont="1" applyBorder="1" applyProtection="1">
      <protection locked="0"/>
    </xf>
    <xf numFmtId="4" fontId="18" fillId="25" borderId="94" xfId="0" applyNumberFormat="1" applyFont="1" applyFill="1" applyBorder="1" applyProtection="1">
      <protection locked="0"/>
    </xf>
    <xf numFmtId="0" fontId="5" fillId="19" borderId="95" xfId="0" applyFont="1" applyFill="1" applyBorder="1" applyAlignment="1">
      <alignment horizontal="left" indent="1"/>
    </xf>
    <xf numFmtId="0" fontId="0" fillId="19" borderId="96" xfId="0" applyFill="1" applyBorder="1"/>
    <xf numFmtId="0" fontId="18" fillId="19" borderId="58" xfId="0" applyFont="1" applyFill="1" applyBorder="1" applyAlignment="1">
      <alignment horizontal="left"/>
    </xf>
    <xf numFmtId="0" fontId="19" fillId="0" borderId="100" xfId="0" applyFont="1" applyBorder="1" applyProtection="1">
      <protection locked="0"/>
    </xf>
    <xf numFmtId="0" fontId="19" fillId="0" borderId="87" xfId="0" applyFont="1" applyBorder="1" applyProtection="1">
      <protection locked="0"/>
    </xf>
    <xf numFmtId="2" fontId="19" fillId="0" borderId="30" xfId="0" applyNumberFormat="1" applyFont="1" applyBorder="1" applyProtection="1">
      <protection locked="0"/>
    </xf>
    <xf numFmtId="3" fontId="19" fillId="0" borderId="101" xfId="0" applyNumberFormat="1" applyFont="1" applyBorder="1" applyProtection="1">
      <protection locked="0"/>
    </xf>
    <xf numFmtId="4" fontId="18" fillId="25" borderId="102" xfId="0" applyNumberFormat="1" applyFont="1" applyFill="1" applyBorder="1"/>
    <xf numFmtId="4" fontId="18" fillId="25" borderId="103" xfId="0" applyNumberFormat="1" applyFont="1" applyFill="1" applyBorder="1"/>
    <xf numFmtId="0" fontId="5" fillId="19" borderId="58" xfId="0" applyFont="1" applyFill="1" applyBorder="1" applyAlignment="1">
      <alignment horizontal="left" indent="1"/>
    </xf>
    <xf numFmtId="3" fontId="19" fillId="0" borderId="60" xfId="0" applyNumberFormat="1" applyFont="1" applyBorder="1" applyAlignment="1" applyProtection="1">
      <alignment horizontal="right" indent="1"/>
      <protection locked="0"/>
    </xf>
    <xf numFmtId="0" fontId="24" fillId="14" borderId="12" xfId="0" applyFont="1" applyFill="1" applyBorder="1"/>
    <xf numFmtId="0" fontId="19" fillId="14" borderId="0" xfId="0" applyFont="1" applyFill="1"/>
    <xf numFmtId="3" fontId="22" fillId="14" borderId="105" xfId="0" applyNumberFormat="1" applyFont="1" applyFill="1" applyBorder="1"/>
    <xf numFmtId="0" fontId="25" fillId="24" borderId="22" xfId="0" applyFont="1" applyFill="1" applyBorder="1"/>
    <xf numFmtId="0" fontId="18" fillId="26" borderId="70" xfId="0" applyFont="1" applyFill="1" applyBorder="1" applyProtection="1">
      <protection locked="0"/>
    </xf>
    <xf numFmtId="0" fontId="18" fillId="26" borderId="71" xfId="0" applyFont="1" applyFill="1" applyBorder="1" applyProtection="1">
      <protection locked="0"/>
    </xf>
    <xf numFmtId="166" fontId="18" fillId="26" borderId="106" xfId="0" applyNumberFormat="1" applyFont="1" applyFill="1" applyBorder="1" applyProtection="1">
      <protection locked="0"/>
    </xf>
    <xf numFmtId="4" fontId="18" fillId="26" borderId="107" xfId="0" applyNumberFormat="1" applyFont="1" applyFill="1" applyBorder="1" applyProtection="1">
      <protection locked="0"/>
    </xf>
    <xf numFmtId="0" fontId="0" fillId="0" borderId="108" xfId="0" applyBorder="1" applyAlignment="1" applyProtection="1">
      <alignment horizontal="left"/>
      <protection locked="0"/>
    </xf>
    <xf numFmtId="3" fontId="19" fillId="0" borderId="109" xfId="0" applyNumberFormat="1" applyFont="1" applyBorder="1" applyAlignment="1" applyProtection="1">
      <alignment horizontal="right" indent="1"/>
      <protection locked="0"/>
    </xf>
    <xf numFmtId="0" fontId="18" fillId="0" borderId="110" xfId="0" applyFont="1" applyBorder="1" applyProtection="1">
      <protection locked="0"/>
    </xf>
    <xf numFmtId="0" fontId="18" fillId="0" borderId="111" xfId="0" applyFont="1" applyBorder="1" applyProtection="1">
      <protection locked="0"/>
    </xf>
    <xf numFmtId="0" fontId="21" fillId="0" borderId="112" xfId="0" applyFont="1" applyBorder="1" applyProtection="1">
      <protection locked="0"/>
    </xf>
    <xf numFmtId="0" fontId="21" fillId="0" borderId="113" xfId="0" applyFont="1" applyBorder="1" applyProtection="1">
      <protection locked="0"/>
    </xf>
    <xf numFmtId="0" fontId="21" fillId="0" borderId="114" xfId="0" applyFont="1" applyBorder="1" applyProtection="1">
      <protection locked="0"/>
    </xf>
    <xf numFmtId="9" fontId="21" fillId="0" borderId="115" xfId="0" applyNumberFormat="1" applyFont="1" applyBorder="1" applyProtection="1">
      <protection locked="0"/>
    </xf>
    <xf numFmtId="2" fontId="21" fillId="0" borderId="116" xfId="0" applyNumberFormat="1" applyFont="1" applyBorder="1" applyProtection="1">
      <protection locked="0"/>
    </xf>
    <xf numFmtId="0" fontId="18" fillId="14" borderId="12" xfId="0" applyFont="1" applyFill="1" applyBorder="1"/>
    <xf numFmtId="0" fontId="18" fillId="14" borderId="0" xfId="0" applyFont="1" applyFill="1" applyAlignment="1" applyProtection="1">
      <alignment horizontal="center"/>
      <protection locked="0"/>
    </xf>
    <xf numFmtId="0" fontId="18" fillId="14" borderId="0" xfId="0" applyFont="1" applyFill="1" applyAlignment="1">
      <alignment horizontal="center"/>
    </xf>
    <xf numFmtId="0" fontId="18" fillId="14" borderId="13" xfId="0" applyFont="1" applyFill="1" applyBorder="1"/>
    <xf numFmtId="0" fontId="26" fillId="23" borderId="0" xfId="0" applyFont="1" applyFill="1"/>
    <xf numFmtId="0" fontId="26" fillId="23" borderId="0" xfId="0" applyFont="1" applyFill="1" applyAlignment="1">
      <alignment horizontal="center"/>
    </xf>
    <xf numFmtId="0" fontId="26" fillId="23" borderId="117" xfId="0" applyFont="1" applyFill="1" applyBorder="1" applyAlignment="1">
      <alignment horizontal="center"/>
    </xf>
    <xf numFmtId="0" fontId="18" fillId="19" borderId="118" xfId="0" applyFont="1" applyFill="1" applyBorder="1"/>
    <xf numFmtId="0" fontId="4" fillId="19" borderId="119" xfId="0" applyFont="1" applyFill="1" applyBorder="1"/>
    <xf numFmtId="3" fontId="27" fillId="27" borderId="120" xfId="0" applyNumberFormat="1" applyFont="1" applyFill="1" applyBorder="1" applyAlignment="1">
      <alignment horizontal="right" indent="1"/>
    </xf>
    <xf numFmtId="3" fontId="18" fillId="0" borderId="121" xfId="0" applyNumberFormat="1" applyFont="1" applyBorder="1" applyProtection="1">
      <protection locked="0"/>
    </xf>
    <xf numFmtId="0" fontId="21" fillId="21" borderId="122" xfId="0" applyFont="1" applyFill="1" applyBorder="1"/>
    <xf numFmtId="0" fontId="21" fillId="21" borderId="0" xfId="0" applyFont="1" applyFill="1"/>
    <xf numFmtId="9" fontId="21" fillId="28" borderId="123" xfId="0" applyNumberFormat="1" applyFont="1" applyFill="1" applyBorder="1"/>
    <xf numFmtId="2" fontId="21" fillId="0" borderId="124" xfId="0" applyNumberFormat="1" applyFont="1" applyBorder="1" applyProtection="1">
      <protection locked="0"/>
    </xf>
    <xf numFmtId="0" fontId="18" fillId="21" borderId="40" xfId="0" applyFont="1" applyFill="1" applyBorder="1"/>
    <xf numFmtId="0" fontId="18" fillId="21" borderId="87" xfId="0" applyFont="1" applyFill="1" applyBorder="1"/>
    <xf numFmtId="0" fontId="18" fillId="21" borderId="41" xfId="0" applyFont="1" applyFill="1" applyBorder="1"/>
    <xf numFmtId="3" fontId="18" fillId="22" borderId="125" xfId="0" applyNumberFormat="1" applyFont="1" applyFill="1" applyBorder="1"/>
    <xf numFmtId="3" fontId="18" fillId="21" borderId="117" xfId="0" applyNumberFormat="1" applyFont="1" applyFill="1" applyBorder="1"/>
    <xf numFmtId="0" fontId="18" fillId="21" borderId="71" xfId="0" applyFont="1" applyFill="1" applyBorder="1" applyAlignment="1" applyProtection="1">
      <alignment horizontal="right"/>
      <protection locked="0"/>
    </xf>
    <xf numFmtId="164" fontId="18" fillId="0" borderId="72" xfId="0" applyNumberFormat="1" applyFont="1" applyBorder="1" applyProtection="1">
      <protection locked="0"/>
    </xf>
    <xf numFmtId="164" fontId="18" fillId="0" borderId="73" xfId="0" applyNumberFormat="1" applyFont="1" applyBorder="1" applyProtection="1">
      <protection locked="0"/>
    </xf>
    <xf numFmtId="0" fontId="19" fillId="0" borderId="0" xfId="0" applyFont="1" applyProtection="1">
      <protection locked="0"/>
    </xf>
    <xf numFmtId="0" fontId="12" fillId="14" borderId="126" xfId="0" applyFont="1" applyFill="1" applyBorder="1"/>
    <xf numFmtId="0" fontId="0" fillId="14" borderId="127" xfId="0" applyFill="1" applyBorder="1"/>
    <xf numFmtId="3" fontId="19" fillId="22" borderId="128" xfId="0" applyNumberFormat="1" applyFont="1" applyFill="1" applyBorder="1"/>
    <xf numFmtId="0" fontId="21" fillId="21" borderId="129" xfId="0" applyFont="1" applyFill="1" applyBorder="1"/>
    <xf numFmtId="0" fontId="21" fillId="21" borderId="130" xfId="0" applyFont="1" applyFill="1" applyBorder="1"/>
    <xf numFmtId="9" fontId="21" fillId="22" borderId="131" xfId="0" applyNumberFormat="1" applyFont="1" applyFill="1" applyBorder="1"/>
    <xf numFmtId="2" fontId="21" fillId="22" borderId="132" xfId="0" applyNumberFormat="1" applyFont="1" applyFill="1" applyBorder="1"/>
    <xf numFmtId="3" fontId="18" fillId="22" borderId="65" xfId="0" applyNumberFormat="1" applyFont="1" applyFill="1" applyBorder="1"/>
    <xf numFmtId="0" fontId="19" fillId="14" borderId="19" xfId="0" applyFont="1" applyFill="1" applyBorder="1"/>
    <xf numFmtId="0" fontId="19" fillId="14" borderId="22" xfId="0" applyFont="1" applyFill="1" applyBorder="1"/>
    <xf numFmtId="164" fontId="18" fillId="0" borderId="94" xfId="0" applyNumberFormat="1" applyFont="1" applyBorder="1" applyProtection="1">
      <protection locked="0"/>
    </xf>
    <xf numFmtId="0" fontId="0" fillId="29" borderId="12" xfId="0" applyFill="1" applyBorder="1"/>
    <xf numFmtId="0" fontId="0" fillId="29" borderId="0" xfId="0" applyFill="1"/>
    <xf numFmtId="0" fontId="0" fillId="29" borderId="13" xfId="0" applyFill="1" applyBorder="1"/>
    <xf numFmtId="0" fontId="28" fillId="14" borderId="14" xfId="0" applyFont="1" applyFill="1" applyBorder="1"/>
    <xf numFmtId="0" fontId="28" fillId="14" borderId="0" xfId="0" applyFont="1" applyFill="1"/>
    <xf numFmtId="0" fontId="28" fillId="14" borderId="15" xfId="0" applyFont="1" applyFill="1" applyBorder="1"/>
    <xf numFmtId="0" fontId="24" fillId="0" borderId="70" xfId="0" applyFont="1" applyBorder="1" applyProtection="1">
      <protection locked="0"/>
    </xf>
    <xf numFmtId="0" fontId="19" fillId="0" borderId="71" xfId="0" applyFont="1" applyBorder="1" applyProtection="1">
      <protection locked="0"/>
    </xf>
    <xf numFmtId="3" fontId="18" fillId="0" borderId="133" xfId="0" applyNumberFormat="1" applyFont="1" applyBorder="1" applyProtection="1">
      <protection locked="0"/>
    </xf>
    <xf numFmtId="0" fontId="11" fillId="12" borderId="26" xfId="0" applyFont="1" applyFill="1" applyBorder="1"/>
    <xf numFmtId="0" fontId="29" fillId="12" borderId="27" xfId="0" applyFont="1" applyFill="1" applyBorder="1" applyAlignment="1">
      <alignment horizontal="right"/>
    </xf>
    <xf numFmtId="0" fontId="30" fillId="13" borderId="25" xfId="0" applyFont="1" applyFill="1" applyBorder="1"/>
    <xf numFmtId="0" fontId="0" fillId="13" borderId="26" xfId="0" applyFill="1" applyBorder="1"/>
    <xf numFmtId="0" fontId="16" fillId="13" borderId="27" xfId="0" applyFont="1" applyFill="1" applyBorder="1" applyAlignment="1">
      <alignment horizontal="right"/>
    </xf>
    <xf numFmtId="0" fontId="31" fillId="14" borderId="127" xfId="0" applyFont="1" applyFill="1" applyBorder="1" applyAlignment="1">
      <alignment horizontal="right"/>
    </xf>
    <xf numFmtId="0" fontId="27" fillId="14" borderId="14" xfId="0" applyFont="1" applyFill="1" applyBorder="1"/>
    <xf numFmtId="0" fontId="18" fillId="14" borderId="0" xfId="0" applyFont="1" applyFill="1"/>
    <xf numFmtId="0" fontId="18" fillId="14" borderId="15" xfId="0" applyFont="1" applyFill="1" applyBorder="1"/>
    <xf numFmtId="0" fontId="18" fillId="0" borderId="135" xfId="0" applyFont="1" applyBorder="1" applyProtection="1">
      <protection locked="0"/>
    </xf>
    <xf numFmtId="4" fontId="19" fillId="22" borderId="21" xfId="0" applyNumberFormat="1" applyFont="1" applyFill="1" applyBorder="1"/>
    <xf numFmtId="4" fontId="19" fillId="22" borderId="83" xfId="0" applyNumberFormat="1" applyFont="1" applyFill="1" applyBorder="1"/>
    <xf numFmtId="2" fontId="19" fillId="20" borderId="39" xfId="0" applyNumberFormat="1" applyFont="1" applyFill="1" applyBorder="1" applyAlignment="1">
      <alignment horizontal="right" indent="1"/>
    </xf>
    <xf numFmtId="0" fontId="0" fillId="2" borderId="12" xfId="0" applyFill="1" applyBorder="1"/>
    <xf numFmtId="0" fontId="0" fillId="2" borderId="0" xfId="0" applyFill="1"/>
    <xf numFmtId="0" fontId="0" fillId="2" borderId="13" xfId="0" applyFill="1" applyBorder="1"/>
    <xf numFmtId="0" fontId="21" fillId="14" borderId="8" xfId="0" applyFont="1" applyFill="1" applyBorder="1"/>
    <xf numFmtId="4" fontId="19" fillId="22" borderId="30" xfId="0" applyNumberFormat="1" applyFont="1" applyFill="1" applyBorder="1"/>
    <xf numFmtId="4" fontId="19" fillId="22" borderId="31" xfId="0" applyNumberFormat="1" applyFont="1" applyFill="1" applyBorder="1"/>
    <xf numFmtId="2" fontId="19" fillId="20" borderId="60" xfId="0" applyNumberFormat="1" applyFont="1" applyFill="1" applyBorder="1" applyAlignment="1">
      <alignment horizontal="right" indent="1"/>
    </xf>
    <xf numFmtId="0" fontId="11" fillId="14" borderId="7" xfId="0" applyFont="1" applyFill="1" applyBorder="1"/>
    <xf numFmtId="0" fontId="11" fillId="14" borderId="29" xfId="0" applyFont="1" applyFill="1" applyBorder="1"/>
    <xf numFmtId="0" fontId="21" fillId="0" borderId="77" xfId="0" applyFont="1" applyBorder="1" applyProtection="1">
      <protection locked="0"/>
    </xf>
    <xf numFmtId="17" fontId="21" fillId="0" borderId="78" xfId="0" applyNumberFormat="1" applyFont="1" applyBorder="1" applyProtection="1">
      <protection locked="0"/>
    </xf>
    <xf numFmtId="0" fontId="21" fillId="0" borderId="79" xfId="0" applyFont="1" applyBorder="1" applyProtection="1">
      <protection locked="0"/>
    </xf>
    <xf numFmtId="4" fontId="21" fillId="0" borderId="81" xfId="0" applyNumberFormat="1" applyFont="1" applyBorder="1" applyProtection="1">
      <protection locked="0"/>
    </xf>
    <xf numFmtId="0" fontId="18" fillId="0" borderId="0" xfId="0" applyFont="1" applyAlignment="1">
      <alignment horizontal="left" indent="1"/>
    </xf>
    <xf numFmtId="0" fontId="12" fillId="14" borderId="0" xfId="0" applyFont="1" applyFill="1"/>
    <xf numFmtId="4" fontId="21" fillId="0" borderId="92" xfId="0" applyNumberFormat="1" applyFont="1" applyBorder="1" applyProtection="1">
      <protection locked="0"/>
    </xf>
    <xf numFmtId="0" fontId="18" fillId="0" borderId="136" xfId="0" applyFont="1" applyBorder="1" applyProtection="1">
      <protection locked="0"/>
    </xf>
    <xf numFmtId="0" fontId="18" fillId="0" borderId="137" xfId="0" applyFont="1" applyBorder="1" applyProtection="1">
      <protection locked="0"/>
    </xf>
    <xf numFmtId="164" fontId="18" fillId="25" borderId="138" xfId="0" applyNumberFormat="1" applyFont="1" applyFill="1" applyBorder="1"/>
    <xf numFmtId="164" fontId="18" fillId="25" borderId="139" xfId="0" applyNumberFormat="1" applyFont="1" applyFill="1" applyBorder="1"/>
    <xf numFmtId="0" fontId="16" fillId="12" borderId="25" xfId="0" applyFont="1" applyFill="1" applyBorder="1" applyAlignment="1">
      <alignment horizontal="left" indent="1"/>
    </xf>
    <xf numFmtId="0" fontId="14" fillId="12" borderId="26" xfId="0" applyFont="1" applyFill="1" applyBorder="1"/>
    <xf numFmtId="0" fontId="32" fillId="12" borderId="26" xfId="0" applyFont="1" applyFill="1" applyBorder="1" applyAlignment="1">
      <alignment horizontal="center"/>
    </xf>
    <xf numFmtId="0" fontId="32" fillId="12" borderId="27" xfId="0" applyFont="1" applyFill="1" applyBorder="1" applyAlignment="1">
      <alignment horizontal="right"/>
    </xf>
    <xf numFmtId="4" fontId="21" fillId="0" borderId="116" xfId="0" applyNumberFormat="1" applyFont="1" applyBorder="1" applyProtection="1">
      <protection locked="0"/>
    </xf>
    <xf numFmtId="0" fontId="22" fillId="0" borderId="140" xfId="0" applyFont="1" applyBorder="1" applyProtection="1">
      <protection locked="0"/>
    </xf>
    <xf numFmtId="0" fontId="22" fillId="0" borderId="141" xfId="0" applyFont="1" applyBorder="1" applyProtection="1">
      <protection locked="0"/>
    </xf>
    <xf numFmtId="3" fontId="18" fillId="0" borderId="142" xfId="0" applyNumberFormat="1" applyFont="1" applyBorder="1" applyProtection="1">
      <protection locked="0"/>
    </xf>
    <xf numFmtId="3" fontId="18" fillId="21" borderId="143" xfId="0" applyNumberFormat="1" applyFont="1" applyFill="1" applyBorder="1"/>
    <xf numFmtId="0" fontId="18" fillId="0" borderId="144" xfId="0" applyFont="1" applyBorder="1" applyProtection="1">
      <protection locked="0"/>
    </xf>
    <xf numFmtId="0" fontId="18" fillId="0" borderId="145" xfId="0" applyFont="1" applyBorder="1" applyProtection="1">
      <protection locked="0"/>
    </xf>
    <xf numFmtId="0" fontId="18" fillId="0" borderId="146" xfId="0" applyFont="1" applyBorder="1" applyProtection="1">
      <protection locked="0"/>
    </xf>
    <xf numFmtId="3" fontId="18" fillId="0" borderId="147" xfId="0" applyNumberFormat="1" applyFont="1" applyBorder="1" applyProtection="1">
      <protection locked="0"/>
    </xf>
    <xf numFmtId="0" fontId="18" fillId="0" borderId="140" xfId="0" applyFont="1" applyBorder="1" applyProtection="1">
      <protection locked="0"/>
    </xf>
    <xf numFmtId="0" fontId="18" fillId="0" borderId="141" xfId="0" applyFont="1" applyBorder="1" applyProtection="1">
      <protection locked="0"/>
    </xf>
    <xf numFmtId="0" fontId="18" fillId="0" borderId="148" xfId="0" applyFont="1" applyBorder="1" applyProtection="1">
      <protection locked="0"/>
    </xf>
    <xf numFmtId="3" fontId="18" fillId="0" borderId="149" xfId="0" applyNumberFormat="1" applyFont="1" applyBorder="1" applyProtection="1">
      <protection locked="0"/>
    </xf>
    <xf numFmtId="0" fontId="33" fillId="14" borderId="19" xfId="0" applyFont="1" applyFill="1" applyBorder="1"/>
    <xf numFmtId="0" fontId="34" fillId="21" borderId="71" xfId="0" applyFont="1" applyFill="1" applyBorder="1" applyProtection="1">
      <protection locked="0"/>
    </xf>
    <xf numFmtId="164" fontId="18" fillId="25" borderId="150" xfId="0" applyNumberFormat="1" applyFont="1" applyFill="1" applyBorder="1"/>
    <xf numFmtId="0" fontId="21" fillId="0" borderId="14" xfId="0" applyFont="1" applyBorder="1" applyProtection="1">
      <protection locked="0"/>
    </xf>
    <xf numFmtId="0" fontId="21" fillId="0" borderId="0" xfId="0" applyFont="1" applyProtection="1">
      <protection locked="0"/>
    </xf>
    <xf numFmtId="0" fontId="21" fillId="0" borderId="151" xfId="0" applyFont="1" applyBorder="1" applyProtection="1">
      <protection locked="0"/>
    </xf>
    <xf numFmtId="9" fontId="21" fillId="22" borderId="152" xfId="0" applyNumberFormat="1" applyFont="1" applyFill="1" applyBorder="1"/>
    <xf numFmtId="4" fontId="21" fillId="0" borderId="153" xfId="0" applyNumberFormat="1" applyFont="1" applyBorder="1" applyProtection="1">
      <protection locked="0"/>
    </xf>
    <xf numFmtId="0" fontId="35" fillId="0" borderId="154" xfId="0" applyFont="1" applyBorder="1"/>
    <xf numFmtId="0" fontId="35" fillId="0" borderId="155" xfId="0" applyFont="1" applyBorder="1"/>
    <xf numFmtId="3" fontId="27" fillId="22" borderId="156" xfId="0" applyNumberFormat="1" applyFont="1" applyFill="1" applyBorder="1"/>
    <xf numFmtId="3" fontId="27" fillId="21" borderId="157" xfId="0" applyNumberFormat="1" applyFont="1" applyFill="1" applyBorder="1"/>
    <xf numFmtId="0" fontId="27" fillId="0" borderId="154" xfId="0" applyFont="1" applyBorder="1"/>
    <xf numFmtId="3" fontId="35" fillId="22" borderId="157" xfId="0" applyNumberFormat="1" applyFont="1" applyFill="1" applyBorder="1"/>
    <xf numFmtId="0" fontId="19" fillId="0" borderId="21" xfId="0" applyFont="1" applyBorder="1" applyProtection="1">
      <protection locked="0"/>
    </xf>
    <xf numFmtId="0" fontId="19" fillId="0" borderId="83" xfId="0" applyFont="1" applyBorder="1" applyProtection="1">
      <protection locked="0"/>
    </xf>
    <xf numFmtId="0" fontId="18" fillId="21" borderId="158" xfId="0" applyFont="1" applyFill="1" applyBorder="1" applyProtection="1">
      <protection locked="0"/>
    </xf>
    <xf numFmtId="0" fontId="18" fillId="21" borderId="159" xfId="0" applyFont="1" applyFill="1" applyBorder="1" applyProtection="1">
      <protection locked="0"/>
    </xf>
    <xf numFmtId="0" fontId="18" fillId="21" borderId="159" xfId="0" applyFont="1" applyFill="1" applyBorder="1" applyAlignment="1" applyProtection="1">
      <alignment horizontal="right"/>
      <protection locked="0"/>
    </xf>
    <xf numFmtId="164" fontId="18" fillId="21" borderId="160" xfId="0" applyNumberFormat="1" applyFont="1" applyFill="1" applyBorder="1" applyProtection="1">
      <protection locked="0"/>
    </xf>
    <xf numFmtId="2" fontId="19" fillId="0" borderId="161" xfId="0" applyNumberFormat="1" applyFont="1" applyBorder="1" applyAlignment="1" applyProtection="1">
      <alignment horizontal="right" indent="1"/>
      <protection locked="0"/>
    </xf>
    <xf numFmtId="0" fontId="21" fillId="14" borderId="129" xfId="0" applyFont="1" applyFill="1" applyBorder="1"/>
    <xf numFmtId="0" fontId="21" fillId="14" borderId="130" xfId="0" applyFont="1" applyFill="1" applyBorder="1"/>
    <xf numFmtId="0" fontId="21" fillId="14" borderId="162" xfId="0" applyFont="1" applyFill="1" applyBorder="1"/>
    <xf numFmtId="9" fontId="21" fillId="22" borderId="163" xfId="0" applyNumberFormat="1" applyFont="1" applyFill="1" applyBorder="1"/>
    <xf numFmtId="2" fontId="21" fillId="22" borderId="164" xfId="0" applyNumberFormat="1" applyFont="1" applyFill="1" applyBorder="1"/>
    <xf numFmtId="0" fontId="36" fillId="15" borderId="12" xfId="0" applyFont="1" applyFill="1" applyBorder="1"/>
    <xf numFmtId="0" fontId="36" fillId="15" borderId="0" xfId="0" applyFont="1" applyFill="1"/>
    <xf numFmtId="0" fontId="36" fillId="15" borderId="13" xfId="0" applyFont="1" applyFill="1" applyBorder="1" applyAlignment="1">
      <alignment horizontal="right"/>
    </xf>
    <xf numFmtId="0" fontId="12" fillId="16" borderId="13" xfId="0" applyFont="1" applyFill="1" applyBorder="1"/>
    <xf numFmtId="0" fontId="12" fillId="17" borderId="13" xfId="0" applyFont="1" applyFill="1" applyBorder="1"/>
    <xf numFmtId="0" fontId="19" fillId="0" borderId="165" xfId="0" applyFont="1" applyBorder="1" applyProtection="1">
      <protection locked="0"/>
    </xf>
    <xf numFmtId="0" fontId="19" fillId="0" borderId="166" xfId="0" applyFont="1" applyBorder="1" applyProtection="1">
      <protection locked="0"/>
    </xf>
    <xf numFmtId="2" fontId="19" fillId="0" borderId="167" xfId="0" applyNumberFormat="1" applyFont="1" applyBorder="1" applyProtection="1">
      <protection locked="0"/>
    </xf>
    <xf numFmtId="3" fontId="19" fillId="0" borderId="168" xfId="0" applyNumberFormat="1" applyFont="1" applyBorder="1" applyProtection="1">
      <protection locked="0"/>
    </xf>
    <xf numFmtId="0" fontId="18" fillId="21" borderId="169" xfId="0" applyFont="1" applyFill="1" applyBorder="1" applyProtection="1">
      <protection locked="0"/>
    </xf>
    <xf numFmtId="0" fontId="18" fillId="21" borderId="170" xfId="0" applyFont="1" applyFill="1" applyBorder="1" applyProtection="1">
      <protection locked="0"/>
    </xf>
    <xf numFmtId="0" fontId="18" fillId="21" borderId="170" xfId="0" applyFont="1" applyFill="1" applyBorder="1" applyAlignment="1" applyProtection="1">
      <alignment horizontal="right"/>
      <protection locked="0"/>
    </xf>
    <xf numFmtId="164" fontId="18" fillId="21" borderId="102" xfId="0" applyNumberFormat="1" applyFont="1" applyFill="1" applyBorder="1" applyProtection="1">
      <protection locked="0"/>
    </xf>
    <xf numFmtId="167" fontId="18" fillId="25" borderId="103" xfId="0" applyNumberFormat="1" applyFont="1" applyFill="1" applyBorder="1" applyProtection="1">
      <protection locked="0"/>
    </xf>
    <xf numFmtId="0" fontId="5" fillId="19" borderId="171" xfId="0" applyFont="1" applyFill="1" applyBorder="1"/>
    <xf numFmtId="0" fontId="4" fillId="19" borderId="172" xfId="0" applyFont="1" applyFill="1" applyBorder="1"/>
    <xf numFmtId="2" fontId="27" fillId="27" borderId="173" xfId="0" applyNumberFormat="1" applyFont="1" applyFill="1" applyBorder="1" applyAlignment="1">
      <alignment horizontal="right" indent="1"/>
    </xf>
    <xf numFmtId="0" fontId="21" fillId="14" borderId="174" xfId="0" applyFont="1" applyFill="1" applyBorder="1"/>
    <xf numFmtId="0" fontId="21" fillId="14" borderId="119" xfId="0" applyFont="1" applyFill="1" applyBorder="1"/>
    <xf numFmtId="0" fontId="21" fillId="14" borderId="175" xfId="0" applyFont="1" applyFill="1" applyBorder="1"/>
    <xf numFmtId="0" fontId="12" fillId="21" borderId="12" xfId="0" applyFont="1" applyFill="1" applyBorder="1"/>
    <xf numFmtId="0" fontId="12" fillId="21" borderId="0" xfId="0" applyFont="1" applyFill="1"/>
    <xf numFmtId="0" fontId="12" fillId="21" borderId="13" xfId="0" applyFont="1" applyFill="1" applyBorder="1"/>
    <xf numFmtId="0" fontId="19" fillId="21" borderId="74" xfId="0" applyFont="1" applyFill="1" applyBorder="1"/>
    <xf numFmtId="0" fontId="19" fillId="21" borderId="62" xfId="0" applyFont="1" applyFill="1" applyBorder="1"/>
    <xf numFmtId="2" fontId="19" fillId="22" borderId="21" xfId="0" applyNumberFormat="1" applyFont="1" applyFill="1" applyBorder="1"/>
    <xf numFmtId="3" fontId="19" fillId="22" borderId="75" xfId="0" applyNumberFormat="1" applyFont="1" applyFill="1" applyBorder="1"/>
    <xf numFmtId="0" fontId="18" fillId="26" borderId="176" xfId="0" applyFont="1" applyFill="1" applyBorder="1" applyProtection="1">
      <protection locked="0"/>
    </xf>
    <xf numFmtId="0" fontId="18" fillId="26" borderId="177" xfId="0" applyFont="1" applyFill="1" applyBorder="1" applyProtection="1">
      <protection locked="0"/>
    </xf>
    <xf numFmtId="0" fontId="18" fillId="26" borderId="177" xfId="0" applyFont="1" applyFill="1" applyBorder="1" applyAlignment="1" applyProtection="1">
      <alignment horizontal="right"/>
      <protection locked="0"/>
    </xf>
    <xf numFmtId="164" fontId="18" fillId="26" borderId="177" xfId="0" applyNumberFormat="1" applyFont="1" applyFill="1" applyBorder="1" applyProtection="1">
      <protection locked="0"/>
    </xf>
    <xf numFmtId="164" fontId="18" fillId="26" borderId="178" xfId="0" applyNumberFormat="1" applyFont="1" applyFill="1" applyBorder="1" applyProtection="1">
      <protection locked="0"/>
    </xf>
    <xf numFmtId="0" fontId="18" fillId="0" borderId="179" xfId="0" applyFont="1" applyBorder="1" applyProtection="1">
      <protection locked="0"/>
    </xf>
    <xf numFmtId="0" fontId="18" fillId="0" borderId="166" xfId="0" applyFont="1" applyBorder="1" applyProtection="1">
      <protection locked="0"/>
    </xf>
    <xf numFmtId="0" fontId="21" fillId="0" borderId="180" xfId="0" applyFont="1" applyBorder="1" applyProtection="1">
      <protection locked="0"/>
    </xf>
    <xf numFmtId="0" fontId="21" fillId="0" borderId="181" xfId="0" applyFont="1" applyBorder="1" applyProtection="1">
      <protection locked="0"/>
    </xf>
    <xf numFmtId="9" fontId="37" fillId="0" borderId="182" xfId="0" applyNumberFormat="1" applyFont="1" applyBorder="1" applyAlignment="1" applyProtection="1">
      <alignment horizontal="right"/>
      <protection locked="0"/>
    </xf>
    <xf numFmtId="2" fontId="21" fillId="0" borderId="183" xfId="0" applyNumberFormat="1" applyFont="1" applyBorder="1" applyProtection="1">
      <protection locked="0"/>
    </xf>
    <xf numFmtId="0" fontId="35" fillId="0" borderId="61" xfId="0" applyFont="1" applyBorder="1" applyProtection="1">
      <protection locked="0"/>
    </xf>
    <xf numFmtId="0" fontId="22" fillId="0" borderId="62" xfId="0" applyFont="1" applyBorder="1" applyProtection="1">
      <protection locked="0"/>
    </xf>
    <xf numFmtId="0" fontId="35" fillId="0" borderId="184" xfId="0" applyFont="1" applyBorder="1" applyAlignment="1" applyProtection="1">
      <alignment horizontal="center"/>
      <protection locked="0"/>
    </xf>
    <xf numFmtId="0" fontId="38" fillId="0" borderId="61" xfId="0" applyFont="1" applyBorder="1" applyProtection="1">
      <protection locked="0"/>
    </xf>
    <xf numFmtId="0" fontId="38" fillId="0" borderId="62" xfId="0" applyFont="1" applyBorder="1" applyProtection="1">
      <protection locked="0"/>
    </xf>
    <xf numFmtId="0" fontId="38" fillId="0" borderId="184" xfId="0" applyFont="1" applyBorder="1" applyProtection="1">
      <protection locked="0"/>
    </xf>
    <xf numFmtId="0" fontId="25" fillId="24" borderId="0" xfId="0" applyFont="1" applyFill="1"/>
    <xf numFmtId="0" fontId="19" fillId="21" borderId="185" xfId="0" applyFont="1" applyFill="1" applyBorder="1"/>
    <xf numFmtId="0" fontId="19" fillId="21" borderId="111" xfId="0" applyFont="1" applyFill="1" applyBorder="1"/>
    <xf numFmtId="0" fontId="19" fillId="21" borderId="30" xfId="0" applyFont="1" applyFill="1" applyBorder="1"/>
    <xf numFmtId="3" fontId="19" fillId="22" borderId="186" xfId="0" applyNumberFormat="1" applyFont="1" applyFill="1" applyBorder="1"/>
    <xf numFmtId="0" fontId="18" fillId="26" borderId="61" xfId="0" applyFont="1" applyFill="1" applyBorder="1" applyProtection="1">
      <protection locked="0"/>
    </xf>
    <xf numFmtId="0" fontId="18" fillId="26" borderId="62" xfId="0" applyFont="1" applyFill="1" applyBorder="1" applyProtection="1">
      <protection locked="0"/>
    </xf>
    <xf numFmtId="0" fontId="18" fillId="26" borderId="62" xfId="0" applyFont="1" applyFill="1" applyBorder="1" applyAlignment="1" applyProtection="1">
      <alignment horizontal="right"/>
      <protection locked="0"/>
    </xf>
    <xf numFmtId="164" fontId="18" fillId="26" borderId="62" xfId="0" applyNumberFormat="1" applyFont="1" applyFill="1" applyBorder="1" applyProtection="1">
      <protection locked="0"/>
    </xf>
    <xf numFmtId="164" fontId="18" fillId="26" borderId="184" xfId="0" applyNumberFormat="1" applyFont="1" applyFill="1" applyBorder="1" applyProtection="1">
      <protection locked="0"/>
    </xf>
    <xf numFmtId="0" fontId="12" fillId="14" borderId="127" xfId="0" applyFont="1" applyFill="1" applyBorder="1"/>
    <xf numFmtId="0" fontId="21" fillId="0" borderId="187" xfId="0" applyFont="1" applyBorder="1" applyProtection="1">
      <protection locked="0"/>
    </xf>
    <xf numFmtId="0" fontId="21" fillId="0" borderId="188" xfId="0" applyFont="1" applyBorder="1" applyProtection="1">
      <protection locked="0"/>
    </xf>
    <xf numFmtId="9" fontId="37" fillId="0" borderId="189" xfId="0" applyNumberFormat="1" applyFont="1" applyBorder="1" applyAlignment="1" applyProtection="1">
      <alignment horizontal="right"/>
      <protection locked="0"/>
    </xf>
    <xf numFmtId="2" fontId="21" fillId="0" borderId="190" xfId="0" applyNumberFormat="1" applyFont="1" applyBorder="1" applyProtection="1">
      <protection locked="0"/>
    </xf>
    <xf numFmtId="0" fontId="22" fillId="0" borderId="40" xfId="0" applyFont="1" applyBorder="1" applyProtection="1">
      <protection locked="0"/>
    </xf>
    <xf numFmtId="0" fontId="22" fillId="0" borderId="87" xfId="0" applyFont="1" applyBorder="1" applyProtection="1">
      <protection locked="0"/>
    </xf>
    <xf numFmtId="3" fontId="22" fillId="0" borderId="191" xfId="0" applyNumberFormat="1" applyFont="1" applyBorder="1" applyProtection="1">
      <protection locked="0"/>
    </xf>
    <xf numFmtId="0" fontId="38" fillId="0" borderId="40" xfId="0" applyFont="1" applyBorder="1" applyProtection="1">
      <protection locked="0"/>
    </xf>
    <xf numFmtId="0" fontId="38" fillId="0" borderId="87" xfId="0" applyFont="1" applyBorder="1" applyProtection="1">
      <protection locked="0"/>
    </xf>
    <xf numFmtId="0" fontId="38" fillId="0" borderId="191" xfId="0" applyFont="1" applyBorder="1" applyProtection="1">
      <protection locked="0"/>
    </xf>
    <xf numFmtId="0" fontId="19" fillId="21" borderId="192" xfId="0" applyFont="1" applyFill="1" applyBorder="1"/>
    <xf numFmtId="0" fontId="19" fillId="21" borderId="170" xfId="0" applyFont="1" applyFill="1" applyBorder="1"/>
    <xf numFmtId="0" fontId="19" fillId="21" borderId="193" xfId="0" applyFont="1" applyFill="1" applyBorder="1"/>
    <xf numFmtId="2" fontId="19" fillId="22" borderId="194" xfId="0" applyNumberFormat="1" applyFont="1" applyFill="1" applyBorder="1"/>
    <xf numFmtId="0" fontId="18" fillId="21" borderId="40" xfId="0" applyFont="1" applyFill="1" applyBorder="1" applyProtection="1">
      <protection locked="0"/>
    </xf>
    <xf numFmtId="0" fontId="18" fillId="21" borderId="87" xfId="0" applyFont="1" applyFill="1" applyBorder="1" applyProtection="1">
      <protection locked="0"/>
    </xf>
    <xf numFmtId="4" fontId="18" fillId="25" borderId="191" xfId="0" applyNumberFormat="1" applyFont="1" applyFill="1" applyBorder="1"/>
    <xf numFmtId="0" fontId="0" fillId="19" borderId="195" xfId="0" applyFill="1" applyBorder="1"/>
    <xf numFmtId="0" fontId="0" fillId="19" borderId="196" xfId="0" applyFill="1" applyBorder="1"/>
    <xf numFmtId="2" fontId="19" fillId="27" borderId="197" xfId="0" applyNumberFormat="1" applyFont="1" applyFill="1" applyBorder="1" applyAlignment="1">
      <alignment horizontal="right" indent="1"/>
    </xf>
    <xf numFmtId="0" fontId="39" fillId="14" borderId="12" xfId="0" applyFont="1" applyFill="1" applyBorder="1"/>
    <xf numFmtId="0" fontId="39" fillId="14" borderId="0" xfId="0" applyFont="1" applyFill="1"/>
    <xf numFmtId="0" fontId="39" fillId="14" borderId="13" xfId="0" applyFont="1" applyFill="1" applyBorder="1"/>
    <xf numFmtId="0" fontId="21" fillId="14" borderId="198" xfId="0" applyFont="1" applyFill="1" applyBorder="1"/>
    <xf numFmtId="0" fontId="21" fillId="14" borderId="199" xfId="0" applyFont="1" applyFill="1" applyBorder="1"/>
    <xf numFmtId="0" fontId="37" fillId="14" borderId="199" xfId="0" applyFont="1" applyFill="1" applyBorder="1" applyAlignment="1">
      <alignment horizontal="right"/>
    </xf>
    <xf numFmtId="168" fontId="21" fillId="22" borderId="200" xfId="0" applyNumberFormat="1" applyFont="1" applyFill="1" applyBorder="1"/>
    <xf numFmtId="0" fontId="19" fillId="21" borderId="14" xfId="0" applyFont="1" applyFill="1" applyBorder="1"/>
    <xf numFmtId="0" fontId="19" fillId="21" borderId="0" xfId="0" applyFont="1" applyFill="1"/>
    <xf numFmtId="2" fontId="19" fillId="22" borderId="52" xfId="0" applyNumberFormat="1" applyFont="1" applyFill="1" applyBorder="1"/>
    <xf numFmtId="0" fontId="40" fillId="21" borderId="15" xfId="0" applyFont="1" applyFill="1" applyBorder="1" applyAlignment="1">
      <alignment horizontal="center"/>
    </xf>
    <xf numFmtId="0" fontId="18" fillId="21" borderId="110" xfId="0" applyFont="1" applyFill="1" applyBorder="1" applyProtection="1">
      <protection locked="0"/>
    </xf>
    <xf numFmtId="0" fontId="18" fillId="21" borderId="111" xfId="0" applyFont="1" applyFill="1" applyBorder="1" applyProtection="1">
      <protection locked="0"/>
    </xf>
    <xf numFmtId="4" fontId="18" fillId="25" borderId="201" xfId="0" applyNumberFormat="1" applyFont="1" applyFill="1" applyBorder="1"/>
    <xf numFmtId="0" fontId="19" fillId="0" borderId="0" xfId="0" applyFont="1"/>
    <xf numFmtId="0" fontId="18" fillId="14" borderId="28" xfId="0" applyFont="1" applyFill="1" applyBorder="1"/>
    <xf numFmtId="0" fontId="21" fillId="0" borderId="198" xfId="0" applyFont="1" applyBorder="1"/>
    <xf numFmtId="0" fontId="21" fillId="0" borderId="199" xfId="0" applyFont="1" applyBorder="1"/>
    <xf numFmtId="0" fontId="37" fillId="0" borderId="199" xfId="0" applyFont="1" applyBorder="1" applyAlignment="1">
      <alignment horizontal="right"/>
    </xf>
    <xf numFmtId="0" fontId="21" fillId="0" borderId="200" xfId="0" applyFont="1" applyBorder="1"/>
    <xf numFmtId="0" fontId="18" fillId="21" borderId="192" xfId="0" applyFont="1" applyFill="1" applyBorder="1"/>
    <xf numFmtId="2" fontId="19" fillId="22" borderId="202" xfId="0" applyNumberFormat="1" applyFont="1" applyFill="1" applyBorder="1"/>
    <xf numFmtId="0" fontId="19" fillId="21" borderId="203" xfId="0" applyFont="1" applyFill="1" applyBorder="1"/>
    <xf numFmtId="2" fontId="0" fillId="0" borderId="57" xfId="0" applyNumberFormat="1" applyBorder="1" applyProtection="1">
      <protection locked="0"/>
    </xf>
    <xf numFmtId="0" fontId="10" fillId="13" borderId="204" xfId="0" applyFont="1" applyFill="1" applyBorder="1"/>
    <xf numFmtId="0" fontId="0" fillId="13" borderId="205" xfId="0" applyFill="1" applyBorder="1"/>
    <xf numFmtId="0" fontId="16" fillId="13" borderId="206" xfId="0" applyFont="1" applyFill="1" applyBorder="1" applyAlignment="1">
      <alignment horizontal="right" indent="1"/>
    </xf>
    <xf numFmtId="0" fontId="5" fillId="14" borderId="12" xfId="0" applyFont="1" applyFill="1" applyBorder="1"/>
    <xf numFmtId="2" fontId="21" fillId="22" borderId="200" xfId="0" applyNumberFormat="1" applyFont="1" applyFill="1" applyBorder="1"/>
    <xf numFmtId="0" fontId="0" fillId="14" borderId="15" xfId="0" applyFill="1" applyBorder="1"/>
    <xf numFmtId="0" fontId="18" fillId="26" borderId="208" xfId="0" applyFont="1" applyFill="1" applyBorder="1" applyProtection="1">
      <protection locked="0"/>
    </xf>
    <xf numFmtId="0" fontId="18" fillId="26" borderId="119" xfId="0" applyFont="1" applyFill="1" applyBorder="1" applyProtection="1">
      <protection locked="0"/>
    </xf>
    <xf numFmtId="167" fontId="18" fillId="30" borderId="209" xfId="0" applyNumberFormat="1" applyFont="1" applyFill="1" applyBorder="1"/>
    <xf numFmtId="0" fontId="18" fillId="19" borderId="210" xfId="0" applyFont="1" applyFill="1" applyBorder="1"/>
    <xf numFmtId="3" fontId="19" fillId="27" borderId="211" xfId="0" applyNumberFormat="1" applyFont="1" applyFill="1" applyBorder="1" applyAlignment="1">
      <alignment horizontal="right" indent="1"/>
    </xf>
    <xf numFmtId="9" fontId="19" fillId="22" borderId="207" xfId="1" applyFont="1" applyFill="1" applyBorder="1"/>
    <xf numFmtId="0" fontId="21" fillId="14" borderId="14" xfId="0" applyFont="1" applyFill="1" applyBorder="1"/>
    <xf numFmtId="0" fontId="21" fillId="14" borderId="0" xfId="0" applyFont="1" applyFill="1"/>
    <xf numFmtId="0" fontId="21" fillId="14" borderId="15" xfId="0" applyFont="1" applyFill="1" applyBorder="1"/>
    <xf numFmtId="0" fontId="25" fillId="31" borderId="19" xfId="0" applyFont="1" applyFill="1" applyBorder="1"/>
    <xf numFmtId="0" fontId="25" fillId="31" borderId="0" xfId="0" applyFont="1" applyFill="1"/>
    <xf numFmtId="0" fontId="25" fillId="31" borderId="22" xfId="0" applyFont="1" applyFill="1" applyBorder="1"/>
    <xf numFmtId="0" fontId="0" fillId="0" borderId="212" xfId="0" applyBorder="1" applyProtection="1">
      <protection locked="0"/>
    </xf>
    <xf numFmtId="0" fontId="18" fillId="0" borderId="191" xfId="0" applyFont="1" applyBorder="1" applyProtection="1">
      <protection locked="0"/>
    </xf>
    <xf numFmtId="0" fontId="16" fillId="12" borderId="25" xfId="0" applyFont="1" applyFill="1" applyBorder="1" applyAlignment="1" applyProtection="1">
      <alignment horizontal="left" indent="1"/>
      <protection locked="0"/>
    </xf>
    <xf numFmtId="0" fontId="14" fillId="12" borderId="26" xfId="0" applyFont="1" applyFill="1" applyBorder="1" applyProtection="1">
      <protection locked="0"/>
    </xf>
    <xf numFmtId="0" fontId="18" fillId="19" borderId="213" xfId="0" applyFont="1" applyFill="1" applyBorder="1"/>
    <xf numFmtId="0" fontId="0" fillId="19" borderId="214" xfId="0" applyFill="1" applyBorder="1"/>
    <xf numFmtId="3" fontId="19" fillId="27" borderId="215" xfId="0" applyNumberFormat="1" applyFont="1" applyFill="1" applyBorder="1" applyAlignment="1">
      <alignment horizontal="right" indent="1"/>
    </xf>
    <xf numFmtId="0" fontId="38" fillId="0" borderId="179" xfId="0" applyFont="1" applyBorder="1" applyProtection="1">
      <protection locked="0"/>
    </xf>
    <xf numFmtId="0" fontId="38" fillId="0" borderId="166" xfId="0" applyFont="1" applyBorder="1" applyProtection="1">
      <protection locked="0"/>
    </xf>
    <xf numFmtId="3" fontId="38" fillId="0" borderId="216" xfId="0" applyNumberFormat="1" applyFont="1" applyBorder="1" applyProtection="1">
      <protection locked="0"/>
    </xf>
    <xf numFmtId="0" fontId="38" fillId="0" borderId="110" xfId="0" applyFont="1" applyBorder="1" applyProtection="1">
      <protection locked="0"/>
    </xf>
    <xf numFmtId="0" fontId="38" fillId="0" borderId="111" xfId="0" applyFont="1" applyBorder="1" applyProtection="1">
      <protection locked="0"/>
    </xf>
    <xf numFmtId="0" fontId="38" fillId="0" borderId="201" xfId="0" applyFont="1" applyBorder="1" applyProtection="1">
      <protection locked="0"/>
    </xf>
    <xf numFmtId="0" fontId="0" fillId="0" borderId="100" xfId="0" applyBorder="1" applyProtection="1">
      <protection locked="0"/>
    </xf>
    <xf numFmtId="0" fontId="0" fillId="0" borderId="87" xfId="0" applyBorder="1" applyProtection="1">
      <protection locked="0"/>
    </xf>
    <xf numFmtId="0" fontId="0" fillId="0" borderId="217" xfId="0" applyBorder="1" applyProtection="1">
      <protection locked="0"/>
    </xf>
    <xf numFmtId="0" fontId="18" fillId="0" borderId="201" xfId="0" applyFont="1" applyBorder="1" applyProtection="1">
      <protection locked="0"/>
    </xf>
    <xf numFmtId="0" fontId="18" fillId="0" borderId="195" xfId="0" applyFont="1" applyBorder="1" applyAlignment="1" applyProtection="1">
      <alignment horizontal="left" indent="1"/>
      <protection locked="0"/>
    </xf>
    <xf numFmtId="0" fontId="0" fillId="0" borderId="196" xfId="0" applyBorder="1" applyProtection="1">
      <protection locked="0"/>
    </xf>
    <xf numFmtId="0" fontId="0" fillId="0" borderId="196" xfId="0" applyBorder="1"/>
    <xf numFmtId="0" fontId="18" fillId="19" borderId="219" xfId="0" applyFont="1" applyFill="1" applyBorder="1" applyProtection="1">
      <protection locked="0"/>
    </xf>
    <xf numFmtId="0" fontId="0" fillId="19" borderId="220" xfId="0" applyFill="1" applyBorder="1" applyProtection="1">
      <protection locked="0"/>
    </xf>
    <xf numFmtId="3" fontId="19" fillId="27" borderId="221" xfId="0" applyNumberFormat="1" applyFont="1" applyFill="1" applyBorder="1" applyAlignment="1">
      <alignment horizontal="right" indent="1"/>
    </xf>
    <xf numFmtId="0" fontId="39" fillId="14" borderId="16" xfId="0" applyFont="1" applyFill="1" applyBorder="1"/>
    <xf numFmtId="0" fontId="39" fillId="14" borderId="17" xfId="0" applyFont="1" applyFill="1" applyBorder="1"/>
    <xf numFmtId="0" fontId="39" fillId="14" borderId="18" xfId="0" applyFont="1" applyFill="1" applyBorder="1"/>
    <xf numFmtId="0" fontId="28" fillId="14" borderId="222" xfId="0" applyFont="1" applyFill="1" applyBorder="1"/>
    <xf numFmtId="0" fontId="28" fillId="14" borderId="127" xfId="0" applyFont="1" applyFill="1" applyBorder="1"/>
    <xf numFmtId="0" fontId="28" fillId="14" borderId="223" xfId="0" applyFont="1" applyFill="1" applyBorder="1"/>
    <xf numFmtId="0" fontId="11" fillId="17" borderId="16" xfId="0" applyFont="1" applyFill="1" applyBorder="1"/>
    <xf numFmtId="0" fontId="11" fillId="17" borderId="17" xfId="0" applyFont="1" applyFill="1" applyBorder="1"/>
    <xf numFmtId="0" fontId="11" fillId="17" borderId="18" xfId="0" applyFont="1" applyFill="1" applyBorder="1"/>
    <xf numFmtId="0" fontId="11" fillId="16" borderId="16" xfId="0" applyFont="1" applyFill="1" applyBorder="1"/>
    <xf numFmtId="0" fontId="11" fillId="16" borderId="17" xfId="0" applyFont="1" applyFill="1" applyBorder="1"/>
    <xf numFmtId="0" fontId="11" fillId="16" borderId="18" xfId="0" applyFont="1" applyFill="1" applyBorder="1"/>
    <xf numFmtId="0" fontId="41" fillId="14" borderId="224" xfId="0" applyFont="1" applyFill="1" applyBorder="1"/>
    <xf numFmtId="0" fontId="19" fillId="14" borderId="225" xfId="0" applyFont="1" applyFill="1" applyBorder="1"/>
    <xf numFmtId="4" fontId="19" fillId="22" borderId="226" xfId="0" applyNumberFormat="1" applyFont="1" applyFill="1" applyBorder="1"/>
    <xf numFmtId="0" fontId="19" fillId="14" borderId="227" xfId="0" applyFont="1" applyFill="1" applyBorder="1"/>
    <xf numFmtId="0" fontId="0" fillId="0" borderId="165" xfId="0" applyBorder="1" applyProtection="1">
      <protection locked="0"/>
    </xf>
    <xf numFmtId="0" fontId="0" fillId="0" borderId="166" xfId="0" applyBorder="1" applyProtection="1">
      <protection locked="0"/>
    </xf>
    <xf numFmtId="0" fontId="0" fillId="0" borderId="228" xfId="0" applyBorder="1" applyProtection="1">
      <protection locked="0"/>
    </xf>
    <xf numFmtId="0" fontId="36" fillId="32" borderId="16" xfId="0" applyFont="1" applyFill="1" applyBorder="1"/>
    <xf numFmtId="0" fontId="36" fillId="32" borderId="17" xfId="0" applyFont="1" applyFill="1" applyBorder="1"/>
    <xf numFmtId="0" fontId="36" fillId="32" borderId="18" xfId="0" applyFont="1" applyFill="1" applyBorder="1"/>
    <xf numFmtId="0" fontId="0" fillId="0" borderId="0" xfId="0" applyAlignment="1" applyProtection="1">
      <alignment horizontal="left" indent="1"/>
      <protection locked="0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27" fillId="19" borderId="16" xfId="0" applyFont="1" applyFill="1" applyBorder="1"/>
    <xf numFmtId="0" fontId="4" fillId="19" borderId="17" xfId="0" applyFont="1" applyFill="1" applyBorder="1"/>
    <xf numFmtId="3" fontId="27" fillId="27" borderId="229" xfId="0" applyNumberFormat="1" applyFont="1" applyFill="1" applyBorder="1" applyAlignment="1">
      <alignment horizontal="right" indent="1"/>
    </xf>
    <xf numFmtId="0" fontId="42" fillId="0" borderId="0" xfId="0" applyFont="1" applyAlignment="1" applyProtection="1">
      <alignment horizontal="left" indent="1"/>
      <protection locked="0"/>
    </xf>
    <xf numFmtId="0" fontId="10" fillId="12" borderId="230" xfId="0" applyFont="1" applyFill="1" applyBorder="1"/>
    <xf numFmtId="0" fontId="0" fillId="12" borderId="172" xfId="0" applyFill="1" applyBorder="1"/>
    <xf numFmtId="0" fontId="0" fillId="12" borderId="231" xfId="0" applyFill="1" applyBorder="1"/>
    <xf numFmtId="0" fontId="14" fillId="0" borderId="0" xfId="0" applyFont="1" applyProtection="1">
      <protection hidden="1"/>
    </xf>
    <xf numFmtId="0" fontId="5" fillId="19" borderId="14" xfId="0" applyFont="1" applyFill="1" applyBorder="1"/>
    <xf numFmtId="0" fontId="12" fillId="19" borderId="0" xfId="0" applyFont="1" applyFill="1"/>
    <xf numFmtId="0" fontId="12" fillId="19" borderId="15" xfId="0" applyFont="1" applyFill="1" applyBorder="1"/>
    <xf numFmtId="0" fontId="0" fillId="19" borderId="14" xfId="0" applyFill="1" applyBorder="1"/>
    <xf numFmtId="0" fontId="0" fillId="19" borderId="0" xfId="0" applyFill="1"/>
    <xf numFmtId="169" fontId="0" fillId="27" borderId="232" xfId="0" applyNumberFormat="1" applyFill="1" applyBorder="1"/>
    <xf numFmtId="0" fontId="29" fillId="0" borderId="0" xfId="0" applyFont="1" applyProtection="1">
      <protection hidden="1"/>
    </xf>
    <xf numFmtId="0" fontId="5" fillId="19" borderId="0" xfId="0" applyFont="1" applyFill="1" applyAlignment="1">
      <alignment horizontal="right"/>
    </xf>
    <xf numFmtId="3" fontId="0" fillId="19" borderId="232" xfId="0" applyNumberFormat="1" applyFill="1" applyBorder="1"/>
    <xf numFmtId="0" fontId="0" fillId="0" borderId="233" xfId="0" applyBorder="1" applyProtection="1">
      <protection locked="0"/>
    </xf>
    <xf numFmtId="3" fontId="0" fillId="19" borderId="234" xfId="0" applyNumberFormat="1" applyFill="1" applyBorder="1"/>
    <xf numFmtId="14" fontId="0" fillId="19" borderId="0" xfId="0" applyNumberFormat="1" applyFill="1"/>
    <xf numFmtId="3" fontId="0" fillId="19" borderId="235" xfId="0" applyNumberFormat="1" applyFill="1" applyBorder="1"/>
    <xf numFmtId="0" fontId="0" fillId="19" borderId="222" xfId="0" applyFill="1" applyBorder="1"/>
    <xf numFmtId="14" fontId="0" fillId="19" borderId="127" xfId="0" applyNumberFormat="1" applyFill="1" applyBorder="1"/>
    <xf numFmtId="0" fontId="0" fillId="19" borderId="127" xfId="0" applyFill="1" applyBorder="1"/>
    <xf numFmtId="0" fontId="0" fillId="0" borderId="236" xfId="0" applyBorder="1" applyProtection="1">
      <protection locked="0"/>
    </xf>
    <xf numFmtId="169" fontId="0" fillId="27" borderId="237" xfId="0" applyNumberFormat="1" applyFill="1" applyBorder="1"/>
    <xf numFmtId="0" fontId="43" fillId="0" borderId="0" xfId="0" applyFont="1"/>
    <xf numFmtId="0" fontId="44" fillId="0" borderId="72" xfId="0" applyFont="1" applyBorder="1" applyProtection="1">
      <protection locked="0"/>
    </xf>
    <xf numFmtId="3" fontId="0" fillId="0" borderId="0" xfId="0" applyNumberFormat="1"/>
    <xf numFmtId="0" fontId="46" fillId="0" borderId="0" xfId="0" applyFont="1"/>
    <xf numFmtId="0" fontId="47" fillId="0" borderId="114" xfId="0" quotePrefix="1" applyFont="1" applyBorder="1" applyProtection="1">
      <protection locked="0"/>
    </xf>
    <xf numFmtId="0" fontId="50" fillId="39" borderId="0" xfId="0" applyFont="1" applyFill="1"/>
    <xf numFmtId="0" fontId="51" fillId="0" borderId="0" xfId="0" applyFont="1"/>
    <xf numFmtId="0" fontId="52" fillId="39" borderId="0" xfId="0" applyFont="1" applyFill="1"/>
    <xf numFmtId="0" fontId="50" fillId="39" borderId="0" xfId="0" applyFont="1" applyFill="1" applyAlignment="1">
      <alignment horizontal="left" indent="1"/>
    </xf>
    <xf numFmtId="0" fontId="53" fillId="40" borderId="0" xfId="0" applyFont="1" applyFill="1" applyAlignment="1">
      <alignment horizontal="left" indent="1"/>
    </xf>
    <xf numFmtId="0" fontId="54" fillId="39" borderId="0" xfId="0" applyFont="1" applyFill="1" applyAlignment="1">
      <alignment horizontal="left" indent="1"/>
    </xf>
    <xf numFmtId="0" fontId="55" fillId="41" borderId="0" xfId="5" applyFont="1" applyFill="1" applyAlignment="1">
      <alignment horizontal="left" vertical="center" indent="1"/>
    </xf>
    <xf numFmtId="0" fontId="54" fillId="39" borderId="0" xfId="0" applyFont="1" applyFill="1" applyAlignment="1">
      <alignment horizontal="left" vertical="center" indent="1"/>
    </xf>
    <xf numFmtId="0" fontId="56" fillId="39" borderId="0" xfId="0" applyFont="1" applyFill="1"/>
    <xf numFmtId="0" fontId="57" fillId="39" borderId="0" xfId="5" applyFont="1" applyFill="1"/>
    <xf numFmtId="0" fontId="54" fillId="39" borderId="0" xfId="0" applyFont="1" applyFill="1"/>
    <xf numFmtId="0" fontId="0" fillId="39" borderId="0" xfId="0" applyFill="1"/>
    <xf numFmtId="171" fontId="0" fillId="0" borderId="0" xfId="4" applyNumberFormat="1" applyFont="1"/>
    <xf numFmtId="14" fontId="51" fillId="0" borderId="0" xfId="0" applyNumberFormat="1" applyFont="1"/>
    <xf numFmtId="3" fontId="51" fillId="26" borderId="264" xfId="0" applyNumberFormat="1" applyFont="1" applyFill="1" applyBorder="1"/>
    <xf numFmtId="0" fontId="58" fillId="26" borderId="264" xfId="0" applyFont="1" applyFill="1" applyBorder="1"/>
    <xf numFmtId="3" fontId="51" fillId="26" borderId="266" xfId="0" applyNumberFormat="1" applyFont="1" applyFill="1" applyBorder="1"/>
    <xf numFmtId="0" fontId="59" fillId="42" borderId="265" xfId="0" applyFont="1" applyFill="1" applyBorder="1" applyAlignment="1">
      <alignment horizontal="center"/>
    </xf>
    <xf numFmtId="14" fontId="59" fillId="42" borderId="265" xfId="0" applyNumberFormat="1" applyFont="1" applyFill="1" applyBorder="1" applyAlignment="1">
      <alignment horizontal="center"/>
    </xf>
    <xf numFmtId="9" fontId="58" fillId="26" borderId="266" xfId="0" applyNumberFormat="1" applyFont="1" applyFill="1" applyBorder="1"/>
    <xf numFmtId="10" fontId="58" fillId="26" borderId="266" xfId="0" applyNumberFormat="1" applyFont="1" applyFill="1" applyBorder="1"/>
    <xf numFmtId="3" fontId="0" fillId="38" borderId="97" xfId="0" applyNumberFormat="1" applyFill="1" applyBorder="1"/>
    <xf numFmtId="165" fontId="0" fillId="38" borderId="104" xfId="0" applyNumberFormat="1" applyFill="1" applyBorder="1"/>
    <xf numFmtId="3" fontId="0" fillId="38" borderId="104" xfId="0" applyNumberFormat="1" applyFill="1" applyBorder="1"/>
    <xf numFmtId="9" fontId="0" fillId="38" borderId="104" xfId="0" applyNumberFormat="1" applyFill="1" applyBorder="1"/>
    <xf numFmtId="2" fontId="0" fillId="38" borderId="36" xfId="0" applyNumberFormat="1" applyFill="1" applyBorder="1"/>
    <xf numFmtId="2" fontId="0" fillId="38" borderId="57" xfId="0" applyNumberFormat="1" applyFill="1" applyBorder="1"/>
    <xf numFmtId="3" fontId="0" fillId="38" borderId="36" xfId="0" applyNumberFormat="1" applyFill="1" applyBorder="1"/>
    <xf numFmtId="3" fontId="0" fillId="38" borderId="57" xfId="0" applyNumberFormat="1" applyFill="1" applyBorder="1"/>
    <xf numFmtId="2" fontId="0" fillId="38" borderId="104" xfId="0" applyNumberFormat="1" applyFill="1" applyBorder="1"/>
    <xf numFmtId="2" fontId="0" fillId="38" borderId="218" xfId="0" applyNumberFormat="1" applyFill="1" applyBorder="1"/>
    <xf numFmtId="164" fontId="48" fillId="43" borderId="36" xfId="0" applyNumberFormat="1" applyFont="1" applyFill="1" applyBorder="1" applyProtection="1">
      <protection locked="0"/>
    </xf>
    <xf numFmtId="164" fontId="48" fillId="43" borderId="57" xfId="0" applyNumberFormat="1" applyFont="1" applyFill="1" applyBorder="1" applyProtection="1">
      <protection locked="0"/>
    </xf>
    <xf numFmtId="10" fontId="48" fillId="43" borderId="0" xfId="1" applyNumberFormat="1" applyFont="1" applyFill="1" applyProtection="1">
      <protection locked="0"/>
    </xf>
    <xf numFmtId="0" fontId="51" fillId="26" borderId="266" xfId="0" applyFont="1" applyFill="1" applyBorder="1"/>
    <xf numFmtId="0" fontId="51" fillId="26" borderId="264" xfId="0" applyFont="1" applyFill="1" applyBorder="1"/>
    <xf numFmtId="0" fontId="61" fillId="43" borderId="61" xfId="0" applyFont="1" applyFill="1" applyBorder="1" applyProtection="1">
      <protection locked="0"/>
    </xf>
    <xf numFmtId="0" fontId="61" fillId="43" borderId="62" xfId="0" applyFont="1" applyFill="1" applyBorder="1" applyProtection="1">
      <protection locked="0"/>
    </xf>
    <xf numFmtId="3" fontId="61" fillId="43" borderId="63" xfId="0" applyNumberFormat="1" applyFont="1" applyFill="1" applyBorder="1" applyProtection="1">
      <protection locked="0"/>
    </xf>
    <xf numFmtId="0" fontId="61" fillId="43" borderId="87" xfId="0" applyFont="1" applyFill="1" applyBorder="1" applyProtection="1">
      <protection locked="0"/>
    </xf>
    <xf numFmtId="0" fontId="61" fillId="43" borderId="111" xfId="0" applyFont="1" applyFill="1" applyBorder="1" applyProtection="1">
      <protection locked="0"/>
    </xf>
    <xf numFmtId="0" fontId="61" fillId="43" borderId="134" xfId="0" applyFont="1" applyFill="1" applyBorder="1" applyProtection="1">
      <protection locked="0"/>
    </xf>
    <xf numFmtId="9" fontId="61" fillId="43" borderId="62" xfId="0" applyNumberFormat="1" applyFont="1" applyFill="1" applyBorder="1" applyProtection="1">
      <protection locked="0"/>
    </xf>
    <xf numFmtId="0" fontId="62" fillId="0" borderId="0" xfId="0" applyFont="1"/>
    <xf numFmtId="9" fontId="58" fillId="23" borderId="0" xfId="1" applyFont="1" applyFill="1"/>
    <xf numFmtId="0" fontId="48" fillId="44" borderId="0" xfId="0" applyFont="1" applyFill="1"/>
    <xf numFmtId="0" fontId="64" fillId="44" borderId="0" xfId="0" applyFont="1" applyFill="1"/>
    <xf numFmtId="0" fontId="48" fillId="44" borderId="0" xfId="0" applyFont="1" applyFill="1" applyAlignment="1">
      <alignment horizontal="center"/>
    </xf>
    <xf numFmtId="0" fontId="48" fillId="45" borderId="56" xfId="0" applyFont="1" applyFill="1" applyBorder="1"/>
    <xf numFmtId="164" fontId="65" fillId="46" borderId="57" xfId="0" applyNumberFormat="1" applyFont="1" applyFill="1" applyBorder="1" applyProtection="1">
      <protection locked="0"/>
    </xf>
    <xf numFmtId="10" fontId="48" fillId="45" borderId="57" xfId="0" applyNumberFormat="1" applyFont="1" applyFill="1" applyBorder="1" applyProtection="1">
      <protection locked="0"/>
    </xf>
    <xf numFmtId="0" fontId="61" fillId="45" borderId="134" xfId="0" applyFont="1" applyFill="1" applyBorder="1" applyProtection="1">
      <protection locked="0"/>
    </xf>
    <xf numFmtId="9" fontId="61" fillId="45" borderId="62" xfId="0" applyNumberFormat="1" applyFont="1" applyFill="1" applyBorder="1" applyProtection="1">
      <protection locked="0"/>
    </xf>
    <xf numFmtId="9" fontId="61" fillId="45" borderId="207" xfId="1" applyFont="1" applyFill="1" applyBorder="1" applyProtection="1">
      <protection locked="0"/>
    </xf>
    <xf numFmtId="9" fontId="58" fillId="26" borderId="264" xfId="0" applyNumberFormat="1" applyFont="1" applyFill="1" applyBorder="1"/>
    <xf numFmtId="0" fontId="51" fillId="0" borderId="0" xfId="0" applyFont="1" applyAlignment="1">
      <alignment horizontal="right"/>
    </xf>
    <xf numFmtId="10" fontId="58" fillId="26" borderId="264" xfId="0" applyNumberFormat="1" applyFont="1" applyFill="1" applyBorder="1"/>
    <xf numFmtId="172" fontId="58" fillId="26" borderId="264" xfId="0" applyNumberFormat="1" applyFont="1" applyFill="1" applyBorder="1"/>
    <xf numFmtId="3" fontId="60" fillId="50" borderId="0" xfId="0" applyNumberFormat="1" applyFont="1" applyFill="1"/>
    <xf numFmtId="0" fontId="59" fillId="48" borderId="265" xfId="0" applyFont="1" applyFill="1" applyBorder="1" applyAlignment="1">
      <alignment horizontal="center"/>
    </xf>
    <xf numFmtId="4" fontId="69" fillId="49" borderId="207" xfId="2" applyNumberFormat="1" applyFont="1" applyFill="1" applyBorder="1"/>
    <xf numFmtId="0" fontId="69" fillId="49" borderId="207" xfId="2" applyFont="1" applyFill="1" applyBorder="1"/>
    <xf numFmtId="3" fontId="69" fillId="49" borderId="207" xfId="2" applyNumberFormat="1" applyFont="1" applyFill="1" applyBorder="1"/>
    <xf numFmtId="0" fontId="71" fillId="0" borderId="0" xfId="2" applyFont="1"/>
    <xf numFmtId="0" fontId="45" fillId="0" borderId="0" xfId="0" applyFont="1"/>
    <xf numFmtId="0" fontId="45" fillId="0" borderId="0" xfId="0" applyFont="1" applyAlignment="1">
      <alignment wrapText="1"/>
    </xf>
    <xf numFmtId="2" fontId="69" fillId="49" borderId="207" xfId="2" applyNumberFormat="1" applyFont="1" applyFill="1" applyBorder="1"/>
    <xf numFmtId="0" fontId="48" fillId="0" borderId="0" xfId="0" applyFont="1"/>
    <xf numFmtId="0" fontId="74" fillId="0" borderId="0" xfId="0" applyFont="1"/>
    <xf numFmtId="173" fontId="0" fillId="0" borderId="0" xfId="0" applyNumberFormat="1"/>
    <xf numFmtId="4" fontId="0" fillId="0" borderId="0" xfId="0" applyNumberFormat="1"/>
    <xf numFmtId="0" fontId="64" fillId="48" borderId="275" xfId="0" applyFont="1" applyFill="1" applyBorder="1" applyAlignment="1">
      <alignment vertical="top" wrapText="1"/>
    </xf>
    <xf numFmtId="0" fontId="73" fillId="39" borderId="0" xfId="0" applyFont="1" applyFill="1"/>
    <xf numFmtId="0" fontId="75" fillId="39" borderId="0" xfId="0" applyFont="1" applyFill="1"/>
    <xf numFmtId="0" fontId="76" fillId="39" borderId="0" xfId="0" applyFont="1" applyFill="1"/>
    <xf numFmtId="0" fontId="77" fillId="55" borderId="280" xfId="0" applyFont="1" applyFill="1" applyBorder="1" applyAlignment="1">
      <alignment wrapText="1"/>
    </xf>
    <xf numFmtId="0" fontId="73" fillId="39" borderId="0" xfId="0" applyFont="1" applyFill="1" applyAlignment="1">
      <alignment vertical="top" wrapText="1"/>
    </xf>
    <xf numFmtId="0" fontId="78" fillId="57" borderId="281" xfId="0" applyFont="1" applyFill="1" applyBorder="1" applyAlignment="1">
      <alignment vertical="top" wrapText="1"/>
    </xf>
    <xf numFmtId="0" fontId="79" fillId="48" borderId="281" xfId="0" applyFont="1" applyFill="1" applyBorder="1" applyAlignment="1">
      <alignment vertical="top" wrapText="1"/>
    </xf>
    <xf numFmtId="0" fontId="79" fillId="47" borderId="281" xfId="0" applyFont="1" applyFill="1" applyBorder="1" applyAlignment="1">
      <alignment vertical="top" wrapText="1"/>
    </xf>
    <xf numFmtId="0" fontId="79" fillId="58" borderId="282" xfId="0" applyFont="1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19" fillId="0" borderId="238" xfId="0" applyFont="1" applyBorder="1" applyAlignment="1" applyProtection="1">
      <alignment horizontal="left" indent="1"/>
      <protection locked="0"/>
    </xf>
    <xf numFmtId="0" fontId="0" fillId="0" borderId="238" xfId="0" applyBorder="1" applyAlignment="1" applyProtection="1">
      <alignment horizontal="left" indent="1"/>
      <protection locked="0"/>
    </xf>
    <xf numFmtId="3" fontId="0" fillId="0" borderId="238" xfId="0" applyNumberFormat="1" applyBorder="1" applyAlignment="1" applyProtection="1">
      <alignment horizontal="left" indent="1"/>
      <protection locked="0"/>
    </xf>
    <xf numFmtId="0" fontId="0" fillId="0" borderId="238" xfId="0" applyBorder="1" applyAlignment="1" applyProtection="1">
      <alignment horizontal="right" indent="1"/>
      <protection locked="0"/>
    </xf>
    <xf numFmtId="0" fontId="0" fillId="0" borderId="238" xfId="0" applyBorder="1" applyProtection="1">
      <protection locked="0"/>
    </xf>
    <xf numFmtId="0" fontId="0" fillId="0" borderId="238" xfId="0" applyBorder="1" applyAlignment="1" applyProtection="1">
      <alignment horizontal="left" wrapText="1" indent="1"/>
      <protection locked="0"/>
    </xf>
    <xf numFmtId="0" fontId="19" fillId="0" borderId="244" xfId="0" applyFont="1" applyBorder="1" applyAlignment="1" applyProtection="1">
      <alignment horizontal="left" indent="1"/>
      <protection locked="0"/>
    </xf>
    <xf numFmtId="0" fontId="0" fillId="0" borderId="244" xfId="0" applyBorder="1" applyAlignment="1" applyProtection="1">
      <alignment horizontal="left" indent="1"/>
      <protection locked="0"/>
    </xf>
    <xf numFmtId="0" fontId="0" fillId="0" borderId="244" xfId="0" applyBorder="1" applyAlignment="1" applyProtection="1">
      <alignment horizontal="right" indent="1"/>
      <protection locked="0"/>
    </xf>
    <xf numFmtId="0" fontId="0" fillId="0" borderId="244" xfId="0" applyBorder="1" applyProtection="1">
      <protection locked="0"/>
    </xf>
    <xf numFmtId="0" fontId="0" fillId="0" borderId="244" xfId="0" applyBorder="1" applyAlignment="1" applyProtection="1">
      <alignment horizontal="left" wrapText="1" indent="1"/>
      <protection locked="0"/>
    </xf>
    <xf numFmtId="0" fontId="64" fillId="55" borderId="283" xfId="0" applyFont="1" applyFill="1" applyBorder="1" applyAlignment="1">
      <alignment horizontal="center" vertical="top" wrapText="1"/>
    </xf>
    <xf numFmtId="3" fontId="0" fillId="0" borderId="0" xfId="4" applyNumberFormat="1" applyFont="1"/>
    <xf numFmtId="0" fontId="49" fillId="0" borderId="0" xfId="5"/>
    <xf numFmtId="14" fontId="80" fillId="0" borderId="0" xfId="2" applyNumberFormat="1" applyFont="1" applyAlignment="1">
      <alignment horizontal="left"/>
    </xf>
    <xf numFmtId="14" fontId="80" fillId="0" borderId="0" xfId="2" applyNumberFormat="1" applyFont="1"/>
    <xf numFmtId="0" fontId="80" fillId="0" borderId="0" xfId="2" applyFont="1"/>
    <xf numFmtId="0" fontId="81" fillId="0" borderId="0" xfId="2" applyFont="1"/>
    <xf numFmtId="0" fontId="82" fillId="0" borderId="0" xfId="2" applyFont="1" applyProtection="1">
      <protection locked="0"/>
    </xf>
    <xf numFmtId="0" fontId="83" fillId="0" borderId="0" xfId="2" applyFont="1" applyProtection="1">
      <protection locked="0"/>
    </xf>
    <xf numFmtId="0" fontId="84" fillId="52" borderId="0" xfId="2" applyFont="1" applyFill="1" applyProtection="1">
      <protection locked="0"/>
    </xf>
    <xf numFmtId="0" fontId="81" fillId="0" borderId="0" xfId="2" applyFont="1" applyProtection="1">
      <protection locked="0"/>
    </xf>
    <xf numFmtId="0" fontId="85" fillId="53" borderId="0" xfId="2" applyFont="1" applyFill="1" applyAlignment="1" applyProtection="1">
      <alignment horizontal="center"/>
      <protection locked="0"/>
    </xf>
    <xf numFmtId="0" fontId="86" fillId="0" borderId="0" xfId="2" applyFont="1" applyProtection="1">
      <protection locked="0"/>
    </xf>
    <xf numFmtId="0" fontId="87" fillId="0" borderId="0" xfId="2" applyFont="1" applyProtection="1">
      <protection locked="0"/>
    </xf>
    <xf numFmtId="0" fontId="88" fillId="37" borderId="0" xfId="2" applyFont="1" applyFill="1" applyProtection="1">
      <protection locked="0"/>
    </xf>
    <xf numFmtId="0" fontId="89" fillId="37" borderId="0" xfId="2" applyFont="1" applyFill="1" applyProtection="1">
      <protection locked="0"/>
    </xf>
    <xf numFmtId="14" fontId="81" fillId="0" borderId="0" xfId="2" applyNumberFormat="1" applyFont="1"/>
    <xf numFmtId="0" fontId="90" fillId="33" borderId="6" xfId="2" applyFont="1" applyFill="1" applyBorder="1" applyProtection="1">
      <protection locked="0"/>
    </xf>
    <xf numFmtId="0" fontId="90" fillId="33" borderId="6" xfId="2" applyFont="1" applyFill="1" applyBorder="1" applyAlignment="1" applyProtection="1">
      <alignment horizontal="right"/>
      <protection locked="0"/>
    </xf>
    <xf numFmtId="0" fontId="81" fillId="33" borderId="7" xfId="2" applyFont="1" applyFill="1" applyBorder="1" applyProtection="1">
      <protection locked="0"/>
    </xf>
    <xf numFmtId="0" fontId="90" fillId="33" borderId="246" xfId="2" applyFont="1" applyFill="1" applyBorder="1" applyAlignment="1" applyProtection="1">
      <alignment horizontal="center"/>
      <protection locked="0"/>
    </xf>
    <xf numFmtId="0" fontId="90" fillId="36" borderId="254" xfId="2" applyFont="1" applyFill="1" applyBorder="1" applyProtection="1">
      <protection locked="0"/>
    </xf>
    <xf numFmtId="0" fontId="90" fillId="36" borderId="253" xfId="2" applyFont="1" applyFill="1" applyBorder="1" applyProtection="1">
      <protection locked="0"/>
    </xf>
    <xf numFmtId="0" fontId="91" fillId="36" borderId="239" xfId="2" applyFont="1" applyFill="1" applyBorder="1" applyAlignment="1" applyProtection="1">
      <alignment horizontal="center" wrapText="1"/>
      <protection locked="0"/>
    </xf>
    <xf numFmtId="0" fontId="81" fillId="33" borderId="222" xfId="2" applyFont="1" applyFill="1" applyBorder="1" applyProtection="1">
      <protection locked="0"/>
    </xf>
    <xf numFmtId="0" fontId="91" fillId="33" borderId="222" xfId="2" applyFont="1" applyFill="1" applyBorder="1" applyAlignment="1" applyProtection="1">
      <alignment horizontal="center" wrapText="1"/>
      <protection locked="0"/>
    </xf>
    <xf numFmtId="0" fontId="91" fillId="33" borderId="127" xfId="2" applyFont="1" applyFill="1" applyBorder="1" applyAlignment="1" applyProtection="1">
      <alignment horizontal="center" wrapText="1"/>
      <protection locked="0"/>
    </xf>
    <xf numFmtId="0" fontId="91" fillId="33" borderId="238" xfId="2" applyFont="1" applyFill="1" applyBorder="1" applyAlignment="1" applyProtection="1">
      <alignment wrapText="1"/>
      <protection locked="0"/>
    </xf>
    <xf numFmtId="0" fontId="91" fillId="36" borderId="241" xfId="2" applyFont="1" applyFill="1" applyBorder="1" applyAlignment="1" applyProtection="1">
      <alignment horizontal="center" wrapText="1"/>
      <protection locked="0"/>
    </xf>
    <xf numFmtId="0" fontId="91" fillId="36" borderId="240" xfId="2" applyFont="1" applyFill="1" applyBorder="1" applyAlignment="1" applyProtection="1">
      <alignment horizontal="center" wrapText="1"/>
      <protection locked="0"/>
    </xf>
    <xf numFmtId="0" fontId="92" fillId="36" borderId="239" xfId="2" applyFont="1" applyFill="1" applyBorder="1" applyAlignment="1" applyProtection="1">
      <alignment horizontal="center" wrapText="1"/>
      <protection locked="0"/>
    </xf>
    <xf numFmtId="0" fontId="90" fillId="0" borderId="74" xfId="2" applyFont="1" applyBorder="1" applyProtection="1">
      <protection locked="0"/>
    </xf>
    <xf numFmtId="0" fontId="81" fillId="0" borderId="244" xfId="2" applyFont="1" applyBorder="1" applyProtection="1">
      <protection locked="0"/>
    </xf>
    <xf numFmtId="0" fontId="81" fillId="0" borderId="74" xfId="2" applyFont="1" applyBorder="1" applyProtection="1">
      <protection locked="0"/>
    </xf>
    <xf numFmtId="166" fontId="93" fillId="45" borderId="245" xfId="2" applyNumberFormat="1" applyFont="1" applyFill="1" applyBorder="1" applyProtection="1">
      <protection locked="0"/>
    </xf>
    <xf numFmtId="0" fontId="81" fillId="0" borderId="259" xfId="2" applyFont="1" applyBorder="1" applyProtection="1">
      <protection locked="0"/>
    </xf>
    <xf numFmtId="3" fontId="81" fillId="59" borderId="100" xfId="2" applyNumberFormat="1" applyFont="1" applyFill="1" applyBorder="1"/>
    <xf numFmtId="3" fontId="81" fillId="59" borderId="245" xfId="2" applyNumberFormat="1" applyFont="1" applyFill="1" applyBorder="1"/>
    <xf numFmtId="0" fontId="94" fillId="0" borderId="0" xfId="2" applyFont="1"/>
    <xf numFmtId="0" fontId="81" fillId="0" borderId="100" xfId="2" applyFont="1" applyBorder="1" applyProtection="1">
      <protection locked="0"/>
    </xf>
    <xf numFmtId="0" fontId="93" fillId="45" borderId="245" xfId="2" applyFont="1" applyFill="1" applyBorder="1" applyProtection="1">
      <protection locked="0"/>
    </xf>
    <xf numFmtId="0" fontId="81" fillId="0" borderId="245" xfId="2" applyFont="1" applyBorder="1" applyProtection="1">
      <protection locked="0"/>
    </xf>
    <xf numFmtId="3" fontId="81" fillId="0" borderId="100" xfId="2" applyNumberFormat="1" applyFont="1" applyBorder="1" applyProtection="1">
      <protection locked="0"/>
    </xf>
    <xf numFmtId="0" fontId="81" fillId="0" borderId="263" xfId="2" applyFont="1" applyBorder="1" applyProtection="1">
      <protection locked="0"/>
    </xf>
    <xf numFmtId="0" fontId="81" fillId="0" borderId="212" xfId="2" applyFont="1" applyBorder="1" applyProtection="1">
      <protection locked="0"/>
    </xf>
    <xf numFmtId="3" fontId="81" fillId="35" borderId="262" xfId="2" applyNumberFormat="1" applyFont="1" applyFill="1" applyBorder="1"/>
    <xf numFmtId="0" fontId="51" fillId="0" borderId="274" xfId="0" applyFont="1" applyBorder="1" applyAlignment="1">
      <alignment horizontal="center" wrapText="1"/>
    </xf>
    <xf numFmtId="0" fontId="90" fillId="0" borderId="62" xfId="2" applyFont="1" applyBorder="1" applyProtection="1">
      <protection locked="0"/>
    </xf>
    <xf numFmtId="0" fontId="81" fillId="0" borderId="62" xfId="2" applyFont="1" applyBorder="1" applyProtection="1">
      <protection locked="0"/>
    </xf>
    <xf numFmtId="4" fontId="81" fillId="0" borderId="62" xfId="2" applyNumberFormat="1" applyFont="1" applyBorder="1" applyProtection="1">
      <protection locked="0"/>
    </xf>
    <xf numFmtId="3" fontId="81" fillId="0" borderId="111" xfId="2" applyNumberFormat="1" applyFont="1" applyBorder="1" applyProtection="1">
      <protection locked="0"/>
    </xf>
    <xf numFmtId="3" fontId="81" fillId="0" borderId="62" xfId="2" applyNumberFormat="1" applyFont="1" applyBorder="1" applyProtection="1">
      <protection locked="0"/>
    </xf>
    <xf numFmtId="3" fontId="81" fillId="0" borderId="261" xfId="2" applyNumberFormat="1" applyFont="1" applyBorder="1" applyProtection="1">
      <protection locked="0"/>
    </xf>
    <xf numFmtId="3" fontId="81" fillId="0" borderId="244" xfId="2" applyNumberFormat="1" applyFont="1" applyBorder="1" applyProtection="1">
      <protection locked="0"/>
    </xf>
    <xf numFmtId="0" fontId="84" fillId="49" borderId="207" xfId="2" applyFont="1" applyFill="1" applyBorder="1"/>
    <xf numFmtId="3" fontId="84" fillId="49" borderId="207" xfId="2" applyNumberFormat="1" applyFont="1" applyFill="1" applyBorder="1"/>
    <xf numFmtId="1" fontId="84" fillId="49" borderId="207" xfId="2" applyNumberFormat="1" applyFont="1" applyFill="1" applyBorder="1"/>
    <xf numFmtId="4" fontId="84" fillId="49" borderId="207" xfId="2" applyNumberFormat="1" applyFont="1" applyFill="1" applyBorder="1"/>
    <xf numFmtId="3" fontId="93" fillId="45" borderId="245" xfId="2" applyNumberFormat="1" applyFont="1" applyFill="1" applyBorder="1" applyProtection="1">
      <protection locked="0"/>
    </xf>
    <xf numFmtId="4" fontId="81" fillId="59" borderId="250" xfId="2" applyNumberFormat="1" applyFont="1" applyFill="1" applyBorder="1"/>
    <xf numFmtId="3" fontId="81" fillId="59" borderId="30" xfId="2" applyNumberFormat="1" applyFont="1" applyFill="1" applyBorder="1"/>
    <xf numFmtId="0" fontId="81" fillId="0" borderId="15" xfId="2" applyFont="1" applyBorder="1" applyProtection="1">
      <protection locked="0"/>
    </xf>
    <xf numFmtId="1" fontId="93" fillId="45" borderId="245" xfId="2" applyNumberFormat="1" applyFont="1" applyFill="1" applyBorder="1"/>
    <xf numFmtId="3" fontId="93" fillId="45" borderId="245" xfId="2" applyNumberFormat="1" applyFont="1" applyFill="1" applyBorder="1"/>
    <xf numFmtId="0" fontId="81" fillId="0" borderId="260" xfId="2" applyFont="1" applyBorder="1" applyProtection="1">
      <protection locked="0"/>
    </xf>
    <xf numFmtId="0" fontId="81" fillId="0" borderId="75" xfId="2" applyFont="1" applyBorder="1" applyProtection="1">
      <protection locked="0"/>
    </xf>
    <xf numFmtId="3" fontId="81" fillId="0" borderId="87" xfId="2" applyNumberFormat="1" applyFont="1" applyBorder="1"/>
    <xf numFmtId="0" fontId="81" fillId="0" borderId="87" xfId="2" applyFont="1" applyBorder="1" applyProtection="1">
      <protection locked="0"/>
    </xf>
    <xf numFmtId="3" fontId="81" fillId="35" borderId="244" xfId="2" applyNumberFormat="1" applyFont="1" applyFill="1" applyBorder="1"/>
    <xf numFmtId="4" fontId="81" fillId="59" borderId="87" xfId="2" applyNumberFormat="1" applyFont="1" applyFill="1" applyBorder="1"/>
    <xf numFmtId="3" fontId="93" fillId="45" borderId="87" xfId="2" applyNumberFormat="1" applyFont="1" applyFill="1" applyBorder="1"/>
    <xf numFmtId="3" fontId="81" fillId="35" borderId="250" xfId="2" applyNumberFormat="1" applyFont="1" applyFill="1" applyBorder="1"/>
    <xf numFmtId="0" fontId="90" fillId="0" borderId="87" xfId="2" applyFont="1" applyBorder="1" applyProtection="1">
      <protection locked="0"/>
    </xf>
    <xf numFmtId="4" fontId="81" fillId="0" borderId="87" xfId="2" applyNumberFormat="1" applyFont="1" applyBorder="1" applyProtection="1">
      <protection locked="0"/>
    </xf>
    <xf numFmtId="3" fontId="81" fillId="0" borderId="245" xfId="2" applyNumberFormat="1" applyFont="1" applyBorder="1" applyProtection="1">
      <protection locked="0"/>
    </xf>
    <xf numFmtId="4" fontId="81" fillId="0" borderId="250" xfId="2" applyNumberFormat="1" applyFont="1" applyBorder="1" applyProtection="1">
      <protection locked="0"/>
    </xf>
    <xf numFmtId="3" fontId="81" fillId="59" borderId="259" xfId="2" applyNumberFormat="1" applyFont="1" applyFill="1" applyBorder="1"/>
    <xf numFmtId="4" fontId="81" fillId="0" borderId="250" xfId="2" applyNumberFormat="1" applyFont="1" applyBorder="1"/>
    <xf numFmtId="0" fontId="90" fillId="0" borderId="100" xfId="2" applyFont="1" applyBorder="1" applyProtection="1">
      <protection locked="0"/>
    </xf>
    <xf numFmtId="3" fontId="81" fillId="0" borderId="87" xfId="2" applyNumberFormat="1" applyFont="1" applyBorder="1" applyProtection="1">
      <protection locked="0"/>
    </xf>
    <xf numFmtId="0" fontId="81" fillId="0" borderId="250" xfId="2" applyFont="1" applyBorder="1" applyProtection="1">
      <protection locked="0"/>
    </xf>
    <xf numFmtId="1" fontId="81" fillId="0" borderId="245" xfId="2" applyNumberFormat="1" applyFont="1" applyBorder="1" applyProtection="1">
      <protection locked="0"/>
    </xf>
    <xf numFmtId="4" fontId="81" fillId="0" borderId="100" xfId="2" applyNumberFormat="1" applyFont="1" applyBorder="1" applyProtection="1">
      <protection locked="0"/>
    </xf>
    <xf numFmtId="3" fontId="81" fillId="0" borderId="30" xfId="2" applyNumberFormat="1" applyFont="1" applyBorder="1" applyProtection="1">
      <protection locked="0"/>
    </xf>
    <xf numFmtId="0" fontId="81" fillId="0" borderId="185" xfId="2" applyFont="1" applyBorder="1" applyProtection="1">
      <protection locked="0"/>
    </xf>
    <xf numFmtId="0" fontId="81" fillId="0" borderId="257" xfId="2" applyFont="1" applyBorder="1" applyProtection="1">
      <protection locked="0"/>
    </xf>
    <xf numFmtId="0" fontId="81" fillId="0" borderId="258" xfId="2" applyFont="1" applyBorder="1" applyProtection="1">
      <protection locked="0"/>
    </xf>
    <xf numFmtId="4" fontId="81" fillId="0" borderId="185" xfId="2" applyNumberFormat="1" applyFont="1" applyBorder="1" applyProtection="1">
      <protection locked="0"/>
    </xf>
    <xf numFmtId="3" fontId="81" fillId="0" borderId="257" xfId="2" applyNumberFormat="1" applyFont="1" applyBorder="1" applyProtection="1">
      <protection locked="0"/>
    </xf>
    <xf numFmtId="3" fontId="81" fillId="0" borderId="256" xfId="2" applyNumberFormat="1" applyFont="1" applyBorder="1" applyProtection="1">
      <protection locked="0"/>
    </xf>
    <xf numFmtId="3" fontId="81" fillId="0" borderId="186" xfId="2" applyNumberFormat="1" applyFont="1" applyBorder="1" applyProtection="1">
      <protection locked="0"/>
    </xf>
    <xf numFmtId="0" fontId="81" fillId="0" borderId="243" xfId="2" applyFont="1" applyBorder="1" applyProtection="1">
      <protection locked="0"/>
    </xf>
    <xf numFmtId="0" fontId="81" fillId="0" borderId="255" xfId="2" applyFont="1" applyBorder="1" applyProtection="1">
      <protection locked="0"/>
    </xf>
    <xf numFmtId="4" fontId="81" fillId="0" borderId="165" xfId="2" applyNumberFormat="1" applyFont="1" applyBorder="1" applyProtection="1">
      <protection locked="0"/>
    </xf>
    <xf numFmtId="3" fontId="81" fillId="0" borderId="243" xfId="2" applyNumberFormat="1" applyFont="1" applyBorder="1" applyProtection="1">
      <protection locked="0"/>
    </xf>
    <xf numFmtId="3" fontId="81" fillId="0" borderId="167" xfId="2" applyNumberFormat="1" applyFont="1" applyBorder="1" applyProtection="1">
      <protection locked="0"/>
    </xf>
    <xf numFmtId="3" fontId="81" fillId="0" borderId="168" xfId="2" applyNumberFormat="1" applyFont="1" applyBorder="1" applyProtection="1">
      <protection locked="0"/>
    </xf>
    <xf numFmtId="0" fontId="81" fillId="0" borderId="222" xfId="2" applyFont="1" applyBorder="1" applyProtection="1">
      <protection locked="0"/>
    </xf>
    <xf numFmtId="0" fontId="81" fillId="0" borderId="127" xfId="2" applyFont="1" applyBorder="1" applyProtection="1">
      <protection locked="0"/>
    </xf>
    <xf numFmtId="4" fontId="81" fillId="0" borderId="14" xfId="2" applyNumberFormat="1" applyFont="1" applyBorder="1" applyProtection="1">
      <protection locked="0"/>
    </xf>
    <xf numFmtId="3" fontId="81" fillId="0" borderId="251" xfId="2" applyNumberFormat="1" applyFont="1" applyBorder="1" applyProtection="1">
      <protection locked="0"/>
    </xf>
    <xf numFmtId="3" fontId="81" fillId="0" borderId="52" xfId="2" applyNumberFormat="1" applyFont="1" applyBorder="1" applyProtection="1">
      <protection locked="0"/>
    </xf>
    <xf numFmtId="3" fontId="81" fillId="0" borderId="53" xfId="2" applyNumberFormat="1" applyFont="1" applyBorder="1" applyProtection="1">
      <protection locked="0"/>
    </xf>
    <xf numFmtId="0" fontId="81" fillId="11" borderId="174" xfId="2" applyFont="1" applyFill="1" applyBorder="1" applyProtection="1">
      <protection locked="0"/>
    </xf>
    <xf numFmtId="0" fontId="81" fillId="11" borderId="119" xfId="2" applyFont="1" applyFill="1" applyBorder="1" applyProtection="1">
      <protection locked="0"/>
    </xf>
    <xf numFmtId="0" fontId="81" fillId="11" borderId="6" xfId="2" applyFont="1" applyFill="1" applyBorder="1" applyProtection="1">
      <protection locked="0"/>
    </xf>
    <xf numFmtId="3" fontId="81" fillId="35" borderId="254" xfId="2" applyNumberFormat="1" applyFont="1" applyFill="1" applyBorder="1"/>
    <xf numFmtId="3" fontId="81" fillId="35" borderId="253" xfId="2" applyNumberFormat="1" applyFont="1" applyFill="1" applyBorder="1"/>
    <xf numFmtId="3" fontId="81" fillId="35" borderId="252" xfId="2" applyNumberFormat="1" applyFont="1" applyFill="1" applyBorder="1"/>
    <xf numFmtId="3" fontId="81" fillId="35" borderId="246" xfId="2" applyNumberFormat="1" applyFont="1" applyFill="1" applyBorder="1"/>
    <xf numFmtId="0" fontId="95" fillId="0" borderId="0" xfId="2" applyFont="1" applyProtection="1">
      <protection locked="0"/>
    </xf>
    <xf numFmtId="0" fontId="81" fillId="0" borderId="251" xfId="2" applyFont="1" applyBorder="1" applyProtection="1">
      <protection locked="0"/>
    </xf>
    <xf numFmtId="0" fontId="81" fillId="0" borderId="52" xfId="2" applyFont="1" applyBorder="1" applyProtection="1">
      <protection locked="0"/>
    </xf>
    <xf numFmtId="0" fontId="81" fillId="0" borderId="53" xfId="2" applyFont="1" applyBorder="1" applyProtection="1">
      <protection locked="0"/>
    </xf>
    <xf numFmtId="0" fontId="81" fillId="11" borderId="244" xfId="2" applyFont="1" applyFill="1" applyBorder="1" applyProtection="1">
      <protection locked="0"/>
    </xf>
    <xf numFmtId="0" fontId="81" fillId="0" borderId="0" xfId="2" applyFont="1" applyAlignment="1" applyProtection="1">
      <alignment horizontal="right"/>
      <protection locked="0"/>
    </xf>
    <xf numFmtId="3" fontId="81" fillId="11" borderId="251" xfId="2" applyNumberFormat="1" applyFont="1" applyFill="1" applyBorder="1" applyProtection="1">
      <protection locked="0"/>
    </xf>
    <xf numFmtId="3" fontId="81" fillId="59" borderId="30" xfId="2" applyNumberFormat="1" applyFont="1" applyFill="1" applyBorder="1" applyProtection="1">
      <protection locked="0"/>
    </xf>
    <xf numFmtId="3" fontId="81" fillId="11" borderId="53" xfId="2" applyNumberFormat="1" applyFont="1" applyFill="1" applyBorder="1" applyProtection="1">
      <protection locked="0"/>
    </xf>
    <xf numFmtId="3" fontId="81" fillId="11" borderId="52" xfId="2" applyNumberFormat="1" applyFont="1" applyFill="1" applyBorder="1" applyProtection="1">
      <protection locked="0"/>
    </xf>
    <xf numFmtId="0" fontId="81" fillId="11" borderId="15" xfId="2" applyFont="1" applyFill="1" applyBorder="1" applyProtection="1">
      <protection locked="0"/>
    </xf>
    <xf numFmtId="10" fontId="93" fillId="45" borderId="250" xfId="2" applyNumberFormat="1" applyFont="1" applyFill="1" applyBorder="1" applyProtection="1">
      <protection locked="0"/>
    </xf>
    <xf numFmtId="3" fontId="81" fillId="59" borderId="241" xfId="2" applyNumberFormat="1" applyFont="1" applyFill="1" applyBorder="1" applyProtection="1">
      <protection locked="0"/>
    </xf>
    <xf numFmtId="3" fontId="81" fillId="59" borderId="240" xfId="2" applyNumberFormat="1" applyFont="1" applyFill="1" applyBorder="1" applyProtection="1">
      <protection locked="0"/>
    </xf>
    <xf numFmtId="3" fontId="81" fillId="59" borderId="239" xfId="2" applyNumberFormat="1" applyFont="1" applyFill="1" applyBorder="1" applyProtection="1">
      <protection locked="0"/>
    </xf>
    <xf numFmtId="0" fontId="81" fillId="11" borderId="0" xfId="2" applyFont="1" applyFill="1" applyProtection="1">
      <protection locked="0"/>
    </xf>
    <xf numFmtId="0" fontId="81" fillId="11" borderId="0" xfId="2" applyFont="1" applyFill="1" applyAlignment="1" applyProtection="1">
      <alignment horizontal="right"/>
      <protection locked="0"/>
    </xf>
    <xf numFmtId="10" fontId="81" fillId="11" borderId="250" xfId="2" applyNumberFormat="1" applyFont="1" applyFill="1" applyBorder="1" applyProtection="1">
      <protection locked="0"/>
    </xf>
    <xf numFmtId="3" fontId="81" fillId="59" borderId="249" xfId="2" applyNumberFormat="1" applyFont="1" applyFill="1" applyBorder="1" applyProtection="1">
      <protection locked="0"/>
    </xf>
    <xf numFmtId="3" fontId="81" fillId="59" borderId="248" xfId="2" applyNumberFormat="1" applyFont="1" applyFill="1" applyBorder="1" applyProtection="1">
      <protection locked="0"/>
    </xf>
    <xf numFmtId="3" fontId="81" fillId="59" borderId="247" xfId="2" applyNumberFormat="1" applyFont="1" applyFill="1" applyBorder="1" applyProtection="1">
      <protection locked="0"/>
    </xf>
    <xf numFmtId="3" fontId="81" fillId="59" borderId="245" xfId="2" applyNumberFormat="1" applyFont="1" applyFill="1" applyBorder="1" applyProtection="1">
      <protection locked="0"/>
    </xf>
    <xf numFmtId="3" fontId="81" fillId="59" borderId="101" xfId="2" applyNumberFormat="1" applyFont="1" applyFill="1" applyBorder="1" applyProtection="1">
      <protection locked="0"/>
    </xf>
    <xf numFmtId="10" fontId="81" fillId="0" borderId="242" xfId="2" applyNumberFormat="1" applyFont="1" applyBorder="1" applyProtection="1">
      <protection locked="0"/>
    </xf>
    <xf numFmtId="3" fontId="81" fillId="59" borderId="243" xfId="2" applyNumberFormat="1" applyFont="1" applyFill="1" applyBorder="1" applyProtection="1">
      <protection locked="0"/>
    </xf>
    <xf numFmtId="3" fontId="81" fillId="59" borderId="167" xfId="2" applyNumberFormat="1" applyFont="1" applyFill="1" applyBorder="1" applyProtection="1">
      <protection locked="0"/>
    </xf>
    <xf numFmtId="3" fontId="81" fillId="59" borderId="168" xfId="2" applyNumberFormat="1" applyFont="1" applyFill="1" applyBorder="1" applyAlignment="1" applyProtection="1">
      <alignment horizontal="right"/>
      <protection locked="0"/>
    </xf>
    <xf numFmtId="10" fontId="81" fillId="11" borderId="238" xfId="2" applyNumberFormat="1" applyFont="1" applyFill="1" applyBorder="1" applyProtection="1">
      <protection locked="0"/>
    </xf>
    <xf numFmtId="0" fontId="81" fillId="0" borderId="119" xfId="2" applyFont="1" applyBorder="1" applyProtection="1">
      <protection locked="0"/>
    </xf>
    <xf numFmtId="0" fontId="81" fillId="0" borderId="175" xfId="2" applyFont="1" applyBorder="1" applyProtection="1">
      <protection locked="0"/>
    </xf>
    <xf numFmtId="3" fontId="50" fillId="34" borderId="249" xfId="2" applyNumberFormat="1" applyFont="1" applyFill="1" applyBorder="1"/>
    <xf numFmtId="3" fontId="50" fillId="34" borderId="248" xfId="2" applyNumberFormat="1" applyFont="1" applyFill="1" applyBorder="1"/>
    <xf numFmtId="3" fontId="50" fillId="34" borderId="247" xfId="2" applyNumberFormat="1" applyFont="1" applyFill="1" applyBorder="1"/>
    <xf numFmtId="3" fontId="50" fillId="34" borderId="246" xfId="2" applyNumberFormat="1" applyFont="1" applyFill="1" applyBorder="1"/>
    <xf numFmtId="3" fontId="81" fillId="11" borderId="245" xfId="2" applyNumberFormat="1" applyFont="1" applyFill="1" applyBorder="1"/>
    <xf numFmtId="3" fontId="81" fillId="11" borderId="30" xfId="2" applyNumberFormat="1" applyFont="1" applyFill="1" applyBorder="1"/>
    <xf numFmtId="3" fontId="81" fillId="11" borderId="101" xfId="2" applyNumberFormat="1" applyFont="1" applyFill="1" applyBorder="1"/>
    <xf numFmtId="3" fontId="81" fillId="11" borderId="244" xfId="2" applyNumberFormat="1" applyFont="1" applyFill="1" applyBorder="1"/>
    <xf numFmtId="3" fontId="51" fillId="0" borderId="243" xfId="3" applyNumberFormat="1" applyFont="1" applyBorder="1" applyProtection="1">
      <protection locked="0"/>
    </xf>
    <xf numFmtId="3" fontId="51" fillId="0" borderId="167" xfId="3" applyNumberFormat="1" applyFont="1" applyBorder="1" applyProtection="1">
      <protection locked="0"/>
    </xf>
    <xf numFmtId="3" fontId="51" fillId="0" borderId="168" xfId="3" applyNumberFormat="1" applyFont="1" applyBorder="1" applyProtection="1">
      <protection locked="0"/>
    </xf>
    <xf numFmtId="0" fontId="81" fillId="10" borderId="242" xfId="2" applyFont="1" applyFill="1" applyBorder="1" applyProtection="1">
      <protection locked="0"/>
    </xf>
    <xf numFmtId="4" fontId="81" fillId="60" borderId="241" xfId="2" applyNumberFormat="1" applyFont="1" applyFill="1" applyBorder="1"/>
    <xf numFmtId="4" fontId="81" fillId="60" borderId="240" xfId="2" applyNumberFormat="1" applyFont="1" applyFill="1" applyBorder="1"/>
    <xf numFmtId="4" fontId="81" fillId="60" borderId="239" xfId="2" applyNumberFormat="1" applyFont="1" applyFill="1" applyBorder="1"/>
    <xf numFmtId="2" fontId="81" fillId="60" borderId="238" xfId="2" applyNumberFormat="1" applyFont="1" applyFill="1" applyBorder="1" applyProtection="1">
      <protection locked="0"/>
    </xf>
    <xf numFmtId="0" fontId="90" fillId="0" borderId="0" xfId="2" applyFont="1" applyProtection="1">
      <protection locked="0"/>
    </xf>
    <xf numFmtId="0" fontId="90" fillId="0" borderId="0" xfId="2" applyFont="1"/>
    <xf numFmtId="0" fontId="90" fillId="0" borderId="0" xfId="2" applyFont="1" applyAlignment="1" applyProtection="1">
      <alignment horizontal="right"/>
      <protection locked="0"/>
    </xf>
    <xf numFmtId="3" fontId="81" fillId="0" borderId="0" xfId="2" applyNumberFormat="1" applyFont="1" applyProtection="1">
      <protection locked="0"/>
    </xf>
    <xf numFmtId="170" fontId="81" fillId="0" borderId="0" xfId="2" applyNumberFormat="1" applyFont="1" applyProtection="1">
      <protection locked="0"/>
    </xf>
    <xf numFmtId="0" fontId="81" fillId="0" borderId="0" xfId="2" applyFont="1" applyAlignment="1" applyProtection="1">
      <alignment horizontal="left" wrapText="1"/>
      <protection locked="0"/>
    </xf>
    <xf numFmtId="0" fontId="0" fillId="0" borderId="207" xfId="0" applyBorder="1"/>
    <xf numFmtId="166" fontId="0" fillId="0" borderId="0" xfId="0" applyNumberFormat="1"/>
    <xf numFmtId="0" fontId="0" fillId="0" borderId="238" xfId="0" applyBorder="1" applyAlignment="1" applyProtection="1">
      <alignment horizontal="center"/>
      <protection locked="0"/>
    </xf>
    <xf numFmtId="0" fontId="0" fillId="0" borderId="244" xfId="0" applyBorder="1" applyAlignment="1" applyProtection="1">
      <alignment horizontal="center"/>
      <protection locked="0"/>
    </xf>
    <xf numFmtId="171" fontId="0" fillId="0" borderId="0" xfId="0" applyNumberFormat="1"/>
    <xf numFmtId="0" fontId="96" fillId="0" borderId="0" xfId="0" applyFont="1"/>
    <xf numFmtId="0" fontId="0" fillId="0" borderId="0" xfId="0" applyAlignment="1">
      <alignment horizontal="center"/>
    </xf>
    <xf numFmtId="0" fontId="98" fillId="53" borderId="0" xfId="0" applyFont="1" applyFill="1"/>
    <xf numFmtId="0" fontId="48" fillId="53" borderId="0" xfId="0" applyFont="1" applyFill="1"/>
    <xf numFmtId="0" fontId="99" fillId="61" borderId="284" xfId="0" applyFont="1" applyFill="1" applyBorder="1"/>
    <xf numFmtId="0" fontId="99" fillId="61" borderId="285" xfId="0" applyFont="1" applyFill="1" applyBorder="1"/>
    <xf numFmtId="0" fontId="0" fillId="62" borderId="285" xfId="0" applyFill="1" applyBorder="1"/>
    <xf numFmtId="0" fontId="0" fillId="62" borderId="284" xfId="0" applyFill="1" applyBorder="1"/>
    <xf numFmtId="0" fontId="0" fillId="0" borderId="285" xfId="0" applyBorder="1"/>
    <xf numFmtId="0" fontId="0" fillId="0" borderId="284" xfId="0" applyBorder="1"/>
    <xf numFmtId="166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171" fontId="69" fillId="49" borderId="207" xfId="4" applyNumberFormat="1" applyFont="1" applyFill="1" applyBorder="1"/>
    <xf numFmtId="0" fontId="64" fillId="55" borderId="275" xfId="0" applyFont="1" applyFill="1" applyBorder="1" applyAlignment="1">
      <alignment vertical="top" wrapText="1"/>
    </xf>
    <xf numFmtId="0" fontId="64" fillId="52" borderId="275" xfId="0" applyFont="1" applyFill="1" applyBorder="1" applyAlignment="1">
      <alignment vertical="top" wrapText="1"/>
    </xf>
    <xf numFmtId="171" fontId="100" fillId="38" borderId="0" xfId="0" applyNumberFormat="1" applyFont="1" applyFill="1"/>
    <xf numFmtId="0" fontId="100" fillId="0" borderId="0" xfId="0" applyFont="1"/>
    <xf numFmtId="0" fontId="100" fillId="0" borderId="0" xfId="0" applyFont="1" applyAlignment="1">
      <alignment horizontal="center"/>
    </xf>
    <xf numFmtId="171" fontId="45" fillId="60" borderId="0" xfId="4" applyNumberFormat="1" applyFont="1" applyFill="1"/>
    <xf numFmtId="1" fontId="0" fillId="0" borderId="0" xfId="0" applyNumberFormat="1"/>
    <xf numFmtId="0" fontId="101" fillId="26" borderId="287" xfId="2" applyFont="1" applyFill="1" applyBorder="1" applyAlignment="1">
      <alignment horizontal="left" wrapText="1"/>
    </xf>
    <xf numFmtId="171" fontId="72" fillId="26" borderId="287" xfId="4" applyNumberFormat="1" applyFont="1" applyFill="1" applyBorder="1" applyAlignment="1">
      <alignment horizontal="center"/>
    </xf>
    <xf numFmtId="0" fontId="72" fillId="26" borderId="287" xfId="2" applyFont="1" applyFill="1" applyBorder="1" applyAlignment="1">
      <alignment horizontal="center"/>
    </xf>
    <xf numFmtId="3" fontId="72" fillId="26" borderId="287" xfId="2" applyNumberFormat="1" applyFont="1" applyFill="1" applyBorder="1" applyAlignment="1">
      <alignment horizontal="center"/>
    </xf>
    <xf numFmtId="9" fontId="72" fillId="26" borderId="287" xfId="1" applyFont="1" applyFill="1" applyBorder="1" applyAlignment="1">
      <alignment horizontal="center"/>
    </xf>
    <xf numFmtId="0" fontId="70" fillId="44" borderId="275" xfId="2" applyFont="1" applyFill="1" applyBorder="1" applyAlignment="1">
      <alignment horizontal="center" wrapText="1"/>
    </xf>
    <xf numFmtId="0" fontId="102" fillId="44" borderId="275" xfId="0" applyFont="1" applyFill="1" applyBorder="1" applyAlignment="1">
      <alignment horizontal="center" wrapText="1"/>
    </xf>
    <xf numFmtId="0" fontId="70" fillId="44" borderId="275" xfId="2" applyFont="1" applyFill="1" applyBorder="1" applyAlignment="1">
      <alignment horizontal="left" wrapText="1"/>
    </xf>
    <xf numFmtId="3" fontId="103" fillId="50" borderId="0" xfId="0" applyNumberFormat="1" applyFont="1" applyFill="1"/>
    <xf numFmtId="1" fontId="72" fillId="26" borderId="287" xfId="2" applyNumberFormat="1" applyFont="1" applyFill="1" applyBorder="1" applyAlignment="1">
      <alignment horizontal="center"/>
    </xf>
    <xf numFmtId="0" fontId="104" fillId="26" borderId="287" xfId="2" applyFont="1" applyFill="1" applyBorder="1" applyAlignment="1">
      <alignment horizontal="left" wrapText="1"/>
    </xf>
    <xf numFmtId="0" fontId="102" fillId="44" borderId="288" xfId="0" applyFont="1" applyFill="1" applyBorder="1" applyAlignment="1">
      <alignment horizontal="center" wrapText="1"/>
    </xf>
    <xf numFmtId="0" fontId="105" fillId="0" borderId="0" xfId="2" applyFont="1"/>
    <xf numFmtId="0" fontId="64" fillId="49" borderId="275" xfId="0" applyFont="1" applyFill="1" applyBorder="1" applyAlignment="1">
      <alignment vertical="top" wrapText="1"/>
    </xf>
    <xf numFmtId="171" fontId="0" fillId="49" borderId="0" xfId="4" applyNumberFormat="1" applyFont="1" applyFill="1" applyAlignment="1">
      <alignment horizontal="center"/>
    </xf>
    <xf numFmtId="0" fontId="64" fillId="51" borderId="283" xfId="0" applyFont="1" applyFill="1" applyBorder="1" applyAlignment="1">
      <alignment horizontal="center" vertical="top" wrapText="1"/>
    </xf>
    <xf numFmtId="0" fontId="107" fillId="55" borderId="289" xfId="0" applyFont="1" applyFill="1" applyBorder="1" applyAlignment="1">
      <alignment vertical="top"/>
    </xf>
    <xf numFmtId="0" fontId="64" fillId="55" borderId="283" xfId="0" applyFont="1" applyFill="1" applyBorder="1" applyAlignment="1">
      <alignment vertical="top" wrapText="1"/>
    </xf>
    <xf numFmtId="0" fontId="69" fillId="55" borderId="283" xfId="2" applyFont="1" applyFill="1" applyBorder="1" applyAlignment="1">
      <alignment horizontal="center" vertical="top" wrapText="1"/>
    </xf>
    <xf numFmtId="0" fontId="106" fillId="55" borderId="0" xfId="0" applyFont="1" applyFill="1" applyAlignment="1">
      <alignment vertical="top"/>
    </xf>
    <xf numFmtId="0" fontId="59" fillId="48" borderId="286" xfId="0" applyFont="1" applyFill="1" applyBorder="1" applyAlignment="1">
      <alignment horizontal="center"/>
    </xf>
    <xf numFmtId="166" fontId="56" fillId="0" borderId="0" xfId="0" applyNumberFormat="1" applyFont="1"/>
    <xf numFmtId="1" fontId="56" fillId="0" borderId="0" xfId="0" applyNumberFormat="1" applyFont="1"/>
    <xf numFmtId="0" fontId="56" fillId="0" borderId="0" xfId="0" applyFont="1"/>
    <xf numFmtId="0" fontId="93" fillId="56" borderId="0" xfId="2" applyFont="1" applyFill="1"/>
    <xf numFmtId="0" fontId="93" fillId="56" borderId="0" xfId="2" applyFont="1" applyFill="1" applyProtection="1">
      <protection locked="0"/>
    </xf>
    <xf numFmtId="171" fontId="81" fillId="0" borderId="207" xfId="4" applyNumberFormat="1" applyFont="1" applyBorder="1"/>
    <xf numFmtId="0" fontId="93" fillId="0" borderId="0" xfId="2" applyFont="1" applyProtection="1">
      <protection locked="0"/>
    </xf>
    <xf numFmtId="166" fontId="108" fillId="0" borderId="0" xfId="2" applyNumberFormat="1" applyFont="1" applyProtection="1">
      <protection locked="0"/>
    </xf>
    <xf numFmtId="4" fontId="93" fillId="0" borderId="0" xfId="2" applyNumberFormat="1" applyFont="1"/>
    <xf numFmtId="0" fontId="93" fillId="0" borderId="0" xfId="2" applyFont="1"/>
    <xf numFmtId="1" fontId="108" fillId="0" borderId="0" xfId="2" applyNumberFormat="1" applyFont="1"/>
    <xf numFmtId="1" fontId="108" fillId="0" borderId="0" xfId="2" applyNumberFormat="1" applyFont="1" applyProtection="1">
      <protection locked="0"/>
    </xf>
    <xf numFmtId="1" fontId="72" fillId="26" borderId="287" xfId="4" applyNumberFormat="1" applyFont="1" applyFill="1" applyBorder="1" applyAlignment="1">
      <alignment horizontal="center"/>
    </xf>
    <xf numFmtId="0" fontId="49" fillId="0" borderId="114" xfId="5" quotePrefix="1" applyBorder="1" applyProtection="1">
      <protection locked="0"/>
    </xf>
    <xf numFmtId="0" fontId="61" fillId="49" borderId="287" xfId="2" applyFont="1" applyFill="1" applyBorder="1" applyAlignment="1">
      <alignment horizontal="left" wrapText="1"/>
    </xf>
    <xf numFmtId="171" fontId="69" fillId="49" borderId="287" xfId="4" applyNumberFormat="1" applyFont="1" applyFill="1" applyBorder="1" applyAlignment="1">
      <alignment horizontal="center"/>
    </xf>
    <xf numFmtId="0" fontId="69" fillId="49" borderId="287" xfId="2" applyFont="1" applyFill="1" applyBorder="1" applyAlignment="1">
      <alignment horizontal="center"/>
    </xf>
    <xf numFmtId="1" fontId="69" fillId="49" borderId="287" xfId="2" applyNumberFormat="1" applyFont="1" applyFill="1" applyBorder="1" applyAlignment="1">
      <alignment horizontal="center"/>
    </xf>
    <xf numFmtId="3" fontId="69" fillId="49" borderId="287" xfId="2" applyNumberFormat="1" applyFont="1" applyFill="1" applyBorder="1" applyAlignment="1">
      <alignment horizontal="center"/>
    </xf>
    <xf numFmtId="9" fontId="69" fillId="49" borderId="287" xfId="1" applyFont="1" applyFill="1" applyBorder="1" applyAlignment="1">
      <alignment horizontal="center"/>
    </xf>
    <xf numFmtId="43" fontId="69" fillId="49" borderId="287" xfId="4" applyFont="1" applyFill="1" applyBorder="1" applyAlignment="1">
      <alignment horizontal="center"/>
    </xf>
    <xf numFmtId="0" fontId="109" fillId="0" borderId="0" xfId="0" applyFont="1"/>
    <xf numFmtId="2" fontId="58" fillId="26" borderId="264" xfId="0" applyNumberFormat="1" applyFont="1" applyFill="1" applyBorder="1"/>
    <xf numFmtId="2" fontId="110" fillId="43" borderId="92" xfId="0" applyNumberFormat="1" applyFont="1" applyFill="1" applyBorder="1" applyProtection="1">
      <protection locked="0"/>
    </xf>
    <xf numFmtId="4" fontId="110" fillId="43" borderId="92" xfId="0" applyNumberFormat="1" applyFont="1" applyFill="1" applyBorder="1" applyProtection="1">
      <protection locked="0"/>
    </xf>
    <xf numFmtId="0" fontId="51" fillId="0" borderId="0" xfId="0" applyFont="1" applyAlignment="1">
      <alignment horizontal="left"/>
    </xf>
    <xf numFmtId="171" fontId="111" fillId="0" borderId="0" xfId="4" applyNumberFormat="1" applyFont="1"/>
    <xf numFmtId="0" fontId="81" fillId="0" borderId="6" xfId="2" applyFont="1" applyBorder="1"/>
    <xf numFmtId="0" fontId="81" fillId="0" borderId="7" xfId="2" applyFont="1" applyBorder="1"/>
    <xf numFmtId="0" fontId="81" fillId="0" borderId="8" xfId="2" applyFont="1" applyBorder="1"/>
    <xf numFmtId="0" fontId="81" fillId="0" borderId="14" xfId="2" applyFont="1" applyBorder="1"/>
    <xf numFmtId="0" fontId="81" fillId="0" borderId="15" xfId="2" applyFont="1" applyBorder="1"/>
    <xf numFmtId="0" fontId="81" fillId="0" borderId="222" xfId="2" applyFont="1" applyBorder="1"/>
    <xf numFmtId="0" fontId="81" fillId="0" borderId="223" xfId="2" applyFont="1" applyBorder="1"/>
    <xf numFmtId="2" fontId="81" fillId="0" borderId="0" xfId="2" applyNumberFormat="1" applyFont="1"/>
    <xf numFmtId="0" fontId="81" fillId="63" borderId="15" xfId="2" applyFont="1" applyFill="1" applyBorder="1"/>
    <xf numFmtId="0" fontId="0" fillId="43" borderId="0" xfId="0" applyFill="1"/>
    <xf numFmtId="0" fontId="48" fillId="43" borderId="0" xfId="0" applyFont="1" applyFill="1"/>
    <xf numFmtId="10" fontId="81" fillId="0" borderId="0" xfId="1" applyNumberFormat="1" applyFont="1"/>
    <xf numFmtId="3" fontId="93" fillId="45" borderId="87" xfId="2" applyNumberFormat="1" applyFont="1" applyFill="1" applyBorder="1" applyProtection="1">
      <protection locked="0"/>
    </xf>
    <xf numFmtId="2" fontId="81" fillId="64" borderId="0" xfId="2" applyNumberFormat="1" applyFont="1" applyFill="1"/>
    <xf numFmtId="0" fontId="81" fillId="64" borderId="127" xfId="2" applyFont="1" applyFill="1" applyBorder="1"/>
    <xf numFmtId="0" fontId="81" fillId="64" borderId="0" xfId="2" applyFont="1" applyFill="1"/>
    <xf numFmtId="20" fontId="0" fillId="0" borderId="0" xfId="0" applyNumberFormat="1"/>
    <xf numFmtId="166" fontId="74" fillId="0" borderId="0" xfId="0" applyNumberFormat="1" applyFont="1" applyAlignment="1">
      <alignment horizontal="left"/>
    </xf>
    <xf numFmtId="174" fontId="0" fillId="0" borderId="0" xfId="0" applyNumberFormat="1"/>
    <xf numFmtId="0" fontId="0" fillId="66" borderId="294" xfId="0" applyFill="1" applyBorder="1"/>
    <xf numFmtId="0" fontId="0" fillId="0" borderId="29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75" fontId="0" fillId="0" borderId="0" xfId="0" applyNumberFormat="1"/>
    <xf numFmtId="0" fontId="0" fillId="0" borderId="0" xfId="0" quotePrefix="1"/>
    <xf numFmtId="0" fontId="0" fillId="0" borderId="0" xfId="0" quotePrefix="1" applyAlignment="1">
      <alignment horizontal="right"/>
    </xf>
    <xf numFmtId="0" fontId="73" fillId="65" borderId="0" xfId="0" applyFont="1" applyFill="1"/>
    <xf numFmtId="0" fontId="113" fillId="0" borderId="0" xfId="0" applyFont="1" applyAlignment="1">
      <alignment horizontal="center"/>
    </xf>
    <xf numFmtId="0" fontId="0" fillId="65" borderId="0" xfId="0" applyFill="1" applyAlignment="1">
      <alignment vertical="top" wrapText="1"/>
    </xf>
    <xf numFmtId="0" fontId="0" fillId="38" borderId="0" xfId="0" applyFill="1"/>
    <xf numFmtId="0" fontId="113" fillId="65" borderId="0" xfId="0" applyFont="1" applyFill="1" applyAlignment="1">
      <alignment vertical="top" wrapText="1"/>
    </xf>
    <xf numFmtId="174" fontId="0" fillId="65" borderId="0" xfId="0" applyNumberFormat="1" applyFill="1" applyAlignment="1">
      <alignment vertical="top" wrapText="1"/>
    </xf>
    <xf numFmtId="9" fontId="0" fillId="65" borderId="0" xfId="0" applyNumberFormat="1" applyFill="1" applyAlignment="1">
      <alignment vertical="top" wrapText="1"/>
    </xf>
    <xf numFmtId="0" fontId="114" fillId="65" borderId="288" xfId="0" applyFont="1" applyFill="1" applyBorder="1" applyAlignment="1">
      <alignment vertical="top" wrapText="1"/>
    </xf>
    <xf numFmtId="0" fontId="114" fillId="65" borderId="291" xfId="0" applyFont="1" applyFill="1" applyBorder="1" applyAlignment="1">
      <alignment vertical="top" wrapText="1"/>
    </xf>
    <xf numFmtId="0" fontId="114" fillId="65" borderId="292" xfId="0" applyFont="1" applyFill="1" applyBorder="1" applyAlignment="1">
      <alignment vertical="top" wrapText="1"/>
    </xf>
    <xf numFmtId="9" fontId="73" fillId="65" borderId="0" xfId="0" applyNumberFormat="1" applyFont="1" applyFill="1" applyAlignment="1">
      <alignment vertical="top" wrapText="1"/>
    </xf>
    <xf numFmtId="1" fontId="73" fillId="65" borderId="0" xfId="0" applyNumberFormat="1" applyFont="1" applyFill="1" applyAlignment="1">
      <alignment vertical="top" wrapText="1"/>
    </xf>
    <xf numFmtId="9" fontId="73" fillId="65" borderId="0" xfId="1" applyFont="1" applyFill="1" applyBorder="1" applyAlignment="1">
      <alignment vertical="top" wrapText="1"/>
    </xf>
    <xf numFmtId="177" fontId="0" fillId="0" borderId="0" xfId="0" applyNumberFormat="1"/>
    <xf numFmtId="2" fontId="46" fillId="38" borderId="0" xfId="0" applyNumberFormat="1" applyFont="1" applyFill="1"/>
    <xf numFmtId="43" fontId="0" fillId="0" borderId="0" xfId="4" applyFont="1"/>
    <xf numFmtId="43" fontId="46" fillId="38" borderId="0" xfId="4" applyFont="1" applyFill="1"/>
    <xf numFmtId="0" fontId="115" fillId="65" borderId="293" xfId="0" applyFont="1" applyFill="1" applyBorder="1" applyAlignment="1">
      <alignment vertical="center" wrapText="1"/>
    </xf>
    <xf numFmtId="0" fontId="116" fillId="65" borderId="0" xfId="0" applyFont="1" applyFill="1"/>
    <xf numFmtId="174" fontId="73" fillId="65" borderId="0" xfId="0" applyNumberFormat="1" applyFont="1" applyFill="1" applyAlignment="1">
      <alignment horizontal="right"/>
    </xf>
    <xf numFmtId="20" fontId="73" fillId="65" borderId="0" xfId="0" applyNumberFormat="1" applyFont="1" applyFill="1" applyAlignment="1">
      <alignment horizontal="right"/>
    </xf>
    <xf numFmtId="174" fontId="73" fillId="65" borderId="0" xfId="0" applyNumberFormat="1" applyFont="1" applyFill="1"/>
    <xf numFmtId="9" fontId="73" fillId="65" borderId="0" xfId="0" applyNumberFormat="1" applyFont="1" applyFill="1"/>
    <xf numFmtId="2" fontId="73" fillId="65" borderId="0" xfId="0" applyNumberFormat="1" applyFont="1" applyFill="1"/>
    <xf numFmtId="1" fontId="73" fillId="65" borderId="0" xfId="0" applyNumberFormat="1" applyFont="1" applyFill="1"/>
    <xf numFmtId="9" fontId="73" fillId="65" borderId="0" xfId="1" applyFont="1" applyFill="1"/>
    <xf numFmtId="20" fontId="73" fillId="65" borderId="0" xfId="0" applyNumberFormat="1" applyFont="1" applyFill="1"/>
    <xf numFmtId="0" fontId="117" fillId="65" borderId="0" xfId="5" applyFont="1" applyFill="1"/>
    <xf numFmtId="0" fontId="113" fillId="0" borderId="0" xfId="0" applyFont="1" applyProtection="1">
      <protection locked="0"/>
    </xf>
    <xf numFmtId="20" fontId="0" fillId="0" borderId="0" xfId="0" applyNumberFormat="1" applyProtection="1">
      <protection locked="0"/>
    </xf>
    <xf numFmtId="174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118" fillId="0" borderId="0" xfId="5" applyFont="1" applyProtection="1">
      <protection locked="0"/>
    </xf>
    <xf numFmtId="0" fontId="119" fillId="0" borderId="0" xfId="0" applyFont="1" applyProtection="1">
      <protection locked="0"/>
    </xf>
    <xf numFmtId="0" fontId="112" fillId="0" borderId="0" xfId="5" applyFont="1" applyProtection="1">
      <protection locked="0"/>
    </xf>
    <xf numFmtId="14" fontId="0" fillId="0" borderId="0" xfId="0" applyNumberFormat="1"/>
    <xf numFmtId="20" fontId="0" fillId="26" borderId="0" xfId="0" applyNumberFormat="1" applyFill="1" applyAlignment="1">
      <alignment horizontal="right"/>
    </xf>
    <xf numFmtId="174" fontId="0" fillId="26" borderId="0" xfId="0" applyNumberFormat="1" applyFill="1" applyAlignment="1">
      <alignment horizontal="right"/>
    </xf>
    <xf numFmtId="2" fontId="0" fillId="26" borderId="0" xfId="0" applyNumberFormat="1" applyFill="1"/>
    <xf numFmtId="1" fontId="0" fillId="26" borderId="0" xfId="0" applyNumberFormat="1" applyFill="1"/>
    <xf numFmtId="9" fontId="0" fillId="26" borderId="0" xfId="1" applyFont="1" applyFill="1"/>
    <xf numFmtId="20" fontId="0" fillId="26" borderId="0" xfId="0" applyNumberFormat="1" applyFill="1"/>
    <xf numFmtId="2" fontId="120" fillId="26" borderId="296" xfId="0" applyNumberFormat="1" applyFont="1" applyFill="1" applyBorder="1"/>
    <xf numFmtId="2" fontId="120" fillId="26" borderId="290" xfId="0" applyNumberFormat="1" applyFont="1" applyFill="1" applyBorder="1"/>
    <xf numFmtId="0" fontId="120" fillId="26" borderId="290" xfId="0" applyFont="1" applyFill="1" applyBorder="1"/>
    <xf numFmtId="9" fontId="120" fillId="26" borderId="290" xfId="0" applyNumberFormat="1" applyFont="1" applyFill="1" applyBorder="1"/>
    <xf numFmtId="0" fontId="120" fillId="68" borderId="297" xfId="0" applyFont="1" applyFill="1" applyBorder="1" applyAlignment="1" applyProtection="1">
      <alignment horizontal="center"/>
      <protection locked="0"/>
    </xf>
    <xf numFmtId="0" fontId="120" fillId="68" borderId="297" xfId="0" applyFont="1" applyFill="1" applyBorder="1" applyAlignment="1" applyProtection="1">
      <alignment horizontal="right"/>
      <protection locked="0"/>
    </xf>
    <xf numFmtId="0" fontId="120" fillId="68" borderId="297" xfId="0" applyFont="1" applyFill="1" applyBorder="1" applyProtection="1">
      <protection locked="0"/>
    </xf>
    <xf numFmtId="176" fontId="120" fillId="68" borderId="297" xfId="4" applyNumberFormat="1" applyFont="1" applyFill="1" applyBorder="1" applyProtection="1">
      <protection locked="0"/>
    </xf>
    <xf numFmtId="20" fontId="120" fillId="69" borderId="297" xfId="0" applyNumberFormat="1" applyFont="1" applyFill="1" applyBorder="1" applyProtection="1">
      <protection locked="0"/>
    </xf>
    <xf numFmtId="20" fontId="120" fillId="70" borderId="297" xfId="0" applyNumberFormat="1" applyFont="1" applyFill="1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222" xfId="0" applyBorder="1" applyProtection="1">
      <protection locked="0"/>
    </xf>
    <xf numFmtId="0" fontId="0" fillId="0" borderId="127" xfId="0" applyBorder="1" applyProtection="1">
      <protection locked="0"/>
    </xf>
    <xf numFmtId="0" fontId="0" fillId="0" borderId="223" xfId="0" applyBorder="1" applyProtection="1">
      <protection locked="0"/>
    </xf>
    <xf numFmtId="0" fontId="55" fillId="41" borderId="0" xfId="5" applyFont="1" applyFill="1" applyAlignment="1" applyProtection="1">
      <alignment horizontal="left" vertical="center" indent="1"/>
    </xf>
    <xf numFmtId="0" fontId="55" fillId="54" borderId="0" xfId="5" applyFont="1" applyFill="1" applyAlignment="1" applyProtection="1">
      <alignment horizontal="left" vertical="center" indent="1"/>
    </xf>
    <xf numFmtId="171" fontId="81" fillId="0" borderId="207" xfId="4" applyNumberFormat="1" applyFont="1" applyBorder="1" applyProtection="1">
      <protection locked="0"/>
    </xf>
    <xf numFmtId="9" fontId="81" fillId="0" borderId="207" xfId="1" applyFont="1" applyBorder="1"/>
    <xf numFmtId="171" fontId="121" fillId="0" borderId="207" xfId="2" applyNumberFormat="1" applyFont="1" applyBorder="1"/>
    <xf numFmtId="171" fontId="121" fillId="0" borderId="0" xfId="4" applyNumberFormat="1" applyFont="1"/>
    <xf numFmtId="171" fontId="81" fillId="0" borderId="0" xfId="4" applyNumberFormat="1" applyFont="1"/>
    <xf numFmtId="0" fontId="0" fillId="0" borderId="175" xfId="0" applyBorder="1"/>
    <xf numFmtId="0" fontId="0" fillId="0" borderId="298" xfId="0" applyBorder="1"/>
    <xf numFmtId="0" fontId="0" fillId="0" borderId="13" xfId="0" applyBorder="1"/>
    <xf numFmtId="0" fontId="19" fillId="0" borderId="207" xfId="0" applyFont="1" applyBorder="1" applyAlignment="1">
      <alignment wrapText="1"/>
    </xf>
    <xf numFmtId="0" fontId="19" fillId="0" borderId="298" xfId="0" applyFont="1" applyBorder="1" applyAlignment="1">
      <alignment wrapText="1"/>
    </xf>
    <xf numFmtId="0" fontId="19" fillId="0" borderId="175" xfId="0" applyFont="1" applyBorder="1" applyAlignment="1">
      <alignment wrapText="1"/>
    </xf>
    <xf numFmtId="0" fontId="0" fillId="71" borderId="207" xfId="0" applyFill="1" applyBorder="1"/>
    <xf numFmtId="0" fontId="0" fillId="71" borderId="298" xfId="0" applyFill="1" applyBorder="1"/>
    <xf numFmtId="0" fontId="0" fillId="71" borderId="175" xfId="0" applyFill="1" applyBorder="1"/>
    <xf numFmtId="9" fontId="0" fillId="71" borderId="207" xfId="0" applyNumberFormat="1" applyFill="1" applyBorder="1"/>
    <xf numFmtId="0" fontId="122" fillId="72" borderId="0" xfId="0" applyFont="1" applyFill="1"/>
    <xf numFmtId="0" fontId="122" fillId="56" borderId="0" xfId="0" applyFont="1" applyFill="1"/>
    <xf numFmtId="0" fontId="122" fillId="48" borderId="0" xfId="0" applyFont="1" applyFill="1"/>
    <xf numFmtId="0" fontId="122" fillId="38" borderId="0" xfId="0" applyFont="1" applyFill="1"/>
    <xf numFmtId="0" fontId="122" fillId="72" borderId="299" xfId="0" applyFont="1" applyFill="1" applyBorder="1"/>
    <xf numFmtId="0" fontId="122" fillId="72" borderId="300" xfId="0" applyFont="1" applyFill="1" applyBorder="1"/>
    <xf numFmtId="0" fontId="122" fillId="72" borderId="301" xfId="0" applyFont="1" applyFill="1" applyBorder="1"/>
    <xf numFmtId="0" fontId="122" fillId="72" borderId="302" xfId="0" applyFont="1" applyFill="1" applyBorder="1"/>
    <xf numFmtId="0" fontId="122" fillId="72" borderId="303" xfId="0" applyFont="1" applyFill="1" applyBorder="1"/>
    <xf numFmtId="0" fontId="122" fillId="72" borderId="304" xfId="0" applyFont="1" applyFill="1" applyBorder="1"/>
    <xf numFmtId="0" fontId="122" fillId="72" borderId="305" xfId="0" applyFont="1" applyFill="1" applyBorder="1"/>
    <xf numFmtId="0" fontId="122" fillId="72" borderId="306" xfId="0" applyFont="1" applyFill="1" applyBorder="1"/>
    <xf numFmtId="0" fontId="122" fillId="56" borderId="299" xfId="0" applyFont="1" applyFill="1" applyBorder="1"/>
    <xf numFmtId="0" fontId="122" fillId="56" borderId="300" xfId="0" applyFont="1" applyFill="1" applyBorder="1"/>
    <xf numFmtId="0" fontId="122" fillId="56" borderId="301" xfId="0" applyFont="1" applyFill="1" applyBorder="1"/>
    <xf numFmtId="0" fontId="122" fillId="56" borderId="302" xfId="0" applyFont="1" applyFill="1" applyBorder="1"/>
    <xf numFmtId="0" fontId="122" fillId="56" borderId="303" xfId="0" applyFont="1" applyFill="1" applyBorder="1"/>
    <xf numFmtId="0" fontId="122" fillId="56" borderId="304" xfId="0" applyFont="1" applyFill="1" applyBorder="1"/>
    <xf numFmtId="0" fontId="122" fillId="56" borderId="305" xfId="0" applyFont="1" applyFill="1" applyBorder="1"/>
    <xf numFmtId="0" fontId="122" fillId="56" borderId="306" xfId="0" applyFont="1" applyFill="1" applyBorder="1"/>
    <xf numFmtId="0" fontId="122" fillId="48" borderId="299" xfId="0" applyFont="1" applyFill="1" applyBorder="1"/>
    <xf numFmtId="0" fontId="122" fillId="48" borderId="300" xfId="0" applyFont="1" applyFill="1" applyBorder="1"/>
    <xf numFmtId="0" fontId="122" fillId="48" borderId="301" xfId="0" applyFont="1" applyFill="1" applyBorder="1"/>
    <xf numFmtId="0" fontId="122" fillId="48" borderId="302" xfId="0" applyFont="1" applyFill="1" applyBorder="1"/>
    <xf numFmtId="0" fontId="122" fillId="48" borderId="303" xfId="0" applyFont="1" applyFill="1" applyBorder="1"/>
    <xf numFmtId="0" fontId="122" fillId="48" borderId="304" xfId="0" applyFont="1" applyFill="1" applyBorder="1"/>
    <xf numFmtId="0" fontId="122" fillId="48" borderId="305" xfId="0" applyFont="1" applyFill="1" applyBorder="1"/>
    <xf numFmtId="0" fontId="122" fillId="48" borderId="306" xfId="0" applyFont="1" applyFill="1" applyBorder="1"/>
    <xf numFmtId="0" fontId="122" fillId="38" borderId="299" xfId="0" applyFont="1" applyFill="1" applyBorder="1"/>
    <xf numFmtId="0" fontId="122" fillId="38" borderId="300" xfId="0" applyFont="1" applyFill="1" applyBorder="1"/>
    <xf numFmtId="0" fontId="122" fillId="38" borderId="301" xfId="0" applyFont="1" applyFill="1" applyBorder="1"/>
    <xf numFmtId="0" fontId="122" fillId="38" borderId="302" xfId="0" applyFont="1" applyFill="1" applyBorder="1"/>
    <xf numFmtId="0" fontId="122" fillId="38" borderId="303" xfId="0" applyFont="1" applyFill="1" applyBorder="1"/>
    <xf numFmtId="0" fontId="122" fillId="38" borderId="304" xfId="0" applyFont="1" applyFill="1" applyBorder="1"/>
    <xf numFmtId="0" fontId="122" fillId="38" borderId="305" xfId="0" applyFont="1" applyFill="1" applyBorder="1"/>
    <xf numFmtId="0" fontId="122" fillId="38" borderId="306" xfId="0" applyFont="1" applyFill="1" applyBorder="1"/>
    <xf numFmtId="0" fontId="0" fillId="26" borderId="0" xfId="0" applyFill="1"/>
    <xf numFmtId="0" fontId="51" fillId="26" borderId="270" xfId="0" applyFont="1" applyFill="1" applyBorder="1" applyAlignment="1">
      <alignment horizontal="left"/>
    </xf>
    <xf numFmtId="0" fontId="51" fillId="26" borderId="271" xfId="0" applyFont="1" applyFill="1" applyBorder="1" applyAlignment="1">
      <alignment horizontal="left"/>
    </xf>
    <xf numFmtId="0" fontId="66" fillId="53" borderId="0" xfId="0" applyFont="1" applyFill="1" applyAlignment="1">
      <alignment horizontal="center"/>
    </xf>
    <xf numFmtId="0" fontId="59" fillId="42" borderId="272" xfId="0" applyFont="1" applyFill="1" applyBorder="1" applyAlignment="1">
      <alignment horizontal="center"/>
    </xf>
    <xf numFmtId="0" fontId="59" fillId="42" borderId="273" xfId="0" applyFont="1" applyFill="1" applyBorder="1" applyAlignment="1">
      <alignment horizontal="center"/>
    </xf>
    <xf numFmtId="0" fontId="63" fillId="26" borderId="267" xfId="0" applyFont="1" applyFill="1" applyBorder="1" applyAlignment="1">
      <alignment horizontal="center"/>
    </xf>
    <xf numFmtId="0" fontId="63" fillId="26" borderId="268" xfId="0" applyFont="1" applyFill="1" applyBorder="1" applyAlignment="1">
      <alignment horizontal="center"/>
    </xf>
    <xf numFmtId="0" fontId="63" fillId="26" borderId="269" xfId="0" applyFont="1" applyFill="1" applyBorder="1" applyAlignment="1">
      <alignment horizontal="center"/>
    </xf>
    <xf numFmtId="14" fontId="60" fillId="42" borderId="0" xfId="0" applyNumberFormat="1" applyFont="1" applyFill="1" applyAlignment="1">
      <alignment horizontal="center"/>
    </xf>
    <xf numFmtId="0" fontId="67" fillId="49" borderId="0" xfId="0" applyFont="1" applyFill="1" applyAlignment="1">
      <alignment horizontal="left" vertical="center" indent="1"/>
    </xf>
    <xf numFmtId="0" fontId="53" fillId="42" borderId="0" xfId="0" applyFont="1" applyFill="1" applyAlignment="1">
      <alignment horizontal="left" vertical="center" wrapText="1" indent="1"/>
    </xf>
    <xf numFmtId="0" fontId="53" fillId="48" borderId="0" xfId="0" applyFont="1" applyFill="1" applyAlignment="1">
      <alignment horizontal="left" vertical="center" wrapText="1" indent="1"/>
    </xf>
    <xf numFmtId="0" fontId="51" fillId="26" borderId="270" xfId="0" quotePrefix="1" applyFont="1" applyFill="1" applyBorder="1" applyAlignment="1">
      <alignment horizontal="left"/>
    </xf>
    <xf numFmtId="0" fontId="51" fillId="26" borderId="267" xfId="0" applyFont="1" applyFill="1" applyBorder="1" applyAlignment="1">
      <alignment horizontal="left"/>
    </xf>
    <xf numFmtId="0" fontId="51" fillId="26" borderId="269" xfId="0" applyFont="1" applyFill="1" applyBorder="1" applyAlignment="1">
      <alignment horizontal="left"/>
    </xf>
    <xf numFmtId="0" fontId="53" fillId="47" borderId="0" xfId="0" applyFont="1" applyFill="1" applyAlignment="1">
      <alignment horizontal="left" vertical="center" wrapText="1" indent="1"/>
    </xf>
    <xf numFmtId="0" fontId="97" fillId="49" borderId="0" xfId="0" applyFont="1" applyFill="1" applyAlignment="1">
      <alignment horizontal="center" vertical="center" textRotation="90"/>
    </xf>
    <xf numFmtId="0" fontId="97" fillId="53" borderId="0" xfId="0" applyFont="1" applyFill="1" applyAlignment="1">
      <alignment horizontal="center" vertical="center" textRotation="90"/>
    </xf>
    <xf numFmtId="0" fontId="18" fillId="21" borderId="40" xfId="0" applyFont="1" applyFill="1" applyBorder="1" applyAlignment="1">
      <alignment shrinkToFit="1"/>
    </xf>
    <xf numFmtId="0" fontId="18" fillId="21" borderId="41" xfId="0" applyFont="1" applyFill="1" applyBorder="1" applyAlignment="1">
      <alignment shrinkToFit="1"/>
    </xf>
    <xf numFmtId="0" fontId="22" fillId="0" borderId="64" xfId="0" applyFont="1" applyBorder="1" applyAlignment="1" applyProtection="1">
      <alignment horizontal="left" indent="1"/>
      <protection locked="0"/>
    </xf>
    <xf numFmtId="0" fontId="19" fillId="0" borderId="65" xfId="0" applyFont="1" applyBorder="1" applyAlignment="1" applyProtection="1">
      <alignment horizontal="left" indent="1"/>
      <protection locked="0"/>
    </xf>
    <xf numFmtId="0" fontId="18" fillId="21" borderId="98" xfId="0" applyFont="1" applyFill="1" applyBorder="1" applyAlignment="1">
      <alignment shrinkToFit="1"/>
    </xf>
    <xf numFmtId="0" fontId="18" fillId="21" borderId="99" xfId="0" applyFont="1" applyFill="1" applyBorder="1" applyAlignment="1">
      <alignment shrinkToFit="1"/>
    </xf>
    <xf numFmtId="0" fontId="19" fillId="22" borderId="42" xfId="0" applyFont="1" applyFill="1" applyBorder="1" applyAlignment="1">
      <alignment horizontal="left" indent="1"/>
    </xf>
    <xf numFmtId="0" fontId="19" fillId="22" borderId="43" xfId="0" applyFont="1" applyFill="1" applyBorder="1" applyAlignment="1">
      <alignment horizontal="left" indent="1"/>
    </xf>
    <xf numFmtId="3" fontId="22" fillId="10" borderId="64" xfId="0" applyNumberFormat="1" applyFont="1" applyFill="1" applyBorder="1" applyAlignment="1" applyProtection="1">
      <alignment horizontal="left" indent="1"/>
      <protection locked="0"/>
    </xf>
    <xf numFmtId="0" fontId="22" fillId="10" borderId="64" xfId="0" applyFont="1" applyFill="1" applyBorder="1" applyAlignment="1" applyProtection="1">
      <alignment shrinkToFit="1"/>
      <protection locked="0"/>
    </xf>
    <xf numFmtId="0" fontId="19" fillId="0" borderId="65" xfId="0" applyFont="1" applyBorder="1" applyAlignment="1" applyProtection="1">
      <alignment shrinkToFit="1"/>
      <protection locked="0"/>
    </xf>
    <xf numFmtId="0" fontId="81" fillId="0" borderId="0" xfId="2" applyFont="1" applyAlignment="1" applyProtection="1">
      <alignment horizontal="left" wrapText="1"/>
      <protection locked="0"/>
    </xf>
    <xf numFmtId="0" fontId="84" fillId="53" borderId="0" xfId="2" applyFont="1" applyFill="1" applyAlignment="1" applyProtection="1">
      <alignment horizontal="center"/>
      <protection locked="0"/>
    </xf>
    <xf numFmtId="0" fontId="64" fillId="67" borderId="295" xfId="0" applyFont="1" applyFill="1" applyBorder="1" applyAlignment="1" applyProtection="1">
      <alignment horizontal="center"/>
      <protection locked="0"/>
    </xf>
    <xf numFmtId="0" fontId="64" fillId="67" borderId="0" xfId="0" applyFont="1" applyFill="1" applyAlignment="1" applyProtection="1">
      <alignment horizontal="center"/>
      <protection locked="0"/>
    </xf>
    <xf numFmtId="0" fontId="77" fillId="55" borderId="276" xfId="0" applyFont="1" applyFill="1" applyBorder="1" applyAlignment="1">
      <alignment horizontal="center" wrapText="1"/>
    </xf>
    <xf numFmtId="0" fontId="77" fillId="55" borderId="277" xfId="0" applyFont="1" applyFill="1" applyBorder="1" applyAlignment="1">
      <alignment horizontal="center" wrapText="1"/>
    </xf>
    <xf numFmtId="0" fontId="77" fillId="55" borderId="278" xfId="0" applyFont="1" applyFill="1" applyBorder="1" applyAlignment="1">
      <alignment horizontal="center" wrapText="1"/>
    </xf>
    <xf numFmtId="0" fontId="77" fillId="55" borderId="279" xfId="0" applyFont="1" applyFill="1" applyBorder="1" applyAlignment="1">
      <alignment horizontal="center" wrapText="1"/>
    </xf>
    <xf numFmtId="0" fontId="77" fillId="59" borderId="276" xfId="0" applyFont="1" applyFill="1" applyBorder="1" applyAlignment="1">
      <alignment horizontal="center" wrapText="1"/>
    </xf>
    <xf numFmtId="0" fontId="77" fillId="59" borderId="277" xfId="0" applyFont="1" applyFill="1" applyBorder="1" applyAlignment="1">
      <alignment horizontal="center" wrapText="1"/>
    </xf>
    <xf numFmtId="171" fontId="0" fillId="71" borderId="207" xfId="4" applyNumberFormat="1" applyFont="1" applyFill="1" applyBorder="1"/>
    <xf numFmtId="171" fontId="0" fillId="71" borderId="298" xfId="4" applyNumberFormat="1" applyFont="1" applyFill="1" applyBorder="1"/>
    <xf numFmtId="171" fontId="0" fillId="71" borderId="175" xfId="4" applyNumberFormat="1" applyFont="1" applyFill="1" applyBorder="1"/>
    <xf numFmtId="0" fontId="0" fillId="71" borderId="0" xfId="0" applyFill="1" applyBorder="1"/>
    <xf numFmtId="171" fontId="0" fillId="71" borderId="0" xfId="4" applyNumberFormat="1" applyFont="1" applyFill="1" applyBorder="1"/>
    <xf numFmtId="0" fontId="0" fillId="72" borderId="0" xfId="0" applyFill="1"/>
    <xf numFmtId="9" fontId="0" fillId="0" borderId="0" xfId="0" applyNumberFormat="1"/>
    <xf numFmtId="172" fontId="0" fillId="0" borderId="0" xfId="1" applyNumberFormat="1" applyFont="1" applyAlignment="1">
      <alignment horizontal="center"/>
    </xf>
    <xf numFmtId="0" fontId="0" fillId="73" borderId="0" xfId="0" applyFill="1"/>
  </cellXfs>
  <cellStyles count="6">
    <cellStyle name="Comma" xfId="4" builtinId="3"/>
    <cellStyle name="Hyperlink" xfId="5" builtinId="8"/>
    <cellStyle name="Normal" xfId="0" builtinId="0"/>
    <cellStyle name="Normal 2 2" xfId="3" xr:uid="{FB595449-8BCB-47A5-97ED-69F98570B358}"/>
    <cellStyle name="Normal 3" xfId="2" xr:uid="{D5BDDC0E-C538-4F80-A09E-8547835A168B}"/>
    <cellStyle name="Percent" xfId="1" builtinId="5"/>
  </cellStyles>
  <dxfs count="12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top" textRotation="0" wrapText="1" indent="0" justifyLastLine="0" shrinkToFit="0" readingOrder="0"/>
    </dxf>
    <dxf>
      <font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theme="6" tint="-0.24994659260841701"/>
        </patternFill>
      </fill>
    </dxf>
    <dxf>
      <fill>
        <patternFill>
          <bgColor rgb="FFC00000"/>
        </patternFill>
      </fill>
    </dxf>
    <dxf>
      <fill>
        <patternFill>
          <bgColor theme="6" tint="-0.24994659260841701"/>
        </patternFill>
      </fill>
    </dxf>
    <dxf>
      <fill>
        <patternFill>
          <bgColor rgb="FFC00000"/>
        </patternFill>
      </fill>
    </dxf>
    <dxf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numFmt numFmtId="0" formatCode="General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bottom style="thin">
          <color rgb="FF000000"/>
        </bottom>
      </border>
    </dxf>
    <dxf>
      <alignment horizontal="left" vertical="bottom" textRotation="0" wrapText="0" indent="1" justifyLastLine="0" shrinkToFit="0" readingOrder="0"/>
      <protection locked="0" hidden="0"/>
    </dxf>
    <dxf>
      <border outline="0">
        <bottom style="thin">
          <color rgb="FFB0C6D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theme="2" tint="-9.9948118533890809E-2"/>
        </left>
        <right style="thin">
          <color theme="2" tint="-9.9948118533890809E-2"/>
        </right>
        <top/>
        <bottom/>
      </border>
    </dxf>
    <dxf>
      <font>
        <strike val="0"/>
        <outline val="0"/>
        <shadow val="0"/>
        <vertAlign val="baseline"/>
        <sz val="8"/>
        <name val="Calibri"/>
        <family val="2"/>
        <scheme val="minor"/>
      </font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5" formatCode="hh:mm"/>
      <fill>
        <patternFill patternType="solid">
          <fgColor indexed="64"/>
          <bgColor theme="8" tint="0.59999389629810485"/>
        </patternFill>
      </fill>
    </dxf>
    <dxf>
      <numFmt numFmtId="13" formatCode="0%"/>
      <fill>
        <patternFill patternType="solid">
          <fgColor indexed="64"/>
          <bgColor theme="8" tint="0.59999389629810485"/>
        </patternFill>
      </fill>
    </dxf>
    <dxf>
      <numFmt numFmtId="1" formatCode="0"/>
      <fill>
        <patternFill patternType="solid">
          <fgColor indexed="64"/>
          <bgColor theme="8" tint="0.59999389629810485"/>
        </patternFill>
      </fill>
    </dxf>
    <dxf>
      <numFmt numFmtId="1" formatCode="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13" formatCode="0%"/>
    </dxf>
    <dxf>
      <numFmt numFmtId="174" formatCode="hh:mm;@"/>
    </dxf>
    <dxf>
      <numFmt numFmtId="174" formatCode="hh:mm;@"/>
    </dxf>
    <dxf>
      <numFmt numFmtId="174" formatCode="hh:mm;@"/>
      <fill>
        <patternFill patternType="solid">
          <fgColor indexed="64"/>
          <bgColor theme="8" tint="0.59999389629810485"/>
        </patternFill>
      </fill>
      <alignment horizontal="right" vertical="bottom" textRotation="0" wrapText="0" indent="0" justifyLastLine="0" shrinkToFit="0" readingOrder="0"/>
    </dxf>
    <dxf>
      <numFmt numFmtId="174" formatCode="hh:mm;@"/>
      <fill>
        <patternFill patternType="solid">
          <fgColor indexed="64"/>
          <bgColor theme="8" tint="0.5999938962981048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general" vertical="top" textRotation="0" wrapText="1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minor"/>
      </font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5" formatCode="hh:mm"/>
      <fill>
        <patternFill patternType="solid">
          <fgColor indexed="64"/>
          <bgColor theme="8" tint="0.59999389629810485"/>
        </patternFill>
      </fill>
    </dxf>
    <dxf>
      <numFmt numFmtId="13" formatCode="0%"/>
      <fill>
        <patternFill patternType="solid">
          <fgColor indexed="64"/>
          <bgColor theme="8" tint="0.59999389629810485"/>
        </patternFill>
      </fill>
    </dxf>
    <dxf>
      <numFmt numFmtId="1" formatCode="0"/>
      <fill>
        <patternFill patternType="solid">
          <fgColor indexed="64"/>
          <bgColor theme="8" tint="0.59999389629810485"/>
        </patternFill>
      </fill>
    </dxf>
    <dxf>
      <numFmt numFmtId="1" formatCode="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13" formatCode="0%"/>
    </dxf>
    <dxf>
      <numFmt numFmtId="174" formatCode="hh:mm;@"/>
    </dxf>
    <dxf>
      <numFmt numFmtId="174" formatCode="hh:mm;@"/>
    </dxf>
    <dxf>
      <numFmt numFmtId="174" formatCode="hh:mm;@"/>
      <fill>
        <patternFill patternType="solid">
          <fgColor indexed="64"/>
          <bgColor theme="8" tint="0.59999389629810485"/>
        </patternFill>
      </fill>
      <alignment horizontal="right" vertical="bottom" textRotation="0" wrapText="0" indent="0" justifyLastLine="0" shrinkToFit="0" readingOrder="0"/>
    </dxf>
    <dxf>
      <numFmt numFmtId="174" formatCode="hh:mm;@"/>
      <fill>
        <patternFill patternType="solid">
          <fgColor indexed="64"/>
          <bgColor theme="8" tint="0.5999938962981048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general" vertical="top" textRotation="0" wrapText="1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</dxfs>
  <tableStyles count="1" defaultTableStyle="TableStyleMedium2" defaultPivotStyle="PivotStyleLight16">
    <tableStyle name="Invisible" pivot="0" table="0" count="0" xr9:uid="{9891E09C-EBAA-4D42-B083-9562FE0158FC}"/>
  </tableStyles>
  <colors>
    <mruColors>
      <color rgb="FF993366"/>
      <color rgb="FFC47500"/>
      <color rgb="FF006666"/>
      <color rgb="FFFFCC00"/>
      <color rgb="FF346B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 sz="2400"/>
              <a:t>Kostnadsfördelning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6D1-43A4-915C-4863AF87A63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6D1-43A4-915C-4863AF87A63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E6D1-43A4-915C-4863AF87A63D}"/>
              </c:ext>
            </c:extLst>
          </c:dPt>
          <c:dLbls>
            <c:dLbl>
              <c:idx val="0"/>
              <c:layout>
                <c:manualLayout>
                  <c:x val="2.5935167512937192E-3"/>
                  <c:y val="0.110073505638769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sv-S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851130398604035"/>
                      <c:h val="0.2360897018984068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6D1-43A4-915C-4863AF87A63D}"/>
                </c:ext>
              </c:extLst>
            </c:dLbl>
            <c:dLbl>
              <c:idx val="1"/>
              <c:layout>
                <c:manualLayout>
                  <c:x val="1.4207131954339168E-2"/>
                  <c:y val="-1.787453431176574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sv-S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8604082784317878"/>
                      <c:h val="0.2937571589277697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6D1-43A4-915C-4863AF87A63D}"/>
                </c:ext>
              </c:extLst>
            </c:dLbl>
            <c:dLbl>
              <c:idx val="2"/>
              <c:layout>
                <c:manualLayout>
                  <c:x val="0"/>
                  <c:y val="-0.1078911655203847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8132976814494984"/>
                      <c:h val="0.383727063691625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6D1-43A4-915C-4863AF87A6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'Registrering &amp; Resultat'!$Q$51:$S$51</c:f>
              <c:strCache>
                <c:ptCount val="3"/>
                <c:pt idx="0">
                  <c:v>Fast kostnad, andel av total</c:v>
                </c:pt>
                <c:pt idx="1">
                  <c:v>Milberoende, andel av total</c:v>
                </c:pt>
                <c:pt idx="2">
                  <c:v>Tidsberoende, andel av total</c:v>
                </c:pt>
              </c:strCache>
            </c:strRef>
          </c:cat>
          <c:val>
            <c:numRef>
              <c:f>'Registrering &amp; Resultat'!$Q$52:$S$52</c:f>
              <c:numCache>
                <c:formatCode>0%</c:formatCode>
                <c:ptCount val="3"/>
                <c:pt idx="0">
                  <c:v>0.13090773488003329</c:v>
                </c:pt>
                <c:pt idx="1">
                  <c:v>0.34615915935161667</c:v>
                </c:pt>
                <c:pt idx="2">
                  <c:v>0.52293310576835006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D1-43A4-915C-4863AF87A6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aseline="0"/>
              <a:t>Batteristatus under dagen (State of charge)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'Laddlogistik 1'!$R$19</c:f>
              <c:strCache>
                <c:ptCount val="1"/>
                <c:pt idx="0">
                  <c:v>SOC_start</c:v>
                </c:pt>
              </c:strCache>
            </c:strRef>
          </c:tx>
          <c:spPr>
            <a:ln w="34925" cap="rnd">
              <a:solidFill>
                <a:srgbClr val="D6A3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'Laddlogistik 1'!$G$20:$G$39</c:f>
              <c:strCache>
                <c:ptCount val="20"/>
                <c:pt idx="1">
                  <c:v>16:30</c:v>
                </c:pt>
                <c:pt idx="2">
                  <c:v>18:00</c:v>
                </c:pt>
                <c:pt idx="3">
                  <c:v>18:45</c:v>
                </c:pt>
                <c:pt idx="4">
                  <c:v>20:00</c:v>
                </c:pt>
                <c:pt idx="5">
                  <c:v>23:00</c:v>
                </c:pt>
                <c:pt idx="6">
                  <c:v>01:00</c:v>
                </c:pt>
                <c:pt idx="7">
                  <c:v>02:00</c:v>
                </c:pt>
                <c:pt idx="8">
                  <c:v>02:30</c:v>
                </c:pt>
                <c:pt idx="9">
                  <c:v>03:15</c:v>
                </c:pt>
                <c:pt idx="10">
                  <c:v>04:15</c:v>
                </c:pt>
                <c:pt idx="11">
                  <c:v>04:15</c:v>
                </c:pt>
                <c:pt idx="12">
                  <c:v>04:15</c:v>
                </c:pt>
                <c:pt idx="13">
                  <c:v>04:15</c:v>
                </c:pt>
                <c:pt idx="14">
                  <c:v>04:15</c:v>
                </c:pt>
                <c:pt idx="15">
                  <c:v>04:15</c:v>
                </c:pt>
                <c:pt idx="16">
                  <c:v>04:15</c:v>
                </c:pt>
                <c:pt idx="17">
                  <c:v>04:15</c:v>
                </c:pt>
                <c:pt idx="18">
                  <c:v>04:15</c:v>
                </c:pt>
                <c:pt idx="19">
                  <c:v>Stopp</c:v>
                </c:pt>
              </c:strCache>
            </c:strRef>
          </c:cat>
          <c:val>
            <c:numRef>
              <c:f>'Laddlogistik 1'!$R$20:$R$39</c:f>
              <c:numCache>
                <c:formatCode>0%</c:formatCode>
                <c:ptCount val="20"/>
                <c:pt idx="0">
                  <c:v>1</c:v>
                </c:pt>
                <c:pt idx="1">
                  <c:v>0.65952380952380951</c:v>
                </c:pt>
                <c:pt idx="2">
                  <c:v>0.84702380952380951</c:v>
                </c:pt>
                <c:pt idx="3">
                  <c:v>0.4716488095238095</c:v>
                </c:pt>
                <c:pt idx="4">
                  <c:v>1</c:v>
                </c:pt>
                <c:pt idx="5">
                  <c:v>0.55312499999999998</c:v>
                </c:pt>
                <c:pt idx="6">
                  <c:v>0.42799999999999988</c:v>
                </c:pt>
                <c:pt idx="7">
                  <c:v>0.37437499999999985</c:v>
                </c:pt>
                <c:pt idx="8">
                  <c:v>0.31717499999999987</c:v>
                </c:pt>
                <c:pt idx="9">
                  <c:v>0.1686035714285713</c:v>
                </c:pt>
                <c:pt idx="10">
                  <c:v>0.1686035714285713</c:v>
                </c:pt>
                <c:pt idx="11">
                  <c:v>0.1686035714285713</c:v>
                </c:pt>
                <c:pt idx="12">
                  <c:v>0.1686035714285713</c:v>
                </c:pt>
                <c:pt idx="13">
                  <c:v>0.1686035714285713</c:v>
                </c:pt>
                <c:pt idx="14">
                  <c:v>0.1686035714285713</c:v>
                </c:pt>
                <c:pt idx="15">
                  <c:v>0.1686035714285713</c:v>
                </c:pt>
                <c:pt idx="16">
                  <c:v>0.1686035714285713</c:v>
                </c:pt>
                <c:pt idx="17">
                  <c:v>0.1686035714285713</c:v>
                </c:pt>
                <c:pt idx="18">
                  <c:v>0.1686035714285713</c:v>
                </c:pt>
                <c:pt idx="19">
                  <c:v>0.1686035714285713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8F-4856-83EF-8DEF06A28AA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>
              <a:solidFill>
                <a:schemeClr val="lt1">
                  <a:lumMod val="95000"/>
                  <a:alpha val="54000"/>
                </a:schemeClr>
              </a:solidFill>
              <a:prstDash val="dash"/>
            </a:ln>
            <a:effectLst/>
          </c:spPr>
        </c:dropLines>
        <c:smooth val="0"/>
        <c:axId val="669114480"/>
        <c:axId val="669118088"/>
      </c:lineChart>
      <c:catAx>
        <c:axId val="66911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69118088"/>
        <c:crosses val="autoZero"/>
        <c:auto val="1"/>
        <c:lblAlgn val="ctr"/>
        <c:lblOffset val="100"/>
        <c:noMultiLvlLbl val="0"/>
      </c:catAx>
      <c:valAx>
        <c:axId val="669118088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State of Charge,</a:t>
                </a:r>
                <a:r>
                  <a:rPr lang="en-US" sz="1200" baseline="0"/>
                  <a:t> %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6911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aseline="0"/>
              <a:t>Batteristatus under dagen (State of charge)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'Laddlogistik 2'!$R$19</c:f>
              <c:strCache>
                <c:ptCount val="1"/>
                <c:pt idx="0">
                  <c:v>SOC_start</c:v>
                </c:pt>
              </c:strCache>
            </c:strRef>
          </c:tx>
          <c:spPr>
            <a:ln w="34925" cap="rnd">
              <a:solidFill>
                <a:srgbClr val="D6A3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'Laddlogistik 2'!$G$20:$G$39</c:f>
              <c:strCache>
                <c:ptCount val="20"/>
                <c:pt idx="1">
                  <c:v>16:30</c:v>
                </c:pt>
                <c:pt idx="2">
                  <c:v>18:00</c:v>
                </c:pt>
                <c:pt idx="3">
                  <c:v>18:45</c:v>
                </c:pt>
                <c:pt idx="4">
                  <c:v>20:00</c:v>
                </c:pt>
                <c:pt idx="5">
                  <c:v>23:00</c:v>
                </c:pt>
                <c:pt idx="6">
                  <c:v>01:00</c:v>
                </c:pt>
                <c:pt idx="7">
                  <c:v>02:00</c:v>
                </c:pt>
                <c:pt idx="8">
                  <c:v>02:30</c:v>
                </c:pt>
                <c:pt idx="9">
                  <c:v>03:15</c:v>
                </c:pt>
                <c:pt idx="10">
                  <c:v>04:15</c:v>
                </c:pt>
                <c:pt idx="11">
                  <c:v>04:15</c:v>
                </c:pt>
                <c:pt idx="12">
                  <c:v>04:15</c:v>
                </c:pt>
                <c:pt idx="13">
                  <c:v>04:15</c:v>
                </c:pt>
                <c:pt idx="14">
                  <c:v>04:15</c:v>
                </c:pt>
                <c:pt idx="15">
                  <c:v>04:15</c:v>
                </c:pt>
                <c:pt idx="16">
                  <c:v>04:15</c:v>
                </c:pt>
                <c:pt idx="17">
                  <c:v>04:15</c:v>
                </c:pt>
                <c:pt idx="18">
                  <c:v>04:15</c:v>
                </c:pt>
                <c:pt idx="19">
                  <c:v>Stopp</c:v>
                </c:pt>
              </c:strCache>
            </c:strRef>
          </c:cat>
          <c:val>
            <c:numRef>
              <c:f>'Laddlogistik 2'!$R$20:$R$39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5A-4B3C-A6AA-8325936423A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>
              <a:solidFill>
                <a:schemeClr val="lt1">
                  <a:lumMod val="95000"/>
                  <a:alpha val="54000"/>
                </a:schemeClr>
              </a:solidFill>
              <a:prstDash val="dash"/>
            </a:ln>
            <a:effectLst/>
          </c:spPr>
        </c:dropLines>
        <c:smooth val="0"/>
        <c:axId val="669114480"/>
        <c:axId val="669118088"/>
      </c:lineChart>
      <c:catAx>
        <c:axId val="66911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69118088"/>
        <c:crosses val="autoZero"/>
        <c:auto val="1"/>
        <c:lblAlgn val="ctr"/>
        <c:lblOffset val="100"/>
        <c:noMultiLvlLbl val="0"/>
      </c:catAx>
      <c:valAx>
        <c:axId val="669118088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State of Charge,</a:t>
                </a:r>
                <a:r>
                  <a:rPr lang="en-US" sz="1200" baseline="0"/>
                  <a:t> %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6911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http://www.intuizio.se" TargetMode="External"/><Relationship Id="rId1" Type="http://schemas.openxmlformats.org/officeDocument/2006/relationships/image" Target="../media/image1.png"/><Relationship Id="rId4" Type="http://schemas.openxmlformats.org/officeDocument/2006/relationships/image" Target="cid:E4B567F9-4D2F-4994-8F56-F3ABADF16EE7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hyperlink" Target="http://www.intuizio.se" TargetMode="External"/><Relationship Id="rId5" Type="http://schemas.openxmlformats.org/officeDocument/2006/relationships/hyperlink" Target="mailto:petter.hudden@intuizio.se" TargetMode="External"/><Relationship Id="rId4" Type="http://schemas.openxmlformats.org/officeDocument/2006/relationships/hyperlink" Target="#Startsida!E10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TARTSIDA!E10"/><Relationship Id="rId7" Type="http://schemas.openxmlformats.org/officeDocument/2006/relationships/chart" Target="../charts/chart1.xml"/><Relationship Id="rId2" Type="http://schemas.openxmlformats.org/officeDocument/2006/relationships/hyperlink" Target="#'Registrering &amp; Resultat'!A1"/><Relationship Id="rId1" Type="http://schemas.openxmlformats.org/officeDocument/2006/relationships/hyperlink" Target="http://www.intuizio.se" TargetMode="External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STARTSIDA!E10"/><Relationship Id="rId1" Type="http://schemas.openxmlformats.org/officeDocument/2006/relationships/hyperlink" Target="#'Kontroll Bokat vs Avr&#228;knat'!C7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STARTSIDA!E10"/><Relationship Id="rId2" Type="http://schemas.openxmlformats.org/officeDocument/2006/relationships/image" Target="../media/image9.png"/><Relationship Id="rId1" Type="http://schemas.openxmlformats.org/officeDocument/2006/relationships/image" Target="../media/image8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STARTSIDA!E10"/><Relationship Id="rId2" Type="http://schemas.openxmlformats.org/officeDocument/2006/relationships/image" Target="../media/image9.png"/><Relationship Id="rId1" Type="http://schemas.openxmlformats.org/officeDocument/2006/relationships/image" Target="../media/image8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#STARTSIDA!E1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png"/><Relationship Id="rId7" Type="http://schemas.openxmlformats.org/officeDocument/2006/relationships/image" Target="../media/image16.svg"/><Relationship Id="rId2" Type="http://schemas.openxmlformats.org/officeDocument/2006/relationships/hyperlink" Target="#STARTSIDA!E10"/><Relationship Id="rId1" Type="http://schemas.openxmlformats.org/officeDocument/2006/relationships/chart" Target="../charts/chart2.xml"/><Relationship Id="rId6" Type="http://schemas.openxmlformats.org/officeDocument/2006/relationships/image" Target="../media/image15.png"/><Relationship Id="rId5" Type="http://schemas.openxmlformats.org/officeDocument/2006/relationships/image" Target="../media/image14.svg"/><Relationship Id="rId10" Type="http://schemas.openxmlformats.org/officeDocument/2006/relationships/hyperlink" Target="http://www.intuizio.se" TargetMode="External"/><Relationship Id="rId4" Type="http://schemas.openxmlformats.org/officeDocument/2006/relationships/image" Target="../media/image13.png"/><Relationship Id="rId9" Type="http://schemas.openxmlformats.org/officeDocument/2006/relationships/image" Target="../media/image1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png"/><Relationship Id="rId7" Type="http://schemas.openxmlformats.org/officeDocument/2006/relationships/image" Target="../media/image16.svg"/><Relationship Id="rId2" Type="http://schemas.openxmlformats.org/officeDocument/2006/relationships/hyperlink" Target="#STARTSIDA!E10"/><Relationship Id="rId1" Type="http://schemas.openxmlformats.org/officeDocument/2006/relationships/chart" Target="../charts/chart3.xml"/><Relationship Id="rId6" Type="http://schemas.openxmlformats.org/officeDocument/2006/relationships/image" Target="../media/image15.png"/><Relationship Id="rId5" Type="http://schemas.openxmlformats.org/officeDocument/2006/relationships/image" Target="../media/image14.svg"/><Relationship Id="rId10" Type="http://schemas.openxmlformats.org/officeDocument/2006/relationships/hyperlink" Target="http://www.intuizio.se" TargetMode="External"/><Relationship Id="rId4" Type="http://schemas.openxmlformats.org/officeDocument/2006/relationships/image" Target="../media/image13.png"/><Relationship Id="rId9" Type="http://schemas.openxmlformats.org/officeDocument/2006/relationships/image" Target="../media/image18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STARTSIDA!E10"/><Relationship Id="rId2" Type="http://schemas.openxmlformats.org/officeDocument/2006/relationships/hyperlink" Target="#PERSONALLISTA!F3"/><Relationship Id="rId1" Type="http://schemas.openxmlformats.org/officeDocument/2006/relationships/hyperlink" Target="#PERSONALLISTA!C6"/><Relationship Id="rId5" Type="http://schemas.openxmlformats.org/officeDocument/2006/relationships/image" Target="../media/image19.png"/><Relationship Id="rId4" Type="http://schemas.openxmlformats.org/officeDocument/2006/relationships/hyperlink" Target="#Startsida!E1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206829</xdr:colOff>
      <xdr:row>1</xdr:row>
      <xdr:rowOff>561</xdr:rowOff>
    </xdr:from>
    <xdr:to>
      <xdr:col>0</xdr:col>
      <xdr:colOff>595323</xdr:colOff>
      <xdr:row>2</xdr:row>
      <xdr:rowOff>187619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A42CACE-67A1-4476-8ECA-0140DA22D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829" y="191061"/>
          <a:ext cx="388494" cy="377558"/>
        </a:xfrm>
        <a:prstGeom prst="rect">
          <a:avLst/>
        </a:prstGeom>
      </xdr:spPr>
    </xdr:pic>
    <xdr:clientData/>
  </xdr:twoCellAnchor>
  <xdr:twoCellAnchor>
    <xdr:from>
      <xdr:col>1</xdr:col>
      <xdr:colOff>4240</xdr:colOff>
      <xdr:row>0</xdr:row>
      <xdr:rowOff>87085</xdr:rowOff>
    </xdr:from>
    <xdr:to>
      <xdr:col>3</xdr:col>
      <xdr:colOff>504804</xdr:colOff>
      <xdr:row>3</xdr:row>
      <xdr:rowOff>15268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D30390A-E3ED-4E10-A230-BEFC98ECDF9A}"/>
            </a:ext>
          </a:extLst>
        </xdr:cNvPr>
        <xdr:cNvGrpSpPr/>
      </xdr:nvGrpSpPr>
      <xdr:grpSpPr>
        <a:xfrm>
          <a:off x="613840" y="87085"/>
          <a:ext cx="2415089" cy="499683"/>
          <a:chOff x="1281150" y="192101"/>
          <a:chExt cx="2423253" cy="552831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ACE602B0-5A18-7B24-9D78-FC1CBFED8F8F}"/>
              </a:ext>
            </a:extLst>
          </xdr:cNvPr>
          <xdr:cNvSpPr txBox="1"/>
        </xdr:nvSpPr>
        <xdr:spPr>
          <a:xfrm>
            <a:off x="1281385" y="192101"/>
            <a:ext cx="2423018" cy="3974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sv-SE" sz="1400">
                <a:solidFill>
                  <a:schemeClr val="bg1">
                    <a:lumMod val="95000"/>
                  </a:schemeClr>
                </a:solidFill>
                <a:latin typeface="Microsoft YaHei UI Light" panose="020B0502040204020203" pitchFamily="34" charset="-122"/>
                <a:ea typeface="Microsoft YaHei UI Light" panose="020B0502040204020203" pitchFamily="34" charset="-122"/>
              </a:rPr>
              <a:t>Bränslefakta</a:t>
            </a:r>
          </a:p>
        </xdr:txBody>
      </xdr:sp>
      <xdr:sp macro="" textlink="">
        <xdr:nvSpPr>
          <xdr:cNvPr id="5" name="TextBox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026C047-4924-ACF2-F615-99F7B0A1F113}"/>
              </a:ext>
            </a:extLst>
          </xdr:cNvPr>
          <xdr:cNvSpPr txBox="1"/>
        </xdr:nvSpPr>
        <xdr:spPr>
          <a:xfrm>
            <a:off x="1281150" y="435859"/>
            <a:ext cx="1307357" cy="3090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sv-SE" sz="1050" baseline="0">
                <a:solidFill>
                  <a:schemeClr val="bg1">
                    <a:lumMod val="65000"/>
                  </a:schemeClr>
                </a:solidFill>
                <a:latin typeface="Microsoft YaHei UI Light" panose="020B0502040204020203" pitchFamily="34" charset="-122"/>
                <a:ea typeface="Microsoft YaHei UI Light" panose="020B0502040204020203" pitchFamily="34" charset="-122"/>
              </a:rPr>
              <a:t>www.intuizio.se</a:t>
            </a:r>
            <a:endParaRPr lang="sv-SE" sz="1050">
              <a:solidFill>
                <a:schemeClr val="bg1">
                  <a:lumMod val="65000"/>
                </a:schemeClr>
              </a:solidFill>
              <a:latin typeface="Microsoft YaHei UI Light" panose="020B0502040204020203" pitchFamily="34" charset="-122"/>
              <a:ea typeface="Microsoft YaHei UI Light" panose="020B0502040204020203" pitchFamily="34" charset="-122"/>
            </a:endParaRPr>
          </a:p>
        </xdr:txBody>
      </xdr:sp>
    </xdr:grpSp>
    <xdr:clientData/>
  </xdr:twoCellAnchor>
  <xdr:twoCellAnchor>
    <xdr:from>
      <xdr:col>19</xdr:col>
      <xdr:colOff>239487</xdr:colOff>
      <xdr:row>10</xdr:row>
      <xdr:rowOff>129508</xdr:rowOff>
    </xdr:from>
    <xdr:to>
      <xdr:col>33</xdr:col>
      <xdr:colOff>166405</xdr:colOff>
      <xdr:row>44</xdr:row>
      <xdr:rowOff>967</xdr:rowOff>
    </xdr:to>
    <xdr:pic>
      <xdr:nvPicPr>
        <xdr:cNvPr id="6" name="E4B567F9-4D2F-4994-8F56-F3ABADF16EE7" descr="IMG_4681.jpg">
          <a:extLst>
            <a:ext uri="{FF2B5EF4-FFF2-40B4-BE49-F238E27FC236}">
              <a16:creationId xmlns:a16="http://schemas.microsoft.com/office/drawing/2014/main" id="{C7394A96-A3A9-46A8-9C93-5402E793FE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17364591" y="1073329"/>
          <a:ext cx="6348459" cy="86518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1</xdr:row>
      <xdr:rowOff>10605</xdr:rowOff>
    </xdr:from>
    <xdr:to>
      <xdr:col>1</xdr:col>
      <xdr:colOff>216202</xdr:colOff>
      <xdr:row>4</xdr:row>
      <xdr:rowOff>22945</xdr:rowOff>
    </xdr:to>
    <xdr:pic>
      <xdr:nvPicPr>
        <xdr:cNvPr id="2" name="Bildobjekt 1" descr="https://lh5.googleusercontent.com/5Ek6yEDrml1j85TSaTfTMYKazGiD1n4E4Tq8-MsZ5Q0CKvm8q__TY_Y1q5_9HUAc0J9mavNbv91E00GanpodqVtYqVacxjdS4JHa0jQ5mnWgO1723LeNxYQs5OZd8-ifTV8WQa-oYarM2E02yw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E6AB51-1F8B-455B-80D8-3AC63AEF5C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201105"/>
          <a:ext cx="590400" cy="589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431800</xdr:colOff>
      <xdr:row>9</xdr:row>
      <xdr:rowOff>25400</xdr:rowOff>
    </xdr:from>
    <xdr:to>
      <xdr:col>24</xdr:col>
      <xdr:colOff>415876</xdr:colOff>
      <xdr:row>32</xdr:row>
      <xdr:rowOff>18010</xdr:rowOff>
    </xdr:to>
    <xdr:pic>
      <xdr:nvPicPr>
        <xdr:cNvPr id="3" name="Bildobjekt 2" descr="Bildresultat fÃ¶r piemonte">
          <a:extLst>
            <a:ext uri="{FF2B5EF4-FFF2-40B4-BE49-F238E27FC236}">
              <a16:creationId xmlns:a16="http://schemas.microsoft.com/office/drawing/2014/main" id="{D549C979-9390-492B-A052-AD9F467A64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6325" y="2025650"/>
          <a:ext cx="11023551" cy="76534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431799</xdr:colOff>
      <xdr:row>9</xdr:row>
      <xdr:rowOff>7471</xdr:rowOff>
    </xdr:from>
    <xdr:to>
      <xdr:col>12</xdr:col>
      <xdr:colOff>360406</xdr:colOff>
      <xdr:row>32</xdr:row>
      <xdr:rowOff>22412</xdr:rowOff>
    </xdr:to>
    <xdr:sp macro="" textlink="">
      <xdr:nvSpPr>
        <xdr:cNvPr id="4" name="Rektangel 3">
          <a:extLst>
            <a:ext uri="{FF2B5EF4-FFF2-40B4-BE49-F238E27FC236}">
              <a16:creationId xmlns:a16="http://schemas.microsoft.com/office/drawing/2014/main" id="{6D193EAD-3C4E-4992-931A-9E479AB3615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6156324" y="2007721"/>
          <a:ext cx="3995782" cy="7682566"/>
        </a:xfrm>
        <a:prstGeom prst="rect">
          <a:avLst/>
        </a:prstGeom>
        <a:solidFill>
          <a:srgbClr val="B1BBBF">
            <a:alpha val="34902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 editAs="oneCell">
    <xdr:from>
      <xdr:col>23</xdr:col>
      <xdr:colOff>152025</xdr:colOff>
      <xdr:row>29</xdr:row>
      <xdr:rowOff>447488</xdr:rowOff>
    </xdr:from>
    <xdr:to>
      <xdr:col>24</xdr:col>
      <xdr:colOff>61791</xdr:colOff>
      <xdr:row>31</xdr:row>
      <xdr:rowOff>279716</xdr:rowOff>
    </xdr:to>
    <xdr:pic>
      <xdr:nvPicPr>
        <xdr:cNvPr id="5" name="Bildobjekt 4" descr="https://lh5.googleusercontent.com/5Ek6yEDrml1j85TSaTfTMYKazGiD1n4E4Tq8-MsZ5Q0CKvm8q__TY_Y1q5_9HUAc0J9mavNbv91E00GanpodqVtYqVacxjdS4JHa0jQ5mnWgO1723LeNxYQs5OZd8-ifTV8WQa-oYarM2E02yw">
          <a:extLst>
            <a:ext uri="{FF2B5EF4-FFF2-40B4-BE49-F238E27FC236}">
              <a16:creationId xmlns:a16="http://schemas.microsoft.com/office/drawing/2014/main" id="{6AA38967-181A-4545-9788-E5BF5F589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35000" y="8896163"/>
          <a:ext cx="496235" cy="5316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301438</xdr:colOff>
      <xdr:row>18</xdr:row>
      <xdr:rowOff>11207</xdr:rowOff>
    </xdr:from>
    <xdr:to>
      <xdr:col>24</xdr:col>
      <xdr:colOff>414616</xdr:colOff>
      <xdr:row>32</xdr:row>
      <xdr:rowOff>11207</xdr:rowOff>
    </xdr:to>
    <xdr:sp macro="" textlink="">
      <xdr:nvSpPr>
        <xdr:cNvPr id="6" name="Rektangel 5">
          <a:extLst>
            <a:ext uri="{FF2B5EF4-FFF2-40B4-BE49-F238E27FC236}">
              <a16:creationId xmlns:a16="http://schemas.microsoft.com/office/drawing/2014/main" id="{A01CA19A-E56D-4977-9B2B-981AD65430F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8350063" y="4973732"/>
          <a:ext cx="8828553" cy="4705350"/>
        </a:xfrm>
        <a:prstGeom prst="rect">
          <a:avLst/>
        </a:prstGeom>
        <a:solidFill>
          <a:srgbClr val="B1BBBF">
            <a:alpha val="34902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5</xdr:col>
      <xdr:colOff>443744</xdr:colOff>
      <xdr:row>9</xdr:row>
      <xdr:rowOff>25393</xdr:rowOff>
    </xdr:from>
    <xdr:to>
      <xdr:col>24</xdr:col>
      <xdr:colOff>425823</xdr:colOff>
      <xdr:row>32</xdr:row>
      <xdr:rowOff>3</xdr:rowOff>
    </xdr:to>
    <xdr:sp macro="" textlink="">
      <xdr:nvSpPr>
        <xdr:cNvPr id="7" name="Rektangel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D38BE76-5275-4C94-8F69-588C1F497772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6168269" y="2025643"/>
          <a:ext cx="11021554" cy="7642235"/>
        </a:xfrm>
        <a:prstGeom prst="rect">
          <a:avLst/>
        </a:prstGeom>
        <a:solidFill>
          <a:srgbClr val="B1BBBF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3</xdr:col>
      <xdr:colOff>253891</xdr:colOff>
      <xdr:row>0</xdr:row>
      <xdr:rowOff>121103</xdr:rowOff>
    </xdr:from>
    <xdr:to>
      <xdr:col>10</xdr:col>
      <xdr:colOff>174492</xdr:colOff>
      <xdr:row>4</xdr:row>
      <xdr:rowOff>73478</xdr:rowOff>
    </xdr:to>
    <xdr:sp macro="" textlink="">
      <xdr:nvSpPr>
        <xdr:cNvPr id="8" name="Rektangel 16">
          <a:extLst>
            <a:ext uri="{FF2B5EF4-FFF2-40B4-BE49-F238E27FC236}">
              <a16:creationId xmlns:a16="http://schemas.microsoft.com/office/drawing/2014/main" id="{AA9FF055-3F11-4C68-ABC5-D962690D9DE2}"/>
            </a:ext>
          </a:extLst>
        </xdr:cNvPr>
        <xdr:cNvSpPr/>
      </xdr:nvSpPr>
      <xdr:spPr>
        <a:xfrm>
          <a:off x="1737070" y="121103"/>
          <a:ext cx="7091565" cy="714375"/>
        </a:xfrm>
        <a:prstGeom prst="rect">
          <a:avLst/>
        </a:prstGeom>
        <a:solidFill>
          <a:srgbClr val="0066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2800">
              <a:latin typeface="Microsoft JhengHei UI Light" panose="020B0304030504040204" pitchFamily="34" charset="-120"/>
              <a:ea typeface="Microsoft JhengHei UI Light" panose="020B0304030504040204" pitchFamily="34" charset="-120"/>
            </a:rPr>
            <a:t>Intuizio Fordonskalkyl 2022</a:t>
          </a:r>
        </a:p>
      </xdr:txBody>
    </xdr:sp>
    <xdr:clientData/>
  </xdr:twoCellAnchor>
  <xdr:twoCellAnchor>
    <xdr:from>
      <xdr:col>20</xdr:col>
      <xdr:colOff>176894</xdr:colOff>
      <xdr:row>32</xdr:row>
      <xdr:rowOff>11206</xdr:rowOff>
    </xdr:from>
    <xdr:to>
      <xdr:col>24</xdr:col>
      <xdr:colOff>549089</xdr:colOff>
      <xdr:row>33</xdr:row>
      <xdr:rowOff>68035</xdr:rowOff>
    </xdr:to>
    <xdr:sp macro="" textlink="">
      <xdr:nvSpPr>
        <xdr:cNvPr id="10" name="TextBox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003A44-F810-4757-AE46-A697CF406C77}"/>
            </a:ext>
          </a:extLst>
        </xdr:cNvPr>
        <xdr:cNvSpPr txBox="1"/>
      </xdr:nvSpPr>
      <xdr:spPr>
        <a:xfrm>
          <a:off x="14682108" y="9590635"/>
          <a:ext cx="2712624" cy="2473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>
              <a:solidFill>
                <a:schemeClr val="bg1">
                  <a:lumMod val="85000"/>
                </a:schemeClr>
              </a:solidFill>
            </a:rPr>
            <a:t>Intuizio fordonskalkyl version 2022-03-10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393211</xdr:colOff>
      <xdr:row>5</xdr:row>
      <xdr:rowOff>239682</xdr:rowOff>
    </xdr:to>
    <xdr:sp macro="" textlink="">
      <xdr:nvSpPr>
        <xdr:cNvPr id="11" name="Rektangel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D8A7387-5049-47AB-88F8-9EFEBF04D24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0" y="0"/>
          <a:ext cx="19544292" cy="1312702"/>
        </a:xfrm>
        <a:prstGeom prst="rect">
          <a:avLst/>
        </a:prstGeom>
        <a:solidFill>
          <a:srgbClr val="B1BBBF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368731</xdr:colOff>
      <xdr:row>0</xdr:row>
      <xdr:rowOff>72036</xdr:rowOff>
    </xdr:from>
    <xdr:to>
      <xdr:col>22</xdr:col>
      <xdr:colOff>254520</xdr:colOff>
      <xdr:row>0</xdr:row>
      <xdr:rowOff>1054529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1D321B5-8A5A-48C3-8648-3994BCD2FD8A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089910" y="72036"/>
          <a:ext cx="20092396" cy="982493"/>
          <a:chOff x="898069" y="72036"/>
          <a:chExt cx="22336810" cy="97571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2B3EF4F5-ABC3-4720-96E6-9F386D0899D7}"/>
              </a:ext>
            </a:extLst>
          </xdr:cNvPr>
          <xdr:cNvSpPr txBox="1"/>
        </xdr:nvSpPr>
        <xdr:spPr>
          <a:xfrm>
            <a:off x="905545" y="72036"/>
            <a:ext cx="2931670" cy="3906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sv-SE" sz="1400">
                <a:solidFill>
                  <a:schemeClr val="bg1">
                    <a:lumMod val="95000"/>
                  </a:schemeClr>
                </a:solidFill>
                <a:latin typeface="Microsoft YaHei UI Light" panose="020B0502040204020203" pitchFamily="34" charset="-122"/>
                <a:ea typeface="Microsoft YaHei UI Light" panose="020B0502040204020203" pitchFamily="34" charset="-122"/>
              </a:rPr>
              <a:t>Intuizio Fordonskalkyl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604C001F-BFD1-4819-A11A-11E6BF8C0119}"/>
              </a:ext>
            </a:extLst>
          </xdr:cNvPr>
          <xdr:cNvSpPr txBox="1"/>
        </xdr:nvSpPr>
        <xdr:spPr>
          <a:xfrm>
            <a:off x="898069" y="281480"/>
            <a:ext cx="5121589" cy="5042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sv-SE" sz="2000">
                <a:solidFill>
                  <a:schemeClr val="bg1">
                    <a:lumMod val="95000"/>
                  </a:schemeClr>
                </a:solidFill>
                <a:latin typeface="Microsoft YaHei UI Light" panose="020B0502040204020203" pitchFamily="34" charset="-122"/>
                <a:ea typeface="Microsoft YaHei UI Light" panose="020B0502040204020203" pitchFamily="34" charset="-122"/>
              </a:rPr>
              <a:t>Kalkylering &amp; Resultatöversikt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79CAB3B6-C93B-4471-BEB3-3E4C3188697C}"/>
              </a:ext>
            </a:extLst>
          </xdr:cNvPr>
          <xdr:cNvSpPr txBox="1"/>
        </xdr:nvSpPr>
        <xdr:spPr>
          <a:xfrm>
            <a:off x="21195024" y="797752"/>
            <a:ext cx="2039855" cy="2499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sv-SE" sz="800">
                <a:solidFill>
                  <a:schemeClr val="bg1">
                    <a:lumMod val="65000"/>
                  </a:schemeClr>
                </a:solidFill>
                <a:latin typeface="Microsoft YaHei UI Light" panose="020B0502040204020203" pitchFamily="34" charset="-122"/>
                <a:ea typeface="Microsoft YaHei UI Light" panose="020B0502040204020203" pitchFamily="34" charset="-122"/>
              </a:rPr>
              <a:t>Programversion; 2022-03-10</a:t>
            </a:r>
          </a:p>
        </xdr:txBody>
      </xdr:sp>
      <xdr:sp macro="" textlink="">
        <xdr:nvSpPr>
          <xdr:cNvPr id="6" name="TextBox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2A28FBB-81E1-4302-BE3F-1D920B63949F}"/>
              </a:ext>
            </a:extLst>
          </xdr:cNvPr>
          <xdr:cNvSpPr txBox="1"/>
        </xdr:nvSpPr>
        <xdr:spPr>
          <a:xfrm>
            <a:off x="926588" y="666722"/>
            <a:ext cx="1585098" cy="304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sv-SE" sz="1050" baseline="0">
                <a:solidFill>
                  <a:schemeClr val="bg1">
                    <a:lumMod val="65000"/>
                  </a:schemeClr>
                </a:solidFill>
                <a:latin typeface="Microsoft YaHei UI Light" panose="020B0502040204020203" pitchFamily="34" charset="-122"/>
                <a:ea typeface="Microsoft YaHei UI Light" panose="020B0502040204020203" pitchFamily="34" charset="-122"/>
              </a:rPr>
              <a:t>www.intuizio.se</a:t>
            </a:r>
            <a:endParaRPr lang="sv-SE" sz="1050">
              <a:solidFill>
                <a:schemeClr val="bg1">
                  <a:lumMod val="65000"/>
                </a:schemeClr>
              </a:solidFill>
              <a:latin typeface="Microsoft YaHei UI Light" panose="020B0502040204020203" pitchFamily="34" charset="-122"/>
              <a:ea typeface="Microsoft YaHei UI Light" panose="020B0502040204020203" pitchFamily="34" charset="-122"/>
            </a:endParaRPr>
          </a:p>
        </xdr:txBody>
      </xdr:sp>
    </xdr:grpSp>
    <xdr:clientData/>
  </xdr:twoCellAnchor>
  <xdr:twoCellAnchor>
    <xdr:from>
      <xdr:col>19</xdr:col>
      <xdr:colOff>143542</xdr:colOff>
      <xdr:row>0</xdr:row>
      <xdr:rowOff>106722</xdr:rowOff>
    </xdr:from>
    <xdr:to>
      <xdr:col>20</xdr:col>
      <xdr:colOff>487675</xdr:colOff>
      <xdr:row>0</xdr:row>
      <xdr:rowOff>503464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420E819-6E3F-48FE-A56B-30BA6EAEFB73}"/>
            </a:ext>
          </a:extLst>
        </xdr:cNvPr>
        <xdr:cNvSpPr txBox="1"/>
      </xdr:nvSpPr>
      <xdr:spPr>
        <a:xfrm>
          <a:off x="21927217" y="106722"/>
          <a:ext cx="1687158" cy="3967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>
              <a:solidFill>
                <a:schemeClr val="bg1">
                  <a:lumMod val="95000"/>
                </a:schemeClr>
              </a:solidFill>
            </a:rPr>
            <a:t>©Intuizio AB 2024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35</xdr:col>
      <xdr:colOff>178254</xdr:colOff>
      <xdr:row>0</xdr:row>
      <xdr:rowOff>1092083</xdr:rowOff>
    </xdr:to>
    <xdr:sp macro="" textlink="">
      <xdr:nvSpPr>
        <xdr:cNvPr id="9" name="TextBox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4B181D-9C5D-4D65-BA28-E5FCC8D1FE37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 txBox="1"/>
      </xdr:nvSpPr>
      <xdr:spPr>
        <a:xfrm>
          <a:off x="0" y="0"/>
          <a:ext cx="34382724" cy="1092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sv-SE" sz="1600">
            <a:solidFill>
              <a:schemeClr val="bg1">
                <a:lumMod val="95000"/>
              </a:schemeClr>
            </a:solidFill>
            <a:latin typeface="Microsoft YaHei UI Light" panose="020B0502040204020203" pitchFamily="34" charset="-122"/>
            <a:ea typeface="Microsoft YaHei UI Light" panose="020B0502040204020203" pitchFamily="34" charset="-122"/>
          </a:endParaRPr>
        </a:p>
      </xdr:txBody>
    </xdr:sp>
    <xdr:clientData/>
  </xdr:twoCellAnchor>
  <xdr:twoCellAnchor editAs="oneCell">
    <xdr:from>
      <xdr:col>0</xdr:col>
      <xdr:colOff>118197</xdr:colOff>
      <xdr:row>0</xdr:row>
      <xdr:rowOff>136606</xdr:rowOff>
    </xdr:from>
    <xdr:to>
      <xdr:col>2</xdr:col>
      <xdr:colOff>213230</xdr:colOff>
      <xdr:row>0</xdr:row>
      <xdr:rowOff>978674</xdr:rowOff>
    </xdr:to>
    <xdr:pic>
      <xdr:nvPicPr>
        <xdr:cNvPr id="11" name="Pictur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C18291-9D2A-47BC-BAB1-AB4EC94138E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97" y="136606"/>
          <a:ext cx="824400" cy="824400"/>
        </a:xfrm>
        <a:prstGeom prst="rect">
          <a:avLst/>
        </a:prstGeom>
      </xdr:spPr>
    </xdr:pic>
    <xdr:clientData/>
  </xdr:twoCellAnchor>
  <xdr:twoCellAnchor>
    <xdr:from>
      <xdr:col>0</xdr:col>
      <xdr:colOff>217713</xdr:colOff>
      <xdr:row>2</xdr:row>
      <xdr:rowOff>22412</xdr:rowOff>
    </xdr:from>
    <xdr:to>
      <xdr:col>4</xdr:col>
      <xdr:colOff>0</xdr:colOff>
      <xdr:row>5</xdr:row>
      <xdr:rowOff>33618</xdr:rowOff>
    </xdr:to>
    <xdr:sp macro="" textlink="">
      <xdr:nvSpPr>
        <xdr:cNvPr id="13" name="Rectangle: Rounded Corners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C07868A-85CC-4499-8BD6-4626DCDF778C}"/>
            </a:ext>
          </a:extLst>
        </xdr:cNvPr>
        <xdr:cNvSpPr/>
      </xdr:nvSpPr>
      <xdr:spPr>
        <a:xfrm>
          <a:off x="217713" y="1176618"/>
          <a:ext cx="1765728" cy="425824"/>
        </a:xfrm>
        <a:prstGeom prst="roundRect">
          <a:avLst>
            <a:gd name="adj" fmla="val 7365"/>
          </a:avLst>
        </a:prstGeom>
        <a:solidFill>
          <a:srgbClr val="006666"/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2000">
              <a:solidFill>
                <a:schemeClr val="bg1"/>
              </a:solidFill>
              <a:latin typeface="+mj-lt"/>
            </a:rPr>
            <a:t>STARTSIDA</a:t>
          </a:r>
          <a:endParaRPr lang="sv-SE" sz="2400">
            <a:solidFill>
              <a:schemeClr val="bg1"/>
            </a:solidFill>
            <a:latin typeface="+mj-lt"/>
          </a:endParaRPr>
        </a:p>
      </xdr:txBody>
    </xdr:sp>
    <xdr:clientData/>
  </xdr:twoCellAnchor>
  <xdr:twoCellAnchor editAs="oneCell">
    <xdr:from>
      <xdr:col>11</xdr:col>
      <xdr:colOff>4324</xdr:colOff>
      <xdr:row>47</xdr:row>
      <xdr:rowOff>93970</xdr:rowOff>
    </xdr:from>
    <xdr:to>
      <xdr:col>11</xdr:col>
      <xdr:colOff>365690</xdr:colOff>
      <xdr:row>48</xdr:row>
      <xdr:rowOff>190504</xdr:rowOff>
    </xdr:to>
    <xdr:pic>
      <xdr:nvPicPr>
        <xdr:cNvPr id="15" name="Graphic 14" descr="Add with solid fill">
          <a:extLst>
            <a:ext uri="{FF2B5EF4-FFF2-40B4-BE49-F238E27FC236}">
              <a16:creationId xmlns:a16="http://schemas.microsoft.com/office/drawing/2014/main" id="{483A7FC4-A231-42CE-99E5-F355F68A2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94971" y="9607764"/>
          <a:ext cx="365472" cy="365472"/>
        </a:xfrm>
        <a:prstGeom prst="rect">
          <a:avLst/>
        </a:prstGeom>
      </xdr:spPr>
    </xdr:pic>
    <xdr:clientData/>
  </xdr:twoCellAnchor>
  <xdr:twoCellAnchor>
    <xdr:from>
      <xdr:col>15</xdr:col>
      <xdr:colOff>953667</xdr:colOff>
      <xdr:row>25</xdr:row>
      <xdr:rowOff>38879</xdr:rowOff>
    </xdr:from>
    <xdr:to>
      <xdr:col>19</xdr:col>
      <xdr:colOff>556145</xdr:colOff>
      <xdr:row>41</xdr:row>
      <xdr:rowOff>313743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E38701B-CC4F-4EA1-AC50-1446BBC8FF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353785</xdr:colOff>
      <xdr:row>0</xdr:row>
      <xdr:rowOff>72036</xdr:rowOff>
    </xdr:from>
    <xdr:to>
      <xdr:col>21</xdr:col>
      <xdr:colOff>1374322</xdr:colOff>
      <xdr:row>0</xdr:row>
      <xdr:rowOff>991186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9F05251-CDA4-467C-9669-3EB9470412FE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074964" y="72036"/>
          <a:ext cx="19743965" cy="919150"/>
          <a:chOff x="898068" y="72036"/>
          <a:chExt cx="21882056" cy="919150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F70F9339-9BB5-4C8F-91D5-534A07E384D7}"/>
              </a:ext>
            </a:extLst>
          </xdr:cNvPr>
          <xdr:cNvSpPr txBox="1"/>
        </xdr:nvSpPr>
        <xdr:spPr>
          <a:xfrm>
            <a:off x="905545" y="72036"/>
            <a:ext cx="2931670" cy="3906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sv-SE" sz="1400">
                <a:solidFill>
                  <a:schemeClr val="bg1">
                    <a:lumMod val="95000"/>
                  </a:schemeClr>
                </a:solidFill>
                <a:latin typeface="Microsoft YaHei UI Light" panose="020B0502040204020203" pitchFamily="34" charset="-122"/>
                <a:ea typeface="Microsoft YaHei UI Light" panose="020B0502040204020203" pitchFamily="34" charset="-122"/>
              </a:rPr>
              <a:t>Kalkylsammanställning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BF7F7FAF-254E-4FFA-990F-1F835B9530AD}"/>
              </a:ext>
            </a:extLst>
          </xdr:cNvPr>
          <xdr:cNvSpPr txBox="1"/>
        </xdr:nvSpPr>
        <xdr:spPr>
          <a:xfrm>
            <a:off x="898068" y="281480"/>
            <a:ext cx="5248073" cy="5042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sv-SE" sz="2000">
                <a:solidFill>
                  <a:schemeClr val="bg1">
                    <a:lumMod val="95000"/>
                  </a:schemeClr>
                </a:solidFill>
                <a:latin typeface="Microsoft YaHei UI Light" panose="020B0502040204020203" pitchFamily="34" charset="-122"/>
                <a:ea typeface="Microsoft YaHei UI Light" panose="020B0502040204020203" pitchFamily="34" charset="-122"/>
              </a:rPr>
              <a:t>Sammanställning fordonsflotta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6D5D7417-2194-49B1-96BC-C656A000A27A}"/>
              </a:ext>
            </a:extLst>
          </xdr:cNvPr>
          <xdr:cNvSpPr txBox="1"/>
        </xdr:nvSpPr>
        <xdr:spPr>
          <a:xfrm>
            <a:off x="21195026" y="797752"/>
            <a:ext cx="1585098" cy="1934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sv-SE" sz="800">
                <a:solidFill>
                  <a:schemeClr val="bg1">
                    <a:lumMod val="65000"/>
                  </a:schemeClr>
                </a:solidFill>
                <a:latin typeface="Microsoft YaHei UI Light" panose="020B0502040204020203" pitchFamily="34" charset="-122"/>
                <a:ea typeface="Microsoft YaHei UI Light" panose="020B0502040204020203" pitchFamily="34" charset="-122"/>
              </a:rPr>
              <a:t>Programversion; 2020-09-15</a:t>
            </a:r>
          </a:p>
        </xdr:txBody>
      </xdr:sp>
    </xdr:grpSp>
    <xdr:clientData/>
  </xdr:twoCellAnchor>
  <xdr:twoCellAnchor>
    <xdr:from>
      <xdr:col>30</xdr:col>
      <xdr:colOff>143542</xdr:colOff>
      <xdr:row>0</xdr:row>
      <xdr:rowOff>106722</xdr:rowOff>
    </xdr:from>
    <xdr:to>
      <xdr:col>31</xdr:col>
      <xdr:colOff>487675</xdr:colOff>
      <xdr:row>0</xdr:row>
      <xdr:rowOff>503464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AA451296-CCC4-4443-A1F1-FE222BE82773}"/>
            </a:ext>
          </a:extLst>
        </xdr:cNvPr>
        <xdr:cNvSpPr txBox="1"/>
      </xdr:nvSpPr>
      <xdr:spPr>
        <a:xfrm>
          <a:off x="20584192" y="106722"/>
          <a:ext cx="1687158" cy="3967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>
              <a:solidFill>
                <a:schemeClr val="bg1">
                  <a:lumMod val="95000"/>
                </a:schemeClr>
              </a:solidFill>
            </a:rPr>
            <a:t>©Intuizio AB 2024</a:t>
          </a:r>
        </a:p>
      </xdr:txBody>
    </xdr:sp>
    <xdr:clientData/>
  </xdr:twoCellAnchor>
  <xdr:twoCellAnchor>
    <xdr:from>
      <xdr:col>6</xdr:col>
      <xdr:colOff>1387928</xdr:colOff>
      <xdr:row>0</xdr:row>
      <xdr:rowOff>7104</xdr:rowOff>
    </xdr:from>
    <xdr:to>
      <xdr:col>46</xdr:col>
      <xdr:colOff>217713</xdr:colOff>
      <xdr:row>1</xdr:row>
      <xdr:rowOff>0</xdr:rowOff>
    </xdr:to>
    <xdr:sp macro="" textlink="">
      <xdr:nvSpPr>
        <xdr:cNvPr id="8" name="TextBox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00C756-02BD-40AC-A29B-C710CB67BE3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 txBox="1"/>
      </xdr:nvSpPr>
      <xdr:spPr>
        <a:xfrm>
          <a:off x="4857749" y="7104"/>
          <a:ext cx="33160607" cy="1095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sv-SE" sz="1600">
            <a:solidFill>
              <a:schemeClr val="bg1">
                <a:lumMod val="95000"/>
              </a:schemeClr>
            </a:solidFill>
            <a:latin typeface="Microsoft YaHei UI Light" panose="020B0502040204020203" pitchFamily="34" charset="-122"/>
            <a:ea typeface="Microsoft YaHei UI Light" panose="020B0502040204020203" pitchFamily="34" charset="-122"/>
          </a:endParaRPr>
        </a:p>
      </xdr:txBody>
    </xdr:sp>
    <xdr:clientData/>
  </xdr:twoCellAnchor>
  <xdr:twoCellAnchor>
    <xdr:from>
      <xdr:col>1</xdr:col>
      <xdr:colOff>27213</xdr:colOff>
      <xdr:row>3</xdr:row>
      <xdr:rowOff>0</xdr:rowOff>
    </xdr:from>
    <xdr:to>
      <xdr:col>3</xdr:col>
      <xdr:colOff>489855</xdr:colOff>
      <xdr:row>4</xdr:row>
      <xdr:rowOff>54428</xdr:rowOff>
    </xdr:to>
    <xdr:sp macro="" textlink="">
      <xdr:nvSpPr>
        <xdr:cNvPr id="10" name="Rectangle: Rounded Corners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0FE98AE-F765-4612-9B54-FA73424E3662}"/>
            </a:ext>
          </a:extLst>
        </xdr:cNvPr>
        <xdr:cNvSpPr/>
      </xdr:nvSpPr>
      <xdr:spPr>
        <a:xfrm>
          <a:off x="246288" y="1200150"/>
          <a:ext cx="1472292" cy="321128"/>
        </a:xfrm>
        <a:prstGeom prst="roundRect">
          <a:avLst>
            <a:gd name="adj" fmla="val 7365"/>
          </a:avLst>
        </a:prstGeom>
        <a:solidFill>
          <a:schemeClr val="accent3">
            <a:lumMod val="50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2000">
              <a:solidFill>
                <a:schemeClr val="bg1"/>
              </a:solidFill>
              <a:latin typeface="+mj-lt"/>
            </a:rPr>
            <a:t>STARTSIDA</a:t>
          </a:r>
          <a:endParaRPr lang="sv-SE" sz="2400">
            <a:solidFill>
              <a:schemeClr val="bg1"/>
            </a:solidFill>
            <a:latin typeface="+mj-lt"/>
          </a:endParaRPr>
        </a:p>
      </xdr:txBody>
    </xdr:sp>
    <xdr:clientData/>
  </xdr:twoCellAnchor>
  <xdr:twoCellAnchor editAs="oneCell">
    <xdr:from>
      <xdr:col>0</xdr:col>
      <xdr:colOff>204107</xdr:colOff>
      <xdr:row>0</xdr:row>
      <xdr:rowOff>95250</xdr:rowOff>
    </xdr:from>
    <xdr:to>
      <xdr:col>2</xdr:col>
      <xdr:colOff>316399</xdr:colOff>
      <xdr:row>0</xdr:row>
      <xdr:rowOff>919650</xdr:rowOff>
    </xdr:to>
    <xdr:pic>
      <xdr:nvPicPr>
        <xdr:cNvPr id="9" name="Picture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1EFCD60-F7DE-41D1-B971-A4B2A357466A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4107" y="95250"/>
          <a:ext cx="833471" cy="824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33</xdr:row>
      <xdr:rowOff>114300</xdr:rowOff>
    </xdr:from>
    <xdr:to>
      <xdr:col>5</xdr:col>
      <xdr:colOff>647700</xdr:colOff>
      <xdr:row>36</xdr:row>
      <xdr:rowOff>23130</xdr:rowOff>
    </xdr:to>
    <xdr:pic>
      <xdr:nvPicPr>
        <xdr:cNvPr id="2" name="Bildobjekt 1" descr="Scalc08.jpg">
          <a:extLst>
            <a:ext uri="{FF2B5EF4-FFF2-40B4-BE49-F238E27FC236}">
              <a16:creationId xmlns:a16="http://schemas.microsoft.com/office/drawing/2014/main" id="{5172507C-78A8-4B58-BC47-244B07F30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76500" y="5934075"/>
          <a:ext cx="609600" cy="485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47626</xdr:colOff>
      <xdr:row>0</xdr:row>
      <xdr:rowOff>55560</xdr:rowOff>
    </xdr:from>
    <xdr:to>
      <xdr:col>9</xdr:col>
      <xdr:colOff>327933</xdr:colOff>
      <xdr:row>1</xdr:row>
      <xdr:rowOff>216529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D3A439C-5C22-4D61-AD19-933748EAA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6626" y="55560"/>
          <a:ext cx="876300" cy="354193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0</xdr:row>
      <xdr:rowOff>114300</xdr:rowOff>
    </xdr:from>
    <xdr:to>
      <xdr:col>13</xdr:col>
      <xdr:colOff>240392</xdr:colOff>
      <xdr:row>2</xdr:row>
      <xdr:rowOff>453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60F7B0E-E815-4CC3-8471-7B0FB63C5FA0}"/>
            </a:ext>
          </a:extLst>
        </xdr:cNvPr>
        <xdr:cNvSpPr/>
      </xdr:nvSpPr>
      <xdr:spPr>
        <a:xfrm>
          <a:off x="4695825" y="114300"/>
          <a:ext cx="1478642" cy="324303"/>
        </a:xfrm>
        <a:prstGeom prst="roundRect">
          <a:avLst>
            <a:gd name="adj" fmla="val 7365"/>
          </a:avLst>
        </a:prstGeom>
        <a:solidFill>
          <a:schemeClr val="accent3">
            <a:lumMod val="50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2000">
              <a:solidFill>
                <a:schemeClr val="bg1"/>
              </a:solidFill>
              <a:latin typeface="+mj-lt"/>
            </a:rPr>
            <a:t>STARTSIDA</a:t>
          </a:r>
          <a:endParaRPr lang="sv-SE" sz="2400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1</xdr:row>
      <xdr:rowOff>95251</xdr:rowOff>
    </xdr:from>
    <xdr:to>
      <xdr:col>2</xdr:col>
      <xdr:colOff>1352550</xdr:colOff>
      <xdr:row>2</xdr:row>
      <xdr:rowOff>265406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C8BF958-5770-F0E3-CE22-2157249D9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6825" y="95251"/>
          <a:ext cx="1304925" cy="44638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33</xdr:row>
      <xdr:rowOff>114300</xdr:rowOff>
    </xdr:from>
    <xdr:to>
      <xdr:col>5</xdr:col>
      <xdr:colOff>647700</xdr:colOff>
      <xdr:row>36</xdr:row>
      <xdr:rowOff>25853</xdr:rowOff>
    </xdr:to>
    <xdr:pic>
      <xdr:nvPicPr>
        <xdr:cNvPr id="2" name="Bildobjekt 1" descr="Scalc08.jpg">
          <a:extLst>
            <a:ext uri="{FF2B5EF4-FFF2-40B4-BE49-F238E27FC236}">
              <a16:creationId xmlns:a16="http://schemas.microsoft.com/office/drawing/2014/main" id="{B203EB46-024A-4DBC-AFFA-518A47EF9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76500" y="6324600"/>
          <a:ext cx="609600" cy="485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57151</xdr:colOff>
      <xdr:row>0</xdr:row>
      <xdr:rowOff>17460</xdr:rowOff>
    </xdr:from>
    <xdr:to>
      <xdr:col>9</xdr:col>
      <xdr:colOff>329293</xdr:colOff>
      <xdr:row>1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6EB35D9-D745-4DCA-8423-DEE4183DB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6151" y="17460"/>
          <a:ext cx="876300" cy="334965"/>
        </a:xfrm>
        <a:prstGeom prst="rect">
          <a:avLst/>
        </a:prstGeom>
      </xdr:spPr>
    </xdr:pic>
    <xdr:clientData/>
  </xdr:twoCellAnchor>
  <xdr:twoCellAnchor>
    <xdr:from>
      <xdr:col>10</xdr:col>
      <xdr:colOff>304800</xdr:colOff>
      <xdr:row>0</xdr:row>
      <xdr:rowOff>95250</xdr:rowOff>
    </xdr:from>
    <xdr:to>
      <xdr:col>14</xdr:col>
      <xdr:colOff>202292</xdr:colOff>
      <xdr:row>1</xdr:row>
      <xdr:rowOff>219528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24A4B6-6D60-4CC7-A71A-974B6E500D28}"/>
            </a:ext>
          </a:extLst>
        </xdr:cNvPr>
        <xdr:cNvSpPr/>
      </xdr:nvSpPr>
      <xdr:spPr>
        <a:xfrm>
          <a:off x="4953000" y="95250"/>
          <a:ext cx="1478642" cy="324303"/>
        </a:xfrm>
        <a:prstGeom prst="roundRect">
          <a:avLst>
            <a:gd name="adj" fmla="val 7365"/>
          </a:avLst>
        </a:prstGeom>
        <a:solidFill>
          <a:schemeClr val="accent3">
            <a:lumMod val="50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2000">
              <a:solidFill>
                <a:schemeClr val="bg1"/>
              </a:solidFill>
              <a:latin typeface="+mj-lt"/>
            </a:rPr>
            <a:t>STARTSIDA</a:t>
          </a:r>
          <a:endParaRPr lang="sv-SE" sz="2400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728383</xdr:colOff>
      <xdr:row>0</xdr:row>
      <xdr:rowOff>89647</xdr:rowOff>
    </xdr:from>
    <xdr:to>
      <xdr:col>5</xdr:col>
      <xdr:colOff>443422</xdr:colOff>
      <xdr:row>0</xdr:row>
      <xdr:rowOff>593912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58E13AC-6140-42F8-86DF-21B779C78CE3}"/>
            </a:ext>
          </a:extLst>
        </xdr:cNvPr>
        <xdr:cNvSpPr txBox="1"/>
      </xdr:nvSpPr>
      <xdr:spPr>
        <a:xfrm>
          <a:off x="728383" y="89647"/>
          <a:ext cx="4612010" cy="5042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2000">
              <a:solidFill>
                <a:schemeClr val="bg1">
                  <a:lumMod val="95000"/>
                </a:schemeClr>
              </a:solidFill>
              <a:latin typeface="Microsoft YaHei UI Light" panose="020B0502040204020203" pitchFamily="34" charset="-122"/>
              <a:ea typeface="Microsoft YaHei UI Light" panose="020B0502040204020203" pitchFamily="34" charset="-122"/>
            </a:rPr>
            <a:t>Sammandrag</a:t>
          </a:r>
          <a:r>
            <a:rPr lang="sv-SE" sz="2000" baseline="0">
              <a:solidFill>
                <a:schemeClr val="bg1">
                  <a:lumMod val="95000"/>
                </a:schemeClr>
              </a:solidFill>
              <a:latin typeface="Microsoft YaHei UI Light" panose="020B0502040204020203" pitchFamily="34" charset="-122"/>
              <a:ea typeface="Microsoft YaHei UI Light" panose="020B0502040204020203" pitchFamily="34" charset="-122"/>
            </a:rPr>
            <a:t> detaljkalkyl Bil &amp; Släp</a:t>
          </a:r>
          <a:endParaRPr lang="sv-SE" sz="2000">
            <a:solidFill>
              <a:schemeClr val="bg1">
                <a:lumMod val="95000"/>
              </a:schemeClr>
            </a:solidFill>
            <a:latin typeface="Microsoft YaHei UI Light" panose="020B0502040204020203" pitchFamily="34" charset="-122"/>
            <a:ea typeface="Microsoft YaHei UI Light" panose="020B0502040204020203" pitchFamily="34" charset="-122"/>
          </a:endParaRPr>
        </a:p>
      </xdr:txBody>
    </xdr:sp>
    <xdr:clientData/>
  </xdr:twoCellAnchor>
  <xdr:twoCellAnchor editAs="oneCell">
    <xdr:from>
      <xdr:col>0</xdr:col>
      <xdr:colOff>145677</xdr:colOff>
      <xdr:row>0</xdr:row>
      <xdr:rowOff>89647</xdr:rowOff>
    </xdr:from>
    <xdr:to>
      <xdr:col>0</xdr:col>
      <xdr:colOff>689477</xdr:colOff>
      <xdr:row>0</xdr:row>
      <xdr:rowOff>632937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C41BF3-497D-472C-9515-617272573B8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677" y="89647"/>
          <a:ext cx="543800" cy="537882"/>
        </a:xfrm>
        <a:prstGeom prst="rect">
          <a:avLst/>
        </a:prstGeom>
      </xdr:spPr>
    </xdr:pic>
    <xdr:clientData/>
  </xdr:twoCellAnchor>
  <xdr:twoCellAnchor>
    <xdr:from>
      <xdr:col>0</xdr:col>
      <xdr:colOff>78202</xdr:colOff>
      <xdr:row>1</xdr:row>
      <xdr:rowOff>54668</xdr:rowOff>
    </xdr:from>
    <xdr:to>
      <xdr:col>0</xdr:col>
      <xdr:colOff>1556844</xdr:colOff>
      <xdr:row>1</xdr:row>
      <xdr:rowOff>384654</xdr:rowOff>
    </xdr:to>
    <xdr:sp macro="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A43DE92-0EEE-4706-A6A8-FEEFB0D645D2}"/>
            </a:ext>
          </a:extLst>
        </xdr:cNvPr>
        <xdr:cNvSpPr/>
      </xdr:nvSpPr>
      <xdr:spPr>
        <a:xfrm>
          <a:off x="78202" y="797457"/>
          <a:ext cx="1478642" cy="329986"/>
        </a:xfrm>
        <a:prstGeom prst="roundRect">
          <a:avLst>
            <a:gd name="adj" fmla="val 7365"/>
          </a:avLst>
        </a:prstGeom>
        <a:solidFill>
          <a:schemeClr val="accent3">
            <a:lumMod val="50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2000">
              <a:solidFill>
                <a:schemeClr val="bg1"/>
              </a:solidFill>
              <a:latin typeface="+mj-lt"/>
            </a:rPr>
            <a:t>STARTSIDA</a:t>
          </a:r>
          <a:endParaRPr lang="sv-SE" sz="2400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707571</xdr:colOff>
      <xdr:row>2</xdr:row>
      <xdr:rowOff>0</xdr:rowOff>
    </xdr:from>
    <xdr:to>
      <xdr:col>18</xdr:col>
      <xdr:colOff>782408</xdr:colOff>
      <xdr:row>16</xdr:row>
      <xdr:rowOff>182334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27E47A-8176-4259-B351-6600CA2935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118197</xdr:colOff>
      <xdr:row>0</xdr:row>
      <xdr:rowOff>139327</xdr:rowOff>
    </xdr:from>
    <xdr:to>
      <xdr:col>2</xdr:col>
      <xdr:colOff>444140</xdr:colOff>
      <xdr:row>0</xdr:row>
      <xdr:rowOff>787004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4974E57-E0DD-42DD-A7D5-F1E5D709D6C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97" y="137966"/>
          <a:ext cx="632917" cy="649224"/>
        </a:xfrm>
        <a:prstGeom prst="rect">
          <a:avLst/>
        </a:prstGeom>
      </xdr:spPr>
    </xdr:pic>
    <xdr:clientData/>
  </xdr:twoCellAnchor>
  <xdr:twoCellAnchor editAs="absolute">
    <xdr:from>
      <xdr:col>1</xdr:col>
      <xdr:colOff>42261</xdr:colOff>
      <xdr:row>1</xdr:row>
      <xdr:rowOff>60978</xdr:rowOff>
    </xdr:from>
    <xdr:to>
      <xdr:col>2</xdr:col>
      <xdr:colOff>709239</xdr:colOff>
      <xdr:row>2</xdr:row>
      <xdr:rowOff>176519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4E9B9E4-97F8-409F-9D82-11756F845071}"/>
            </a:ext>
          </a:extLst>
        </xdr:cNvPr>
        <xdr:cNvGrpSpPr/>
      </xdr:nvGrpSpPr>
      <xdr:grpSpPr>
        <a:xfrm>
          <a:off x="266379" y="1058302"/>
          <a:ext cx="767831" cy="306041"/>
          <a:chOff x="15121939" y="708125"/>
          <a:chExt cx="1058796" cy="381565"/>
        </a:xfrm>
      </xdr:grpSpPr>
      <xdr:pic>
        <xdr:nvPicPr>
          <xdr:cNvPr id="5" name="Graphic 4" descr="Badge Follow outline">
            <a:extLst>
              <a:ext uri="{FF2B5EF4-FFF2-40B4-BE49-F238E27FC236}">
                <a16:creationId xmlns:a16="http://schemas.microsoft.com/office/drawing/2014/main" id="{6067E612-89E0-1F1F-4728-CD5EABBB1B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5448697" y="708125"/>
            <a:ext cx="377700" cy="380914"/>
          </a:xfrm>
          <a:prstGeom prst="rect">
            <a:avLst/>
          </a:prstGeom>
        </xdr:spPr>
      </xdr:pic>
      <xdr:pic>
        <xdr:nvPicPr>
          <xdr:cNvPr id="6" name="Graphic 5" descr="Badge Unfollow outline">
            <a:extLst>
              <a:ext uri="{FF2B5EF4-FFF2-40B4-BE49-F238E27FC236}">
                <a16:creationId xmlns:a16="http://schemas.microsoft.com/office/drawing/2014/main" id="{0CF2B796-32B1-E072-2E9B-5FD0057DD7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5796885" y="712858"/>
            <a:ext cx="383850" cy="376832"/>
          </a:xfrm>
          <a:prstGeom prst="rect">
            <a:avLst/>
          </a:prstGeom>
        </xdr:spPr>
      </xdr:pic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B85EC9E1-7E7A-2F3F-BD52-B9AA51017F37}"/>
              </a:ext>
            </a:extLst>
          </xdr:cNvPr>
          <xdr:cNvGrpSpPr/>
        </xdr:nvGrpSpPr>
        <xdr:grpSpPr>
          <a:xfrm>
            <a:off x="15121939" y="756627"/>
            <a:ext cx="328801" cy="290227"/>
            <a:chOff x="1400175" y="668853"/>
            <a:chExt cx="328801" cy="273082"/>
          </a:xfrm>
        </xdr:grpSpPr>
        <xdr:pic>
          <xdr:nvPicPr>
            <xdr:cNvPr id="8" name="Graphic 7" descr="Repeat outline">
              <a:extLst>
                <a:ext uri="{FF2B5EF4-FFF2-40B4-BE49-F238E27FC236}">
                  <a16:creationId xmlns:a16="http://schemas.microsoft.com/office/drawing/2014/main" id="{585A6077-93A5-963B-B0EA-4930457327E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453851" y="691958"/>
              <a:ext cx="216090" cy="216089"/>
            </a:xfrm>
            <a:prstGeom prst="rect">
              <a:avLst/>
            </a:prstGeom>
          </xdr:spPr>
        </xdr:pic>
        <xdr:sp macro="" textlink="">
          <xdr:nvSpPr>
            <xdr:cNvPr id="9" name="Oval 8">
              <a:extLst>
                <a:ext uri="{FF2B5EF4-FFF2-40B4-BE49-F238E27FC236}">
                  <a16:creationId xmlns:a16="http://schemas.microsoft.com/office/drawing/2014/main" id="{9B7C098F-4B26-4F6A-4D79-987390D79B19}"/>
                </a:ext>
              </a:extLst>
            </xdr:cNvPr>
            <xdr:cNvSpPr/>
          </xdr:nvSpPr>
          <xdr:spPr>
            <a:xfrm>
              <a:off x="1400175" y="668853"/>
              <a:ext cx="328801" cy="273082"/>
            </a:xfrm>
            <a:prstGeom prst="ellipse">
              <a:avLst/>
            </a:prstGeom>
            <a:noFill/>
            <a:ln w="9525">
              <a:solidFill>
                <a:schemeClr val="accent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sv-SE" sz="1100"/>
            </a:p>
          </xdr:txBody>
        </xdr:sp>
      </xdr:grpSp>
    </xdr:grpSp>
    <xdr:clientData/>
  </xdr:twoCellAnchor>
  <xdr:twoCellAnchor>
    <xdr:from>
      <xdr:col>18</xdr:col>
      <xdr:colOff>76840</xdr:colOff>
      <xdr:row>0</xdr:row>
      <xdr:rowOff>106535</xdr:rowOff>
    </xdr:from>
    <xdr:to>
      <xdr:col>20</xdr:col>
      <xdr:colOff>28254</xdr:colOff>
      <xdr:row>0</xdr:row>
      <xdr:rowOff>482412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FBB8E45-B9EE-4238-B580-66E51276DB1A}"/>
            </a:ext>
          </a:extLst>
        </xdr:cNvPr>
        <xdr:cNvSpPr txBox="1"/>
      </xdr:nvSpPr>
      <xdr:spPr>
        <a:xfrm>
          <a:off x="13363815" y="106535"/>
          <a:ext cx="1244893" cy="375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>
              <a:solidFill>
                <a:schemeClr val="bg1">
                  <a:lumMod val="95000"/>
                </a:schemeClr>
              </a:solidFill>
            </a:rPr>
            <a:t>©Intuizio AB 2024</a:t>
          </a:r>
        </a:p>
      </xdr:txBody>
    </xdr:sp>
    <xdr:clientData/>
  </xdr:twoCellAnchor>
  <xdr:twoCellAnchor>
    <xdr:from>
      <xdr:col>2</xdr:col>
      <xdr:colOff>522914</xdr:colOff>
      <xdr:row>0</xdr:row>
      <xdr:rowOff>111499</xdr:rowOff>
    </xdr:from>
    <xdr:to>
      <xdr:col>8</xdr:col>
      <xdr:colOff>127987</xdr:colOff>
      <xdr:row>0</xdr:row>
      <xdr:rowOff>608343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7F894F18-1A06-46C0-9EFE-C9454C997469}"/>
            </a:ext>
          </a:extLst>
        </xdr:cNvPr>
        <xdr:cNvSpPr txBox="1"/>
      </xdr:nvSpPr>
      <xdr:spPr>
        <a:xfrm>
          <a:off x="836679" y="111499"/>
          <a:ext cx="6328602" cy="4968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2000">
              <a:solidFill>
                <a:schemeClr val="bg1">
                  <a:lumMod val="95000"/>
                </a:schemeClr>
              </a:solidFill>
              <a:latin typeface="Microsoft YaHei UI Light" panose="020B0502040204020203" pitchFamily="34" charset="-122"/>
              <a:ea typeface="Microsoft YaHei UI Light" panose="020B0502040204020203" pitchFamily="34" charset="-122"/>
            </a:rPr>
            <a:t>Analysverktyg Laddlogistik</a:t>
          </a:r>
          <a:r>
            <a:rPr lang="sv-SE" sz="2000" baseline="0">
              <a:solidFill>
                <a:schemeClr val="bg1">
                  <a:lumMod val="95000"/>
                </a:schemeClr>
              </a:solidFill>
              <a:latin typeface="Microsoft YaHei UI Light" panose="020B0502040204020203" pitchFamily="34" charset="-122"/>
              <a:ea typeface="Microsoft YaHei UI Light" panose="020B0502040204020203" pitchFamily="34" charset="-122"/>
            </a:rPr>
            <a:t> &amp; batterioptimering</a:t>
          </a:r>
          <a:endParaRPr lang="sv-SE" sz="2000">
            <a:solidFill>
              <a:schemeClr val="bg1">
                <a:lumMod val="95000"/>
              </a:schemeClr>
            </a:solidFill>
            <a:latin typeface="Microsoft YaHei UI Light" panose="020B0502040204020203" pitchFamily="34" charset="-122"/>
            <a:ea typeface="Microsoft YaHei UI Light" panose="020B0502040204020203" pitchFamily="34" charset="-122"/>
          </a:endParaRPr>
        </a:p>
      </xdr:txBody>
    </xdr:sp>
    <xdr:clientData/>
  </xdr:twoCellAnchor>
  <xdr:twoCellAnchor>
    <xdr:from>
      <xdr:col>2</xdr:col>
      <xdr:colOff>572060</xdr:colOff>
      <xdr:row>0</xdr:row>
      <xdr:rowOff>528197</xdr:rowOff>
    </xdr:from>
    <xdr:to>
      <xdr:col>3</xdr:col>
      <xdr:colOff>1024765</xdr:colOff>
      <xdr:row>0</xdr:row>
      <xdr:rowOff>831036</xdr:rowOff>
    </xdr:to>
    <xdr:sp macro="" textlink="">
      <xdr:nvSpPr>
        <xdr:cNvPr id="12" name="TextBox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990774D-6660-4FFB-A585-94AC9D78E056}"/>
            </a:ext>
          </a:extLst>
        </xdr:cNvPr>
        <xdr:cNvSpPr txBox="1"/>
      </xdr:nvSpPr>
      <xdr:spPr>
        <a:xfrm>
          <a:off x="885825" y="528197"/>
          <a:ext cx="1733376" cy="3028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050" baseline="0">
              <a:solidFill>
                <a:schemeClr val="bg1">
                  <a:lumMod val="65000"/>
                </a:schemeClr>
              </a:solidFill>
              <a:latin typeface="Microsoft YaHei UI Light" panose="020B0502040204020203" pitchFamily="34" charset="-122"/>
              <a:ea typeface="Microsoft YaHei UI Light" panose="020B0502040204020203" pitchFamily="34" charset="-122"/>
            </a:rPr>
            <a:t>www.intuizio.se</a:t>
          </a:r>
          <a:endParaRPr lang="sv-SE" sz="1050">
            <a:solidFill>
              <a:schemeClr val="bg1">
                <a:lumMod val="65000"/>
              </a:schemeClr>
            </a:solidFill>
            <a:latin typeface="Microsoft YaHei UI Light" panose="020B0502040204020203" pitchFamily="34" charset="-122"/>
            <a:ea typeface="Microsoft YaHei UI Light" panose="020B0502040204020203" pitchFamily="34" charset="-122"/>
          </a:endParaRPr>
        </a:p>
      </xdr:txBody>
    </xdr:sp>
    <xdr:clientData/>
  </xdr:twoCellAnchor>
  <xdr:twoCellAnchor>
    <xdr:from>
      <xdr:col>2</xdr:col>
      <xdr:colOff>1248654</xdr:colOff>
      <xdr:row>1</xdr:row>
      <xdr:rowOff>96049</xdr:rowOff>
    </xdr:from>
    <xdr:to>
      <xdr:col>4</xdr:col>
      <xdr:colOff>351259</xdr:colOff>
      <xdr:row>3</xdr:row>
      <xdr:rowOff>132434</xdr:rowOff>
    </xdr:to>
    <xdr:sp macro="" textlink="">
      <xdr:nvSpPr>
        <xdr:cNvPr id="13" name="Rectangle: Rounded Corners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5B5980-35A5-43F7-953E-1860F7B456BB}"/>
            </a:ext>
          </a:extLst>
        </xdr:cNvPr>
        <xdr:cNvSpPr/>
      </xdr:nvSpPr>
      <xdr:spPr>
        <a:xfrm>
          <a:off x="1562419" y="1094974"/>
          <a:ext cx="1766404" cy="420586"/>
        </a:xfrm>
        <a:prstGeom prst="roundRect">
          <a:avLst>
            <a:gd name="adj" fmla="val 7365"/>
          </a:avLst>
        </a:prstGeom>
        <a:solidFill>
          <a:srgbClr val="006666"/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2000">
              <a:solidFill>
                <a:schemeClr val="bg1"/>
              </a:solidFill>
              <a:latin typeface="+mj-lt"/>
            </a:rPr>
            <a:t>STARTSIDA</a:t>
          </a:r>
          <a:endParaRPr lang="sv-SE" sz="2400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707571</xdr:colOff>
      <xdr:row>2</xdr:row>
      <xdr:rowOff>0</xdr:rowOff>
    </xdr:from>
    <xdr:to>
      <xdr:col>18</xdr:col>
      <xdr:colOff>782408</xdr:colOff>
      <xdr:row>16</xdr:row>
      <xdr:rowOff>182334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E87D94-33F1-483B-956D-3D2433C12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118197</xdr:colOff>
      <xdr:row>0</xdr:row>
      <xdr:rowOff>139327</xdr:rowOff>
    </xdr:from>
    <xdr:to>
      <xdr:col>2</xdr:col>
      <xdr:colOff>445500</xdr:colOff>
      <xdr:row>0</xdr:row>
      <xdr:rowOff>788364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9EC25DB-4E1B-4845-B833-4A103FE1F95A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97" y="137966"/>
          <a:ext cx="641629" cy="649038"/>
        </a:xfrm>
        <a:prstGeom prst="rect">
          <a:avLst/>
        </a:prstGeom>
      </xdr:spPr>
    </xdr:pic>
    <xdr:clientData/>
  </xdr:twoCellAnchor>
  <xdr:twoCellAnchor editAs="absolute">
    <xdr:from>
      <xdr:col>1</xdr:col>
      <xdr:colOff>42261</xdr:colOff>
      <xdr:row>1</xdr:row>
      <xdr:rowOff>62338</xdr:rowOff>
    </xdr:from>
    <xdr:to>
      <xdr:col>2</xdr:col>
      <xdr:colOff>710599</xdr:colOff>
      <xdr:row>2</xdr:row>
      <xdr:rowOff>177879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79A014E3-AEF6-488E-B3B4-C013CECD9979}"/>
            </a:ext>
          </a:extLst>
        </xdr:cNvPr>
        <xdr:cNvGrpSpPr/>
      </xdr:nvGrpSpPr>
      <xdr:grpSpPr>
        <a:xfrm>
          <a:off x="266379" y="1059662"/>
          <a:ext cx="769191" cy="306041"/>
          <a:chOff x="15121939" y="708125"/>
          <a:chExt cx="1058796" cy="381565"/>
        </a:xfrm>
      </xdr:grpSpPr>
      <xdr:pic>
        <xdr:nvPicPr>
          <xdr:cNvPr id="5" name="Graphic 4" descr="Badge Follow outline">
            <a:extLst>
              <a:ext uri="{FF2B5EF4-FFF2-40B4-BE49-F238E27FC236}">
                <a16:creationId xmlns:a16="http://schemas.microsoft.com/office/drawing/2014/main" id="{12B00C5D-6CEE-06A1-AB17-2658250308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5448697" y="708125"/>
            <a:ext cx="377700" cy="380914"/>
          </a:xfrm>
          <a:prstGeom prst="rect">
            <a:avLst/>
          </a:prstGeom>
        </xdr:spPr>
      </xdr:pic>
      <xdr:pic>
        <xdr:nvPicPr>
          <xdr:cNvPr id="6" name="Graphic 5" descr="Badge Unfollow outline">
            <a:extLst>
              <a:ext uri="{FF2B5EF4-FFF2-40B4-BE49-F238E27FC236}">
                <a16:creationId xmlns:a16="http://schemas.microsoft.com/office/drawing/2014/main" id="{374B9FF0-0866-3F59-DE18-DA224B17FD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5796885" y="712858"/>
            <a:ext cx="383850" cy="376832"/>
          </a:xfrm>
          <a:prstGeom prst="rect">
            <a:avLst/>
          </a:prstGeom>
        </xdr:spPr>
      </xdr:pic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174D09F0-2D0B-5EBE-48C9-6A2DAA6F01D6}"/>
              </a:ext>
            </a:extLst>
          </xdr:cNvPr>
          <xdr:cNvGrpSpPr/>
        </xdr:nvGrpSpPr>
        <xdr:grpSpPr>
          <a:xfrm>
            <a:off x="15121939" y="756627"/>
            <a:ext cx="328801" cy="290227"/>
            <a:chOff x="1400175" y="668853"/>
            <a:chExt cx="328801" cy="273082"/>
          </a:xfrm>
        </xdr:grpSpPr>
        <xdr:pic>
          <xdr:nvPicPr>
            <xdr:cNvPr id="8" name="Graphic 7" descr="Repeat outline">
              <a:extLst>
                <a:ext uri="{FF2B5EF4-FFF2-40B4-BE49-F238E27FC236}">
                  <a16:creationId xmlns:a16="http://schemas.microsoft.com/office/drawing/2014/main" id="{1CA86792-C918-F3DA-5F33-8B482E40544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453851" y="691958"/>
              <a:ext cx="216090" cy="216089"/>
            </a:xfrm>
            <a:prstGeom prst="rect">
              <a:avLst/>
            </a:prstGeom>
          </xdr:spPr>
        </xdr:pic>
        <xdr:sp macro="" textlink="">
          <xdr:nvSpPr>
            <xdr:cNvPr id="9" name="Oval 8">
              <a:extLst>
                <a:ext uri="{FF2B5EF4-FFF2-40B4-BE49-F238E27FC236}">
                  <a16:creationId xmlns:a16="http://schemas.microsoft.com/office/drawing/2014/main" id="{7A29F6BA-67F1-8494-E045-BDF13B345919}"/>
                </a:ext>
              </a:extLst>
            </xdr:cNvPr>
            <xdr:cNvSpPr/>
          </xdr:nvSpPr>
          <xdr:spPr>
            <a:xfrm>
              <a:off x="1400175" y="668853"/>
              <a:ext cx="328801" cy="273082"/>
            </a:xfrm>
            <a:prstGeom prst="ellipse">
              <a:avLst/>
            </a:prstGeom>
            <a:noFill/>
            <a:ln w="9525">
              <a:solidFill>
                <a:schemeClr val="accent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sv-SE" sz="1100"/>
            </a:p>
          </xdr:txBody>
        </xdr:sp>
      </xdr:grpSp>
    </xdr:grpSp>
    <xdr:clientData/>
  </xdr:twoCellAnchor>
  <xdr:twoCellAnchor>
    <xdr:from>
      <xdr:col>18</xdr:col>
      <xdr:colOff>76840</xdr:colOff>
      <xdr:row>0</xdr:row>
      <xdr:rowOff>106535</xdr:rowOff>
    </xdr:from>
    <xdr:to>
      <xdr:col>20</xdr:col>
      <xdr:colOff>28254</xdr:colOff>
      <xdr:row>0</xdr:row>
      <xdr:rowOff>482412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C24064D-5FBE-481B-BCB4-7ED02752CADD}"/>
            </a:ext>
          </a:extLst>
        </xdr:cNvPr>
        <xdr:cNvSpPr txBox="1"/>
      </xdr:nvSpPr>
      <xdr:spPr>
        <a:xfrm>
          <a:off x="13357411" y="105174"/>
          <a:ext cx="1245453" cy="375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>
              <a:solidFill>
                <a:schemeClr val="bg1">
                  <a:lumMod val="95000"/>
                </a:schemeClr>
              </a:solidFill>
            </a:rPr>
            <a:t>©Intuizio AB 2024</a:t>
          </a:r>
        </a:p>
      </xdr:txBody>
    </xdr:sp>
    <xdr:clientData/>
  </xdr:twoCellAnchor>
  <xdr:twoCellAnchor>
    <xdr:from>
      <xdr:col>2</xdr:col>
      <xdr:colOff>522914</xdr:colOff>
      <xdr:row>0</xdr:row>
      <xdr:rowOff>111499</xdr:rowOff>
    </xdr:from>
    <xdr:to>
      <xdr:col>8</xdr:col>
      <xdr:colOff>127987</xdr:colOff>
      <xdr:row>0</xdr:row>
      <xdr:rowOff>608343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5EBF1F9-F69C-4AE3-9854-004A37FBA44C}"/>
            </a:ext>
          </a:extLst>
        </xdr:cNvPr>
        <xdr:cNvSpPr txBox="1"/>
      </xdr:nvSpPr>
      <xdr:spPr>
        <a:xfrm>
          <a:off x="837239" y="111499"/>
          <a:ext cx="6324280" cy="4968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2000">
              <a:solidFill>
                <a:schemeClr val="bg1">
                  <a:lumMod val="95000"/>
                </a:schemeClr>
              </a:solidFill>
              <a:latin typeface="Microsoft YaHei UI Light" panose="020B0502040204020203" pitchFamily="34" charset="-122"/>
              <a:ea typeface="Microsoft YaHei UI Light" panose="020B0502040204020203" pitchFamily="34" charset="-122"/>
            </a:rPr>
            <a:t>Analysverktyg Laddlogistik</a:t>
          </a:r>
          <a:r>
            <a:rPr lang="sv-SE" sz="2000" baseline="0">
              <a:solidFill>
                <a:schemeClr val="bg1">
                  <a:lumMod val="95000"/>
                </a:schemeClr>
              </a:solidFill>
              <a:latin typeface="Microsoft YaHei UI Light" panose="020B0502040204020203" pitchFamily="34" charset="-122"/>
              <a:ea typeface="Microsoft YaHei UI Light" panose="020B0502040204020203" pitchFamily="34" charset="-122"/>
            </a:rPr>
            <a:t> &amp; batterioptimering</a:t>
          </a:r>
          <a:endParaRPr lang="sv-SE" sz="2000">
            <a:solidFill>
              <a:schemeClr val="bg1">
                <a:lumMod val="95000"/>
              </a:schemeClr>
            </a:solidFill>
            <a:latin typeface="Microsoft YaHei UI Light" panose="020B0502040204020203" pitchFamily="34" charset="-122"/>
            <a:ea typeface="Microsoft YaHei UI Light" panose="020B0502040204020203" pitchFamily="34" charset="-122"/>
          </a:endParaRPr>
        </a:p>
      </xdr:txBody>
    </xdr:sp>
    <xdr:clientData/>
  </xdr:twoCellAnchor>
  <xdr:twoCellAnchor>
    <xdr:from>
      <xdr:col>2</xdr:col>
      <xdr:colOff>572060</xdr:colOff>
      <xdr:row>0</xdr:row>
      <xdr:rowOff>528197</xdr:rowOff>
    </xdr:from>
    <xdr:to>
      <xdr:col>3</xdr:col>
      <xdr:colOff>1024765</xdr:colOff>
      <xdr:row>0</xdr:row>
      <xdr:rowOff>831036</xdr:rowOff>
    </xdr:to>
    <xdr:sp macro="" textlink="">
      <xdr:nvSpPr>
        <xdr:cNvPr id="12" name="TextBox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8C61F4D-2450-4A3C-8005-A222FF0D1E51}"/>
            </a:ext>
          </a:extLst>
        </xdr:cNvPr>
        <xdr:cNvSpPr txBox="1"/>
      </xdr:nvSpPr>
      <xdr:spPr>
        <a:xfrm>
          <a:off x="887746" y="526836"/>
          <a:ext cx="1731776" cy="3028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050" baseline="0">
              <a:solidFill>
                <a:schemeClr val="bg1">
                  <a:lumMod val="65000"/>
                </a:schemeClr>
              </a:solidFill>
              <a:latin typeface="Microsoft YaHei UI Light" panose="020B0502040204020203" pitchFamily="34" charset="-122"/>
              <a:ea typeface="Microsoft YaHei UI Light" panose="020B0502040204020203" pitchFamily="34" charset="-122"/>
            </a:rPr>
            <a:t>www.intuizio.se</a:t>
          </a:r>
          <a:endParaRPr lang="sv-SE" sz="1050">
            <a:solidFill>
              <a:schemeClr val="bg1">
                <a:lumMod val="65000"/>
              </a:schemeClr>
            </a:solidFill>
            <a:latin typeface="Microsoft YaHei UI Light" panose="020B0502040204020203" pitchFamily="34" charset="-122"/>
            <a:ea typeface="Microsoft YaHei UI Light" panose="020B0502040204020203" pitchFamily="34" charset="-122"/>
          </a:endParaRPr>
        </a:p>
      </xdr:txBody>
    </xdr:sp>
    <xdr:clientData/>
  </xdr:twoCellAnchor>
  <xdr:twoCellAnchor>
    <xdr:from>
      <xdr:col>2</xdr:col>
      <xdr:colOff>1248654</xdr:colOff>
      <xdr:row>1</xdr:row>
      <xdr:rowOff>96049</xdr:rowOff>
    </xdr:from>
    <xdr:to>
      <xdr:col>4</xdr:col>
      <xdr:colOff>351259</xdr:colOff>
      <xdr:row>3</xdr:row>
      <xdr:rowOff>132434</xdr:rowOff>
    </xdr:to>
    <xdr:sp macro="" textlink="">
      <xdr:nvSpPr>
        <xdr:cNvPr id="13" name="Rectangle: Rounded Corners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3D650AC-97A2-4A20-8554-0287D905FAD4}"/>
            </a:ext>
          </a:extLst>
        </xdr:cNvPr>
        <xdr:cNvSpPr/>
      </xdr:nvSpPr>
      <xdr:spPr>
        <a:xfrm>
          <a:off x="1562979" y="1100256"/>
          <a:ext cx="1766884" cy="417385"/>
        </a:xfrm>
        <a:prstGeom prst="roundRect">
          <a:avLst>
            <a:gd name="adj" fmla="val 7365"/>
          </a:avLst>
        </a:prstGeom>
        <a:solidFill>
          <a:srgbClr val="006666"/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2000">
              <a:solidFill>
                <a:schemeClr val="bg1"/>
              </a:solidFill>
              <a:latin typeface="+mj-lt"/>
            </a:rPr>
            <a:t>STARTSIDA</a:t>
          </a:r>
          <a:endParaRPr lang="sv-SE" sz="2400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16565</xdr:colOff>
      <xdr:row>38</xdr:row>
      <xdr:rowOff>11043</xdr:rowOff>
    </xdr:from>
    <xdr:to>
      <xdr:col>50</xdr:col>
      <xdr:colOff>0</xdr:colOff>
      <xdr:row>38</xdr:row>
      <xdr:rowOff>154608</xdr:rowOff>
    </xdr:to>
    <xdr:sp macro="" textlink="">
      <xdr:nvSpPr>
        <xdr:cNvPr id="2" name="Uppåtpil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5D3A86-C14C-45E0-A42D-C3AEA56C84BE}"/>
            </a:ext>
          </a:extLst>
        </xdr:cNvPr>
        <xdr:cNvSpPr/>
      </xdr:nvSpPr>
      <xdr:spPr>
        <a:xfrm>
          <a:off x="30772790" y="8240643"/>
          <a:ext cx="1431235" cy="143565"/>
        </a:xfrm>
        <a:prstGeom prst="upArrow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49</xdr:col>
      <xdr:colOff>0</xdr:colOff>
      <xdr:row>74</xdr:row>
      <xdr:rowOff>0</xdr:rowOff>
    </xdr:from>
    <xdr:to>
      <xdr:col>49</xdr:col>
      <xdr:colOff>182217</xdr:colOff>
      <xdr:row>74</xdr:row>
      <xdr:rowOff>143565</xdr:rowOff>
    </xdr:to>
    <xdr:sp macro="" textlink="">
      <xdr:nvSpPr>
        <xdr:cNvPr id="3" name="Uppåtpil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53F99D-E48D-4B7E-8469-B1ADB5D4B8AE}"/>
            </a:ext>
          </a:extLst>
        </xdr:cNvPr>
        <xdr:cNvSpPr/>
      </xdr:nvSpPr>
      <xdr:spPr>
        <a:xfrm>
          <a:off x="30756225" y="15087600"/>
          <a:ext cx="182217" cy="143565"/>
        </a:xfrm>
        <a:prstGeom prst="upArrow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49</xdr:col>
      <xdr:colOff>0</xdr:colOff>
      <xdr:row>103</xdr:row>
      <xdr:rowOff>0</xdr:rowOff>
    </xdr:from>
    <xdr:to>
      <xdr:col>49</xdr:col>
      <xdr:colOff>182217</xdr:colOff>
      <xdr:row>103</xdr:row>
      <xdr:rowOff>143565</xdr:rowOff>
    </xdr:to>
    <xdr:sp macro="" textlink="">
      <xdr:nvSpPr>
        <xdr:cNvPr id="4" name="Uppåtpil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79F5B9-BC39-459E-94E3-1DF9AACDAE92}"/>
            </a:ext>
          </a:extLst>
        </xdr:cNvPr>
        <xdr:cNvSpPr/>
      </xdr:nvSpPr>
      <xdr:spPr>
        <a:xfrm>
          <a:off x="30756225" y="20612100"/>
          <a:ext cx="182217" cy="143565"/>
        </a:xfrm>
        <a:prstGeom prst="upArrow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0</xdr:col>
      <xdr:colOff>15875</xdr:colOff>
      <xdr:row>35</xdr:row>
      <xdr:rowOff>181803</xdr:rowOff>
    </xdr:from>
    <xdr:to>
      <xdr:col>1</xdr:col>
      <xdr:colOff>18360</xdr:colOff>
      <xdr:row>36</xdr:row>
      <xdr:rowOff>134868</xdr:rowOff>
    </xdr:to>
    <xdr:sp macro="" textlink="">
      <xdr:nvSpPr>
        <xdr:cNvPr id="5" name="Uppåtpil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183EF1-2464-4422-AAAD-FF49A62B9018}"/>
            </a:ext>
          </a:extLst>
        </xdr:cNvPr>
        <xdr:cNvSpPr/>
      </xdr:nvSpPr>
      <xdr:spPr>
        <a:xfrm>
          <a:off x="15875" y="7839903"/>
          <a:ext cx="164410" cy="143565"/>
        </a:xfrm>
        <a:prstGeom prst="upArrow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0</xdr:col>
      <xdr:colOff>0</xdr:colOff>
      <xdr:row>58</xdr:row>
      <xdr:rowOff>105603</xdr:rowOff>
    </xdr:from>
    <xdr:to>
      <xdr:col>1</xdr:col>
      <xdr:colOff>2485</xdr:colOff>
      <xdr:row>59</xdr:row>
      <xdr:rowOff>58668</xdr:rowOff>
    </xdr:to>
    <xdr:sp macro="" textlink="">
      <xdr:nvSpPr>
        <xdr:cNvPr id="6" name="Uppåtpil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848581-E69B-419C-8845-581708C5C3B1}"/>
            </a:ext>
          </a:extLst>
        </xdr:cNvPr>
        <xdr:cNvSpPr/>
      </xdr:nvSpPr>
      <xdr:spPr>
        <a:xfrm>
          <a:off x="0" y="12145203"/>
          <a:ext cx="164410" cy="143565"/>
        </a:xfrm>
        <a:prstGeom prst="upArrow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0</xdr:col>
      <xdr:colOff>19050</xdr:colOff>
      <xdr:row>84</xdr:row>
      <xdr:rowOff>48453</xdr:rowOff>
    </xdr:from>
    <xdr:to>
      <xdr:col>1</xdr:col>
      <xdr:colOff>21535</xdr:colOff>
      <xdr:row>85</xdr:row>
      <xdr:rowOff>1518</xdr:rowOff>
    </xdr:to>
    <xdr:sp macro="" textlink="">
      <xdr:nvSpPr>
        <xdr:cNvPr id="7" name="Uppåtpil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3035C2-6410-40B9-B6C9-502142B96624}"/>
            </a:ext>
          </a:extLst>
        </xdr:cNvPr>
        <xdr:cNvSpPr/>
      </xdr:nvSpPr>
      <xdr:spPr>
        <a:xfrm>
          <a:off x="19050" y="17041053"/>
          <a:ext cx="164410" cy="143565"/>
        </a:xfrm>
        <a:prstGeom prst="upArrow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0</xdr:col>
      <xdr:colOff>0</xdr:colOff>
      <xdr:row>103</xdr:row>
      <xdr:rowOff>29403</xdr:rowOff>
    </xdr:from>
    <xdr:to>
      <xdr:col>1</xdr:col>
      <xdr:colOff>2485</xdr:colOff>
      <xdr:row>103</xdr:row>
      <xdr:rowOff>172968</xdr:rowOff>
    </xdr:to>
    <xdr:sp macro="" textlink="">
      <xdr:nvSpPr>
        <xdr:cNvPr id="8" name="Uppåtpil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82A7F8-C4B3-4339-AE08-AC767693D7F1}"/>
            </a:ext>
          </a:extLst>
        </xdr:cNvPr>
        <xdr:cNvSpPr/>
      </xdr:nvSpPr>
      <xdr:spPr>
        <a:xfrm>
          <a:off x="0" y="20641503"/>
          <a:ext cx="164410" cy="143565"/>
        </a:xfrm>
        <a:prstGeom prst="upArrow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44</xdr:col>
      <xdr:colOff>361953</xdr:colOff>
      <xdr:row>1</xdr:row>
      <xdr:rowOff>66674</xdr:rowOff>
    </xdr:from>
    <xdr:to>
      <xdr:col>44</xdr:col>
      <xdr:colOff>694428</xdr:colOff>
      <xdr:row>1</xdr:row>
      <xdr:rowOff>212655</xdr:rowOff>
    </xdr:to>
    <xdr:sp macro="" textlink="">
      <xdr:nvSpPr>
        <xdr:cNvPr id="9" name="Uppåtpi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87BC675-8A00-402D-A8DF-38255DB2857E}"/>
            </a:ext>
          </a:extLst>
        </xdr:cNvPr>
        <xdr:cNvSpPr/>
      </xdr:nvSpPr>
      <xdr:spPr>
        <a:xfrm rot="16200000">
          <a:off x="26106025" y="163927"/>
          <a:ext cx="145981" cy="332475"/>
        </a:xfrm>
        <a:prstGeom prst="upArrow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0</xdr:col>
      <xdr:colOff>15875</xdr:colOff>
      <xdr:row>68</xdr:row>
      <xdr:rowOff>181803</xdr:rowOff>
    </xdr:from>
    <xdr:to>
      <xdr:col>1</xdr:col>
      <xdr:colOff>18360</xdr:colOff>
      <xdr:row>69</xdr:row>
      <xdr:rowOff>134868</xdr:rowOff>
    </xdr:to>
    <xdr:sp macro="" textlink="">
      <xdr:nvSpPr>
        <xdr:cNvPr id="10" name="Uppåtpil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6A8B7B-5E37-4E51-A0E7-0368882FF20E}"/>
            </a:ext>
          </a:extLst>
        </xdr:cNvPr>
        <xdr:cNvSpPr/>
      </xdr:nvSpPr>
      <xdr:spPr>
        <a:xfrm>
          <a:off x="15875" y="14126403"/>
          <a:ext cx="164410" cy="143565"/>
        </a:xfrm>
        <a:prstGeom prst="upArrow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0</xdr:col>
      <xdr:colOff>15875</xdr:colOff>
      <xdr:row>101</xdr:row>
      <xdr:rowOff>181803</xdr:rowOff>
    </xdr:from>
    <xdr:to>
      <xdr:col>1</xdr:col>
      <xdr:colOff>18360</xdr:colOff>
      <xdr:row>102</xdr:row>
      <xdr:rowOff>134868</xdr:rowOff>
    </xdr:to>
    <xdr:sp macro="" textlink="">
      <xdr:nvSpPr>
        <xdr:cNvPr id="11" name="Uppåtpil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CBA796-D531-49A2-80B4-A6C76E2C2DC7}"/>
            </a:ext>
          </a:extLst>
        </xdr:cNvPr>
        <xdr:cNvSpPr/>
      </xdr:nvSpPr>
      <xdr:spPr>
        <a:xfrm>
          <a:off x="15875" y="20412903"/>
          <a:ext cx="164410" cy="143565"/>
        </a:xfrm>
        <a:prstGeom prst="upArrow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 editAs="absolute">
    <xdr:from>
      <xdr:col>1</xdr:col>
      <xdr:colOff>19050</xdr:colOff>
      <xdr:row>1</xdr:row>
      <xdr:rowOff>9525</xdr:rowOff>
    </xdr:from>
    <xdr:to>
      <xdr:col>5</xdr:col>
      <xdr:colOff>561974</xdr:colOff>
      <xdr:row>2</xdr:row>
      <xdr:rowOff>342283</xdr:rowOff>
    </xdr:to>
    <xdr:grpSp>
      <xdr:nvGrpSpPr>
        <xdr:cNvPr id="12" name="Group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4DCC001-7330-4827-A4B6-A06BB3205934}"/>
            </a:ext>
          </a:extLst>
        </xdr:cNvPr>
        <xdr:cNvGrpSpPr/>
      </xdr:nvGrpSpPr>
      <xdr:grpSpPr>
        <a:xfrm>
          <a:off x="175932" y="200025"/>
          <a:ext cx="2884954" cy="624111"/>
          <a:chOff x="190500" y="95250"/>
          <a:chExt cx="2895599" cy="618508"/>
        </a:xfrm>
      </xdr:grpSpPr>
      <xdr:sp macro="" textlink="">
        <xdr:nvSpPr>
          <xdr:cNvPr id="13" name="Rektangel 16">
            <a:extLst>
              <a:ext uri="{FF2B5EF4-FFF2-40B4-BE49-F238E27FC236}">
                <a16:creationId xmlns:a16="http://schemas.microsoft.com/office/drawing/2014/main" id="{10C7761C-47E2-4399-B83E-12D7727D27A2}"/>
              </a:ext>
            </a:extLst>
          </xdr:cNvPr>
          <xdr:cNvSpPr/>
        </xdr:nvSpPr>
        <xdr:spPr>
          <a:xfrm>
            <a:off x="794374" y="95250"/>
            <a:ext cx="2291725" cy="521804"/>
          </a:xfrm>
          <a:prstGeom prst="rect">
            <a:avLst/>
          </a:prstGeom>
          <a:solidFill>
            <a:srgbClr val="006666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sv-SE" sz="2800">
                <a:latin typeface="Microsoft JhengHei UI Light" panose="020B0304030504040204" pitchFamily="34" charset="-120"/>
                <a:ea typeface="Microsoft JhengHei UI Light" panose="020B0304030504040204" pitchFamily="34" charset="-120"/>
              </a:rPr>
              <a:t>Fordonslista</a:t>
            </a:r>
          </a:p>
        </xdr:txBody>
      </xdr:sp>
      <xdr:pic>
        <xdr:nvPicPr>
          <xdr:cNvPr id="14" name="Picture 13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EA7881D-71C5-432F-BEAD-BE93A4A137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00" y="171515"/>
            <a:ext cx="540000" cy="542243"/>
          </a:xfrm>
          <a:prstGeom prst="rect">
            <a:avLst/>
          </a:prstGeom>
        </xdr:spPr>
      </xdr:pic>
    </xdr:grpSp>
    <xdr:clientData/>
  </xdr:twoCellAnchor>
  <xdr:twoCellAnchor>
    <xdr:from>
      <xdr:col>49</xdr:col>
      <xdr:colOff>361950</xdr:colOff>
      <xdr:row>0</xdr:row>
      <xdr:rowOff>19050</xdr:rowOff>
    </xdr:from>
    <xdr:to>
      <xdr:col>50</xdr:col>
      <xdr:colOff>85725</xdr:colOff>
      <xdr:row>1</xdr:row>
      <xdr:rowOff>142875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34FD40E-C224-4DC2-BC7E-B456C49BBFD4}"/>
            </a:ext>
          </a:extLst>
        </xdr:cNvPr>
        <xdr:cNvSpPr txBox="1"/>
      </xdr:nvSpPr>
      <xdr:spPr>
        <a:xfrm>
          <a:off x="31118175" y="19050"/>
          <a:ext cx="11715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000">
              <a:solidFill>
                <a:schemeClr val="bg1">
                  <a:lumMod val="75000"/>
                </a:schemeClr>
              </a:solidFill>
            </a:rPr>
            <a:t>©Intuizio AB 2024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etter\OneDrive%20-%20Intuizio%20AB\1.%20Intuizio\2.%20Planering%20&amp;%20Uppdrag\2.%20Projektuppdrag\M&#229;ngbergs\Kalkyl%20MoS%20aff&#228;r\Kalkyler%20200506\2020-05-06%20Trailer%20dolly%20M&#229;ngberg%20Hbg-Um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ars%20Aspholmer/LAP_PROJEKT/S&#197;calc2009/Scalc0902a/ScalcEx4/arbScSamman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stbil"/>
      <sheetName val="Sammandrag"/>
      <sheetName val="Styr"/>
    </sheetNames>
    <sheetDataSet>
      <sheetData sheetId="0">
        <row r="2">
          <cell r="A2" t="str">
            <v>U modell Trailer &amp; dolly</v>
          </cell>
        </row>
        <row r="21">
          <cell r="K21">
            <v>1.0605942555298777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yr"/>
      <sheetName val="EnstF"/>
      <sheetName val="Std"/>
      <sheetName val="MilTidFast"/>
      <sheetName val="SepFk"/>
      <sheetName val="Blad2"/>
      <sheetName val="Blad3"/>
      <sheetName val="Uppdrag"/>
      <sheetName val="Resultat"/>
      <sheetName val="EkalkBas1"/>
      <sheetName val="EkalkBas2"/>
      <sheetName val="EkalkBas3"/>
      <sheetName val="Jmf"/>
    </sheetNames>
    <sheetDataSet>
      <sheetData sheetId="0"/>
      <sheetData sheetId="1"/>
      <sheetData sheetId="2">
        <row r="18">
          <cell r="N18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B5524B-E1F3-4D78-8775-31FB78048370}" name="Produkter" displayName="Produkter" ref="C6:N12" totalsRowShown="0" headerRowDxfId="12">
  <autoFilter ref="C6:N12" xr:uid="{3D658F55-FDDA-4800-9525-609511BBBC6B}"/>
  <tableColumns count="12">
    <tableColumn id="1" xr3:uid="{BB54EF43-959C-47D8-B746-869F5FA8A0A9}" name="Product" dataDxfId="11"/>
    <tableColumn id="2" xr3:uid="{0EE08A8C-4139-4FCC-938A-7E710CDED13F}" name="Energivärde" dataDxfId="10"/>
    <tableColumn id="3" xr3:uid="{F1A23080-059D-46B8-9016-B3DF843B3F5E}" name="CO2e" dataDxfId="9"/>
    <tableColumn id="4" xr3:uid="{7CD7977B-523A-4378-9E5F-E7043C0BB2F4}" name="Produkt" dataDxfId="8"/>
    <tableColumn id="6" xr3:uid="{0C421782-164B-4978-B21A-E89BD3CA5E93}" name="Andel Fossilfri" dataDxfId="7"/>
    <tableColumn id="5" xr3:uid="{91186034-4C17-4389-8738-3546766A7A51}" name="Växthusreduktion" dataDxfId="6"/>
    <tableColumn id="7" xr3:uid="{55B781A9-3041-420F-8607-CE55F1F9BC0B}" name="CO2; t2w" dataDxfId="5"/>
    <tableColumn id="8" xr3:uid="{1D47E499-BF63-46AE-A0E9-29047B3FE697}" name="CO2; livscykel" dataDxfId="4"/>
    <tableColumn id="9" xr3:uid="{922D192E-BBF1-473D-85DC-AE7E1866FC8F}" name="SO2" dataDxfId="3"/>
    <tableColumn id="10" xr3:uid="{33CD1027-5658-4CD5-A82C-F183A6FA780A}" name="Nox" dataDxfId="2"/>
    <tableColumn id="11" xr3:uid="{6F212D8A-F4FF-4896-9331-63EB7FC2026D}" name="Aromater" dataDxfId="1"/>
    <tableColumn id="12" xr3:uid="{A5843E66-ED8F-47A3-91C8-F89E12C49D78}" name="Partiklar" dataDxfId="0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23BF6D-1D38-46AC-989D-EF14D4A9F025}" name="Table1" displayName="Table1" ref="F10:AL52" totalsRowShown="0" headerRowDxfId="126" headerRowBorderDxfId="125">
  <autoFilter ref="F10:AL52" xr:uid="{E181CA1D-97D2-4AB2-BC5D-0C857994B6F3}"/>
  <tableColumns count="33">
    <tableColumn id="1" xr3:uid="{2D3D38A6-CE43-49B0-B9CC-D684D3FC106A}" name="BilNR"/>
    <tableColumn id="14" xr3:uid="{2FB056D1-0D54-4FA7-8D87-B7FC753B6778}" name="RegNr"/>
    <tableColumn id="15" xr3:uid="{FA77EB54-4156-4870-A99F-9E4A21814E0E}" name="Släp"/>
    <tableColumn id="19" xr3:uid="{FDC13FFD-8CB6-40EB-8976-EA43EEC25227}" name="Kommentar"/>
    <tableColumn id="21" xr3:uid="{54881497-9700-4B06-A1B0-F7E6109B9C60}" name="Lastkapacitet"/>
    <tableColumn id="27" xr3:uid="{32A48DCD-0768-4F71-A155-C07D1CD0CE65}" name="Fast/vid behov" dataDxfId="124"/>
    <tableColumn id="28" xr3:uid="{549725B5-DDDE-4609-A396-472C480FB247}" name="Tim/Vecka" dataDxfId="123"/>
    <tableColumn id="29" xr3:uid="{0471FE10-44C0-40DA-8BC1-EA145C8BCCF9}" name="Mil/Vecka" dataDxfId="122"/>
    <tableColumn id="30" xr3:uid="{06383E5E-3CA5-4056-9AC9-98449EA16EC7}" name="Trafikledning" dataDxfId="121"/>
    <tableColumn id="31" xr3:uid="{104A1859-0690-4772-B968-EEE5401F3B62}" name="Åkerikalkyl" dataDxfId="120"/>
    <tableColumn id="26" xr3:uid="{BB43F8AD-5EC5-4E15-B841-808F2B8B89CB}" name="Priskalkyl" dataDxfId="119"/>
    <tableColumn id="32" xr3:uid="{68753849-EF95-490B-B797-43D5A6EF4413}" name="Idag intäkter" dataDxfId="118"/>
    <tableColumn id="33" xr3:uid="{3653CB34-5085-466C-B32C-69FC70A2ECEE}" name="Sek/Tim" dataDxfId="117">
      <calculatedColumnFormula>+Table1[[#This Row],[Idag intäkter]]/Table1[[#This Row],[Tim/Vecka]]</calculatedColumnFormula>
    </tableColumn>
    <tableColumn id="16" xr3:uid="{D2FE52AC-F3E2-4C86-AB28-6B8A753EF2E2}" name="Tur/Vecka" dataDxfId="116">
      <calculatedColumnFormula>IF(Table1[[#This Row],[Tur/ÅR]]="","",SUM(Table1[[#This Row],[Tur/ÅR]]/52))</calculatedColumnFormula>
    </tableColumn>
    <tableColumn id="17" xr3:uid="{D46530B8-7B0D-4CAC-901A-AD50B4689EEE}" name="Tim/Tur" dataDxfId="115">
      <calculatedColumnFormula>IF(Table1[[#This Row],[Tim/År]]="","",SUM(Table1[[#This Row],[Tim/År]]/Table1[[#This Row],[Tur/ÅR]]))</calculatedColumnFormula>
    </tableColumn>
    <tableColumn id="18" xr3:uid="{C74D38EB-5380-4C33-8695-E43DC3AEF11B}" name="Mil/Tur" dataDxfId="114">
      <calculatedColumnFormula>IF(Table1[[#This Row],[Mil/År]]="","",SUM(Table1[[#This Row],[Mil/År]]/Table1[[#This Row],[Tur/ÅR]]))</calculatedColumnFormula>
    </tableColumn>
    <tableColumn id="2" xr3:uid="{8BFD9AF4-68BC-40AE-B7C1-B0D03F97260D}" name="Kalkylnamn"/>
    <tableColumn id="3" xr3:uid="{6129A9D9-2701-4DC5-8A11-A1EE68492771}" name="Tur/ÅR"/>
    <tableColumn id="4" xr3:uid="{B3EFE3ED-3854-4EC4-9E25-0DFDE3071FBA}" name="Tim/År" dataDxfId="113"/>
    <tableColumn id="5" xr3:uid="{79178069-0902-4287-8DEA-0108930E7288}" name="Mil/År" dataDxfId="112"/>
    <tableColumn id="6" xr3:uid="{192F24F7-9450-482E-A6D6-DBF77720C402}" name="Sek/År" dataDxfId="111"/>
    <tableColumn id="7" xr3:uid="{45D14816-2EC7-44D7-9A9E-BE775012B304}" name="Total SEK/MIL" dataDxfId="110"/>
    <tableColumn id="8" xr3:uid="{2EE336A9-8D36-4EAC-A5AF-6C4090C25892}" name="Total SEK/TIM" dataDxfId="109"/>
    <tableColumn id="9" xr3:uid="{AB4A11BC-30BD-4313-9AF6-C1523EE6EEF1}" name="SEK/TIM2" dataDxfId="108"/>
    <tableColumn id="10" xr3:uid="{5E6498B2-7897-47D4-BA23-5ECF695A0858}" name="SEK/MIL" dataDxfId="107"/>
    <tableColumn id="11" xr3:uid="{7021C256-163D-4F32-BB74-4E07CE30688E}" name="SEK/Tur" dataDxfId="106"/>
    <tableColumn id="12" xr3:uid="{9A24E425-9977-4AFF-B501-552431EC1BAA}" name="Vinst, SEK" dataDxfId="105"/>
    <tableColumn id="13" xr3:uid="{2C469770-D679-489C-B3CD-117E9093273C}" name="Investering, SEK" dataDxfId="104"/>
    <tableColumn id="20" xr3:uid="{DD0FF5CF-76DB-4FC8-9910-453B80166B60}" name="Kalkylval" dataDxfId="103"/>
    <tableColumn id="22" xr3:uid="{1C360AE5-987F-4D4A-B0E4-92E6BDBC0F5D}" name="Sek per vecka" dataDxfId="102">
      <calculatedColumnFormula>IFERROR(SUM(Table1[[#This Row],[SEK/Tur]]*Table1[[#This Row],[Tur/Vecka]]),"")</calculatedColumnFormula>
    </tableColumn>
    <tableColumn id="23" xr3:uid="{C067E5D7-CB06-4A17-BF9F-51D8E6F82C65}" name="Timar per vecka" dataDxfId="101">
      <calculatedColumnFormula>IFERROR(SUM(Table1[[#This Row],[Tur/Vecka]]*Table1[[#This Row],[Tim/Tur]]),"")</calculatedColumnFormula>
    </tableColumn>
    <tableColumn id="24" xr3:uid="{243A5506-77A4-4A12-8DA5-D32A81D1F868}" name="Mil per vecka" dataDxfId="100">
      <calculatedColumnFormula>IFERROR(SUM(Table1[[#This Row],[Tur/Vecka]]*Table1[[#This Row],[Mil/Tur]]),"")</calculatedColumnFormula>
    </tableColumn>
    <tableColumn id="25" xr3:uid="{EE704B6A-0AF6-41B7-9452-5501B1BBC42E}" name="Priskalkyl NR" dataDxfId="99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91DB14-1044-484D-B40B-50D9C9D9D645}" name="Table1456" displayName="Table1456" ref="C19:U39" totalsRowShown="0" headerRowDxfId="98">
  <autoFilter ref="C19:U39" xr:uid="{CF194A43-813C-43D9-A65E-C4D79A2166DA}"/>
  <tableColumns count="19">
    <tableColumn id="1" xr3:uid="{B408DEE8-3152-45A6-A776-4CE23A8CAF5F}" name="Aktivitet"/>
    <tableColumn id="2" xr3:uid="{829F6504-6F48-4E0E-B83B-0C2BDD361DDD}" name="Från"/>
    <tableColumn id="3" xr3:uid="{6E33BB32-1FA5-4C29-9206-19C65CA67B98}" name="Adress" dataDxfId="97"/>
    <tableColumn id="4" xr3:uid="{3B85DD66-9A7B-461D-AF85-CF07EC47F52C}" name="Till"/>
    <tableColumn id="5" xr3:uid="{6484AE2C-BA40-4D77-8313-4CC1EB211805}" name="Avg Tid" dataDxfId="96"/>
    <tableColumn id="6" xr3:uid="{637E4AD8-FCF4-4D5A-ADF0-54FB0F72F5C6}" name="Ank Tid" dataDxfId="95"/>
    <tableColumn id="7" xr3:uid="{868EF263-6F03-4F42-91E4-803C0E530442}" name="Km"/>
    <tableColumn id="17" xr3:uid="{7448F7E0-86F3-4B20-A52C-18FA00A26285}" name="Körtid"/>
    <tableColumn id="19" xr3:uid="{5857CBE9-FC3B-42C1-BDBE-4B77E96BA141}" name="Stopptid" dataDxfId="94"/>
    <tableColumn id="18" xr3:uid="{BEC1C004-DA53-48B4-9E83-15411A29DC57}" name="Sluttid" dataDxfId="93">
      <calculatedColumnFormula>+Table1456[[#This Row],[Ank Tid]]+Table1456[[#This Row],[Stopptid]]</calculatedColumnFormula>
    </tableColumn>
    <tableColumn id="8" xr3:uid="{77B75857-C3AE-44D9-A73B-542FEE0B141D}" name="Lastad"/>
    <tableColumn id="9" xr3:uid="{1BAE300B-DD69-46C6-95EC-A74849F4CD60}" name="Andel lastad" dataDxfId="92"/>
    <tableColumn id="10" xr3:uid="{315BCB63-8849-491F-82CB-A6DD8214AA9B}" name="Kw per km" dataDxfId="91">
      <calculatedColumnFormula>IF(Table1456[[#This Row],[Lastad]]="Ja",$D$12,IF(Table1456[[#This Row],[Lastad]]="Nej",$D$13,0))</calculatedColumnFormula>
    </tableColumn>
    <tableColumn id="14" xr3:uid="{EAA1117F-7659-4ECA-88C2-DCE5EF90C3B6}" name="Förbrukning/ Laddning" dataDxfId="90">
      <calculatedColumnFormula>IF(C20&lt;&gt;"Laddning",O20*I20,$D$10*(-S20*24))</calculatedColumnFormula>
    </tableColumn>
    <tableColumn id="12" xr3:uid="{32F0B27C-F3D2-4CE3-A49C-91C6CCAC7B9F}" name="Batterikapacitet, kvar" dataDxfId="89">
      <calculatedColumnFormula>+D9</calculatedColumnFormula>
    </tableColumn>
    <tableColumn id="16" xr3:uid="{B8B985B3-C437-4A74-8D77-0F83D1B8CE36}" name="SOC_start" dataDxfId="88" dataCellStyle="Percent">
      <calculatedColumnFormula>IFERROR(SUM(Table1456[[#This Row],[Batterikapacitet, kvar]]/$D$9),"")</calculatedColumnFormula>
    </tableColumn>
    <tableColumn id="13" xr3:uid="{0ED3E278-90F6-4104-B8E4-B74752EC9411}" name="Tid" dataDxfId="87">
      <calculatedColumnFormula>+H20-G20</calculatedColumnFormula>
    </tableColumn>
    <tableColumn id="15" xr3:uid="{2B69E3A4-0EBD-4877-8232-69C5DB6914B5}" name="Min" dataDxfId="86">
      <calculatedColumnFormula>+Table1456[[#This Row],[Avg Tid]]*24+Table1456[[#This Row],[Ank Tid]]*24</calculatedColumnFormula>
    </tableColumn>
    <tableColumn id="11" xr3:uid="{A55775AD-FCD7-4811-991B-8F53DC9611D4}" name="Länk" dataDxfId="85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FFFB0E3-FBB2-49EE-AE4D-6BD8E8814955}" name="Table14567" displayName="Table14567" ref="C19:U39" totalsRowShown="0" headerRowDxfId="84">
  <autoFilter ref="C19:U39" xr:uid="{CF194A43-813C-43D9-A65E-C4D79A2166DA}"/>
  <tableColumns count="19">
    <tableColumn id="1" xr3:uid="{E78752B3-3686-48BE-80EA-9CB875661A13}" name="Aktivitet"/>
    <tableColumn id="2" xr3:uid="{724094CF-D9FB-463C-B44B-7656C0F15E47}" name="Från"/>
    <tableColumn id="3" xr3:uid="{3C3FA031-2EB7-417A-9EAA-2E1FC3EE030D}" name="Adress" dataDxfId="83"/>
    <tableColumn id="4" xr3:uid="{5AA451C2-CEF3-4EA9-B664-E9DF7F759B9F}" name="Till"/>
    <tableColumn id="5" xr3:uid="{9CD9F9BE-9059-4EAE-9F58-F8A4E05809CD}" name="Avg Tid" dataDxfId="82"/>
    <tableColumn id="6" xr3:uid="{48EC2E40-2267-491C-ABD9-24D006FACB43}" name="Ank Tid" dataDxfId="81"/>
    <tableColumn id="7" xr3:uid="{9FD5673E-9CA5-40A7-907F-81BAF155AED3}" name="Km"/>
    <tableColumn id="17" xr3:uid="{DB67B965-A52C-4A95-A6D5-D1724F51FEF2}" name="Körtid"/>
    <tableColumn id="19" xr3:uid="{1D1728E7-06F9-40F4-B406-00872160A26A}" name="Stopptid" dataDxfId="80"/>
    <tableColumn id="18" xr3:uid="{6A3FD3F7-CDDD-4277-AA90-BD56F5E0126F}" name="Sluttid" dataDxfId="79">
      <calculatedColumnFormula>+Table14567[[#This Row],[Ank Tid]]+Table14567[[#This Row],[Stopptid]]</calculatedColumnFormula>
    </tableColumn>
    <tableColumn id="8" xr3:uid="{C0C599C0-B7B6-4F20-A049-CE39ABFCF2B6}" name="Lastad"/>
    <tableColumn id="9" xr3:uid="{E21FE664-5038-4EEA-B683-2E6A0EC17F49}" name="Andel lastad" dataDxfId="78"/>
    <tableColumn id="10" xr3:uid="{35772276-CDB7-4B63-ADD4-CBD91E0E0457}" name="Kw per km" dataDxfId="77">
      <calculatedColumnFormula>IF(Table14567[[#This Row],[Lastad]]="Ja",$D$12,IF(Table14567[[#This Row],[Lastad]]="Nej",$D$13,0))</calculatedColumnFormula>
    </tableColumn>
    <tableColumn id="14" xr3:uid="{0D8598BE-2D45-463E-8033-1C86A0DC74B5}" name="Förbrukning/ Laddning" dataDxfId="76">
      <calculatedColumnFormula>IF(C20&lt;&gt;"Laddning",O20*I20,$D$10*(-S20*24))</calculatedColumnFormula>
    </tableColumn>
    <tableColumn id="12" xr3:uid="{10D6F738-8FEF-4244-B00B-577EAD8C96BE}" name="Batterikapacitet, kvar" dataDxfId="75">
      <calculatedColumnFormula>+D9</calculatedColumnFormula>
    </tableColumn>
    <tableColumn id="16" xr3:uid="{BCA81DEC-A60C-4D96-B204-FB95C51A19F1}" name="SOC_start" dataDxfId="74" dataCellStyle="Percent">
      <calculatedColumnFormula>IFERROR(SUM(Table14567[[#This Row],[Batterikapacitet, kvar]]/$D$9),"")</calculatedColumnFormula>
    </tableColumn>
    <tableColumn id="13" xr3:uid="{77927ABA-8ED1-480E-BDC1-B574618516A9}" name="Tid" dataDxfId="73">
      <calculatedColumnFormula>+H20-G20</calculatedColumnFormula>
    </tableColumn>
    <tableColumn id="15" xr3:uid="{84DED077-65AA-4118-B0E2-8582E49C3E54}" name="Min" dataDxfId="72">
      <calculatedColumnFormula>+Table14567[[#This Row],[Avg Tid]]*24+Table14567[[#This Row],[Ank Tid]]*24</calculatedColumnFormula>
    </tableColumn>
    <tableColumn id="11" xr3:uid="{9FDB893B-56F8-4E3B-B43E-20CA90D6F797}" name="Länk" dataDxfId="7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165D86-D895-415F-BD93-BAB708B81946}" name="T_Fordonslista" displayName="T_Fordonslista" ref="B4:AW104" totalsRowShown="0" headerRowDxfId="70" dataDxfId="68" headerRowBorderDxfId="69" tableBorderDxfId="67">
  <autoFilter ref="B4:AW104" xr:uid="{91C980F2-5105-4DDD-9B6E-BA260041AA4B}"/>
  <sortState xmlns:xlrd2="http://schemas.microsoft.com/office/spreadsheetml/2017/richdata2" ref="B5:AW104">
    <sortCondition ref="T4:T104"/>
  </sortState>
  <tableColumns count="48">
    <tableColumn id="1" xr3:uid="{69EE3B9E-F686-468D-9DD0-978FAD43EDFF}" name="Id NR" dataDxfId="66"/>
    <tableColumn id="2" xr3:uid="{C1B12478-C28C-44BC-97BD-1E4747ED8148}" name="Aktiv/ Inaktiv" dataDxfId="65"/>
    <tableColumn id="3" xr3:uid="{EBB3634E-1632-446F-8F5F-4A66EB1EA275}" name="REG_NR" dataDxfId="64"/>
    <tableColumn id="107" xr3:uid="{89A36452-4639-44DF-A2D7-BC2F9DEA6D0F}" name="REG kort" dataDxfId="63">
      <calculatedColumnFormula>LEFT(T_Fordonslista[[#This Row],[REG_NR]],3)</calculatedColumnFormula>
    </tableColumn>
    <tableColumn id="108" xr3:uid="{CB35B585-B23D-4BDB-8914-A9B4A559DCAF}" name="MA_NR" dataDxfId="62"/>
    <tableColumn id="109" xr3:uid="{1F079328-4DBD-494A-ADA5-235A6BB2ED48}" name="Bokf. NR" dataDxfId="61"/>
    <tableColumn id="4" xr3:uid="{D6265E34-1703-44EF-899D-E19D0D226D4A}" name="Ord Släp" dataDxfId="60"/>
    <tableColumn id="21" xr3:uid="{207F230D-7404-4891-B100-FA82933AB2B4}" name="Ordinarie Chaufför" dataDxfId="59"/>
    <tableColumn id="22" xr3:uid="{B352A340-B7A2-4D46-A6C7-7BD73E18972E}" name="Beskrivning 1" dataDxfId="58"/>
    <tableColumn id="26" xr3:uid="{0117F564-E91E-421F-84C4-81C056CF4781}" name="Beskrivning 2" dataDxfId="57"/>
    <tableColumn id="27" xr3:uid="{B91B05D0-E529-4B3A-814B-A6FAB7D0683D}" name="Kalkylval J/N" dataDxfId="56"/>
    <tableColumn id="28" xr3:uid="{CE736023-3DF4-4BEA-B9A1-F470CCF8EBF5}" name="Typfordon" dataDxfId="55"/>
    <tableColumn id="33" xr3:uid="{E378FDAC-5ECB-40AD-B857-0EC88F48BC53}" name="Priskalkyl" dataDxfId="54"/>
    <tableColumn id="29" xr3:uid="{E2383040-865D-442E-8EEC-BC1E5EE23FC0}" name="Kalkyl TID/Vecka" dataDxfId="53"/>
    <tableColumn id="30" xr3:uid="{9629990D-CE8D-40EF-A816-0C2D4FDE6DE6}" name="Kalkyl MIL/Vecka" dataDxfId="52"/>
    <tableColumn id="31" xr3:uid="{0D8A65A1-4771-47A1-A278-CF325A0405EE}" name="Kalkyl_OB1" dataDxfId="51"/>
    <tableColumn id="32" xr3:uid="{5A80A94F-FAB6-441E-B624-23B6DBE4515C}" name="Kalkyl_OB2" dataDxfId="50"/>
    <tableColumn id="111" xr3:uid="{87156F22-5107-4AF2-84A4-4E061895CE34}" name="Körkorts krav" dataDxfId="49"/>
    <tableColumn id="110" xr3:uid="{92F25EDD-A954-4FF0-828F-97DE559A6EB4}" name="Typ" dataDxfId="48"/>
    <tableColumn id="115" xr3:uid="{3EF8455B-F763-4AC9-A495-F57FC9305864}" name="Tillverkn. år" dataDxfId="47"/>
    <tableColumn id="5" xr3:uid="{E5AED9E1-88B0-45CB-8395-1BAB8EAA868C}" name="Column1" dataDxfId="46"/>
    <tableColumn id="116" xr3:uid="{80575B86-290B-4750-A908-180DE7CA8DCA}" name="Euro- klass" dataDxfId="45"/>
    <tableColumn id="14" xr3:uid="{5B181E1A-4F85-458E-B9C4-53FE2B2D7EDE}" name="Tot. vikt" dataDxfId="44"/>
    <tableColumn id="15" xr3:uid="{2E5DF1CE-C166-49D6-9D24-81A7727BD906}" name="Max last" dataDxfId="43"/>
    <tableColumn id="16" xr3:uid="{9AD2996B-F0AA-4659-958B-E96A19DC05CC}" name="Skåp höjd" dataDxfId="42"/>
    <tableColumn id="17" xr3:uid="{DD200B07-6907-4D2F-9662-CB66EF548FF6}" name="Skåp bredd" dataDxfId="41"/>
    <tableColumn id="18" xr3:uid="{3B0C2AB9-B0FC-47BE-AD05-DC668D4CB516}" name="Skåp längd" dataDxfId="40"/>
    <tableColumn id="19" xr3:uid="{4BBAFB4B-D6D7-43CE-BD47-B40F8B2C8A9A}" name="Pallpl" dataDxfId="39"/>
    <tableColumn id="20" xr3:uid="{98014BD1-A2FA-41A6-8D17-2CF481CDDCEA}" name="Övrigt" dataDxfId="38"/>
    <tableColumn id="6" xr3:uid="{F9C57AA4-489B-49C5-9A1F-E57CFF788E56}" name="Beskrivning" dataDxfId="37"/>
    <tableColumn id="112" xr3:uid="{0D35EA19-D64E-4512-BE77-4168C5D30923}" name="Drag" dataDxfId="36"/>
    <tableColumn id="113" xr3:uid="{D8F5A838-1E0A-4822-9EF9-45F4CA8888C7}" name="Antal axlar" dataDxfId="35"/>
    <tableColumn id="7" xr3:uid="{F9EF2015-B261-40AB-BAF2-4C00FDF9FD19}" name="Max last2" dataDxfId="34"/>
    <tableColumn id="114" xr3:uid="{E65AC119-81DA-4FD9-A3D8-CBE2F5325377}" name="Max totalvikt" dataDxfId="33"/>
    <tableColumn id="8" xr3:uid="{ECBCA3DB-12DD-4A44-9A2E-6F90419BF3DA}" name="Kylaggregat - Fabrikat" dataDxfId="32"/>
    <tableColumn id="9" xr3:uid="{DD51EF65-49E8-47CC-B1AD-D6751505E39A}" name="Antal aggregat" dataDxfId="31"/>
    <tableColumn id="119" xr3:uid="{3D976E0A-972A-46B7-AFCF-FAA0A8116E71}" name="Temp skiljare" dataDxfId="30"/>
    <tableColumn id="117" xr3:uid="{8DDBAB08-0DC8-4B61-8DA1-750F6E9E3E0D}" name="Öppn bar sida" dataDxfId="29"/>
    <tableColumn id="118" xr3:uid="{DA8BBC06-476E-4035-8184-7A8D475BD425}" name="Lift" dataDxfId="28"/>
    <tableColumn id="10" xr3:uid="{C03EA32C-10FB-4678-AC90-B3ECF5EA72AB}" name="Balk" dataDxfId="27"/>
    <tableColumn id="11" xr3:uid="{476E4A47-BAEF-41A1-909E-D84720A4B83B}" name="Bur / RC" dataDxfId="26"/>
    <tableColumn id="12" xr3:uid="{7C9DF0BD-55A4-4CCE-8BE7-6D7975D3B8C0}" name="Mjölk bur" dataDxfId="25"/>
    <tableColumn id="13" xr3:uid="{19443572-F709-4FDE-891D-BEFA585FE521}" name="Pall / SLE golvställt" dataDxfId="24"/>
    <tableColumn id="120" xr3:uid="{F1DEE20D-A03F-453D-98B1-DB265BAB1FDD}" name="Pall / SLE Totalt" dataDxfId="23"/>
    <tableColumn id="23" xr3:uid="{EC9015C1-2BEE-447D-A993-A520E1C8ECA4}" name="Information" dataDxfId="22"/>
    <tableColumn id="24" xr3:uid="{4DBE7E3C-61DA-4C8E-998A-C6DC681E0FB6}" name="E-Post3" dataDxfId="21"/>
    <tableColumn id="25" xr3:uid="{83238831-FC3B-45FE-AD3E-0B5E1DFE262D}" name="Tel nr" dataDxfId="20"/>
    <tableColumn id="56" xr3:uid="{C0BE2561-ABA6-4A45-A1CF-177AEEF9A096}" name="Övrig info - fritext" dataDxfId="19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F8CB5CE-758E-45D5-A5C5-53C5A9E685EE}">
  <we:reference id="wa200003136" version="1.0.0.0" store="sv-SE" storeType="OMEX"/>
  <we:alternateReferences>
    <we:reference id="wa200003136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_xldudf_W3W_CONVERTTOCOORD</we:customFunctionIds>
        <we:customFunctionIds>_xldudf_W3W_CONVERTTO3WA</we:customFunctionIds>
        <we:customFunctionIds>_xldudf_W3W_AUTOSUGGEST</we:customFunctionIds>
        <we:customFunctionIds>_xldudf_W3W_AUTOSUGGESTFOCUS</we:customFunctionIds>
        <we:customFunctionIds>_xldudf_W3W_AUTOSUGGESTCOUNTRYCLIP</we:customFunctionIds>
        <we:customFunctionIds>_xldudf_W3W_LANGUAGECHANGE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207.154.197.103/uppslagsverk/fakta/berakningsfaktorer/energiinnehall-densitet-och-koldioxidemission/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petter.hudden@intuizio.s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energifabriken.se/pris/" TargetMode="External"/><Relationship Id="rId1" Type="http://schemas.openxmlformats.org/officeDocument/2006/relationships/hyperlink" Target="https://www.circlek.se/foretag/drivmedel/truckdieselpriser" TargetMode="Externa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../../../../../../../:b:/g/personal/petter_hudden_intuizio_se/EXheWNV-PFhPh0sjYMWmQzIB0zVok6UMh6yaELqo0vZz6Q?e=W0dsfF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hyperlink" Target="https://goo.gl/maps/EhYQBDnjSvbvUgR9A" TargetMode="External"/><Relationship Id="rId7" Type="http://schemas.openxmlformats.org/officeDocument/2006/relationships/hyperlink" Target="https://goo.gl/maps/fswM7NKChDyNmNVS6" TargetMode="External"/><Relationship Id="rId2" Type="http://schemas.openxmlformats.org/officeDocument/2006/relationships/hyperlink" Target="https://goo.gl/maps/ynfvsE35C1VTXakC6" TargetMode="External"/><Relationship Id="rId1" Type="http://schemas.openxmlformats.org/officeDocument/2006/relationships/hyperlink" Target="https://goo.gl/maps/MkZsQcS72qBdsPtN6" TargetMode="External"/><Relationship Id="rId6" Type="http://schemas.openxmlformats.org/officeDocument/2006/relationships/hyperlink" Target="https://goo.gl/maps/65ChgyG7L7dy1qeL9" TargetMode="External"/><Relationship Id="rId5" Type="http://schemas.openxmlformats.org/officeDocument/2006/relationships/hyperlink" Target="https://goo.gl/maps/TrNVkubafMSstMka7" TargetMode="External"/><Relationship Id="rId10" Type="http://schemas.openxmlformats.org/officeDocument/2006/relationships/table" Target="../tables/table3.xml"/><Relationship Id="rId4" Type="http://schemas.openxmlformats.org/officeDocument/2006/relationships/hyperlink" Target="https://goo.gl/maps/uynHHgE8YQkVJJMA8" TargetMode="External"/><Relationship Id="rId9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https://goo.gl/maps/EhYQBDnjSvbvUgR9A" TargetMode="External"/><Relationship Id="rId7" Type="http://schemas.openxmlformats.org/officeDocument/2006/relationships/hyperlink" Target="https://goo.gl/maps/fswM7NKChDyNmNVS6" TargetMode="External"/><Relationship Id="rId2" Type="http://schemas.openxmlformats.org/officeDocument/2006/relationships/hyperlink" Target="https://goo.gl/maps/ynfvsE35C1VTXakC6" TargetMode="External"/><Relationship Id="rId1" Type="http://schemas.openxmlformats.org/officeDocument/2006/relationships/hyperlink" Target="https://goo.gl/maps/MkZsQcS72qBdsPtN6" TargetMode="External"/><Relationship Id="rId6" Type="http://schemas.openxmlformats.org/officeDocument/2006/relationships/hyperlink" Target="https://goo.gl/maps/65ChgyG7L7dy1qeL9" TargetMode="External"/><Relationship Id="rId5" Type="http://schemas.openxmlformats.org/officeDocument/2006/relationships/hyperlink" Target="https://goo.gl/maps/TrNVkubafMSstMka7" TargetMode="External"/><Relationship Id="rId10" Type="http://schemas.openxmlformats.org/officeDocument/2006/relationships/table" Target="../tables/table4.xml"/><Relationship Id="rId4" Type="http://schemas.openxmlformats.org/officeDocument/2006/relationships/hyperlink" Target="https://goo.gl/maps/uynHHgE8YQkVJJMA8" TargetMode="External"/><Relationship Id="rId9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0EB13-B7A7-48B6-9630-19CA2E19C53F}">
  <sheetPr codeName="Sheet7">
    <tabColor theme="0" tint="-0.499984740745262"/>
  </sheetPr>
  <dimension ref="A1:Y45"/>
  <sheetViews>
    <sheetView showGridLines="0" showRowColHeaders="0" tabSelected="1" topLeftCell="F4" workbookViewId="0">
      <selection activeCell="L43" sqref="L43:P43"/>
    </sheetView>
  </sheetViews>
  <sheetFormatPr defaultRowHeight="15" x14ac:dyDescent="0.25"/>
  <cols>
    <col min="3" max="3" width="19.5703125" bestFit="1" customWidth="1"/>
    <col min="4" max="4" width="13.85546875" bestFit="1" customWidth="1"/>
    <col min="5" max="5" width="12.5703125" customWidth="1"/>
    <col min="6" max="6" width="16.28515625" customWidth="1"/>
    <col min="7" max="7" width="10.28515625" bestFit="1" customWidth="1"/>
    <col min="8" max="8" width="11.7109375" customWidth="1"/>
    <col min="12" max="12" width="24.42578125" customWidth="1"/>
    <col min="13" max="16" width="14.42578125" customWidth="1"/>
    <col min="24" max="24" width="12" bestFit="1" customWidth="1"/>
  </cols>
  <sheetData>
    <row r="1" spans="1:25" x14ac:dyDescent="0.25">
      <c r="A1" s="1032"/>
      <c r="B1" s="1032"/>
      <c r="C1" s="1032"/>
      <c r="D1" s="1032"/>
      <c r="E1" s="1032"/>
      <c r="F1" s="1032"/>
      <c r="G1" s="1032"/>
      <c r="H1" s="1032"/>
      <c r="I1" s="1032"/>
      <c r="J1" s="1032"/>
      <c r="K1" s="1032"/>
      <c r="L1" s="1032"/>
      <c r="M1" s="1032"/>
      <c r="N1" s="1032"/>
      <c r="O1" s="1032"/>
      <c r="P1" s="1032"/>
      <c r="Q1" s="1032"/>
    </row>
    <row r="2" spans="1:25" x14ac:dyDescent="0.25">
      <c r="A2" s="1032"/>
      <c r="B2" s="1032"/>
      <c r="C2" s="1032"/>
      <c r="D2" s="1032"/>
      <c r="E2" s="1032"/>
      <c r="F2" s="1032"/>
      <c r="G2" s="1032"/>
      <c r="H2" s="1032"/>
      <c r="I2" s="1032"/>
      <c r="J2" s="1032"/>
      <c r="K2" s="1032"/>
      <c r="L2" s="1032"/>
      <c r="M2" s="1032"/>
      <c r="N2" s="1032"/>
      <c r="O2" s="1032"/>
      <c r="P2" s="1032"/>
      <c r="Q2" s="1032"/>
    </row>
    <row r="3" spans="1:25" x14ac:dyDescent="0.25">
      <c r="A3" s="1032"/>
      <c r="B3" s="1032"/>
      <c r="C3" s="1032"/>
      <c r="D3" s="1032"/>
      <c r="E3" s="1032"/>
      <c r="F3" s="1032"/>
      <c r="G3" s="1032"/>
      <c r="H3" s="1032"/>
      <c r="I3" s="1032"/>
      <c r="J3" s="1032"/>
      <c r="K3" s="1032"/>
      <c r="L3" s="1032"/>
      <c r="M3" s="1032"/>
      <c r="N3" s="1032"/>
      <c r="O3" s="1032"/>
      <c r="P3" s="1032"/>
      <c r="Q3" s="1032"/>
    </row>
    <row r="4" spans="1:25" x14ac:dyDescent="0.25">
      <c r="A4" s="1032"/>
      <c r="B4" s="1032"/>
      <c r="C4" s="1032"/>
      <c r="D4" s="1032"/>
      <c r="E4" s="1032"/>
      <c r="F4" s="1032"/>
      <c r="G4" s="1032"/>
      <c r="H4" s="1032"/>
      <c r="I4" s="1032"/>
      <c r="J4" s="1032"/>
      <c r="K4" s="1032"/>
      <c r="L4" s="1032"/>
      <c r="M4" s="1032"/>
      <c r="N4" s="1032"/>
      <c r="O4" s="1032"/>
      <c r="P4" s="1032"/>
      <c r="Q4" s="1032"/>
    </row>
    <row r="6" spans="1:25" ht="30" x14ac:dyDescent="0.25">
      <c r="B6" s="603"/>
      <c r="C6" s="603" t="s">
        <v>779</v>
      </c>
      <c r="D6" s="603" t="s">
        <v>780</v>
      </c>
      <c r="E6" s="603" t="s">
        <v>781</v>
      </c>
      <c r="F6" s="603" t="s">
        <v>782</v>
      </c>
      <c r="G6" s="603" t="s">
        <v>783</v>
      </c>
      <c r="H6" s="603" t="s">
        <v>784</v>
      </c>
      <c r="I6" s="603" t="s">
        <v>785</v>
      </c>
      <c r="J6" s="603" t="s">
        <v>786</v>
      </c>
      <c r="K6" s="603" t="s">
        <v>787</v>
      </c>
      <c r="L6" s="603" t="s">
        <v>788</v>
      </c>
      <c r="M6" s="603" t="s">
        <v>789</v>
      </c>
      <c r="N6" s="603" t="s">
        <v>790</v>
      </c>
    </row>
    <row r="7" spans="1:25" x14ac:dyDescent="0.25">
      <c r="C7" t="s">
        <v>607</v>
      </c>
      <c r="D7">
        <v>9.4499999999999993</v>
      </c>
      <c r="E7">
        <v>0</v>
      </c>
      <c r="F7" t="s">
        <v>791</v>
      </c>
      <c r="G7" s="1033">
        <v>1</v>
      </c>
      <c r="H7" s="1033">
        <v>0.88</v>
      </c>
      <c r="I7">
        <v>1</v>
      </c>
      <c r="K7">
        <v>0</v>
      </c>
      <c r="L7">
        <v>175</v>
      </c>
      <c r="M7">
        <v>0</v>
      </c>
      <c r="N7">
        <v>2.5</v>
      </c>
      <c r="S7" t="s">
        <v>792</v>
      </c>
      <c r="V7" t="s">
        <v>607</v>
      </c>
      <c r="W7">
        <v>9.4499999999999993</v>
      </c>
      <c r="X7" s="1034">
        <f>+W7/W8</f>
        <v>0.96428571428571419</v>
      </c>
      <c r="Y7" t="s">
        <v>793</v>
      </c>
    </row>
    <row r="8" spans="1:25" x14ac:dyDescent="0.25">
      <c r="C8" t="s">
        <v>763</v>
      </c>
      <c r="D8">
        <v>9.65</v>
      </c>
      <c r="E8">
        <v>0.26600000000000001</v>
      </c>
      <c r="F8" t="s">
        <v>611</v>
      </c>
      <c r="G8" s="1033">
        <v>0</v>
      </c>
      <c r="H8" s="1033">
        <v>0</v>
      </c>
      <c r="I8">
        <v>0.26600000000000001</v>
      </c>
      <c r="J8">
        <v>0.66</v>
      </c>
      <c r="K8">
        <v>72</v>
      </c>
      <c r="L8">
        <v>250</v>
      </c>
      <c r="M8">
        <v>2E-3</v>
      </c>
      <c r="N8">
        <v>5</v>
      </c>
      <c r="V8" t="s">
        <v>794</v>
      </c>
      <c r="W8">
        <f>+P27</f>
        <v>9.8000000000000007</v>
      </c>
      <c r="X8" s="1034"/>
    </row>
    <row r="10" spans="1:25" x14ac:dyDescent="0.25">
      <c r="G10" s="1033"/>
    </row>
    <row r="16" spans="1:25" x14ac:dyDescent="0.25">
      <c r="L16" t="s">
        <v>795</v>
      </c>
    </row>
    <row r="17" spans="3:17" x14ac:dyDescent="0.25">
      <c r="L17" s="617" t="s">
        <v>796</v>
      </c>
    </row>
    <row r="18" spans="3:17" x14ac:dyDescent="0.25">
      <c r="C18" t="s">
        <v>797</v>
      </c>
      <c r="L18" t="s">
        <v>798</v>
      </c>
      <c r="M18" t="s">
        <v>799</v>
      </c>
      <c r="N18" t="s">
        <v>800</v>
      </c>
      <c r="O18" t="s">
        <v>801</v>
      </c>
      <c r="P18" t="s">
        <v>802</v>
      </c>
    </row>
    <row r="19" spans="3:17" x14ac:dyDescent="0.25">
      <c r="C19" t="s">
        <v>803</v>
      </c>
      <c r="L19" t="s">
        <v>804</v>
      </c>
      <c r="M19">
        <v>9100</v>
      </c>
      <c r="N19">
        <v>750</v>
      </c>
      <c r="O19">
        <v>2.36</v>
      </c>
      <c r="P19">
        <v>9.1</v>
      </c>
    </row>
    <row r="20" spans="3:17" x14ac:dyDescent="0.25">
      <c r="L20" t="s">
        <v>805</v>
      </c>
      <c r="M20">
        <v>8940</v>
      </c>
      <c r="N20">
        <v>752</v>
      </c>
      <c r="O20">
        <v>2.2400000000000002</v>
      </c>
      <c r="P20">
        <v>8.94</v>
      </c>
    </row>
    <row r="21" spans="3:17" x14ac:dyDescent="0.25">
      <c r="L21" t="s">
        <v>806</v>
      </c>
      <c r="M21">
        <v>5900</v>
      </c>
      <c r="N21">
        <v>790</v>
      </c>
      <c r="O21">
        <v>0</v>
      </c>
      <c r="P21">
        <v>5.9</v>
      </c>
    </row>
    <row r="22" spans="3:17" x14ac:dyDescent="0.25">
      <c r="L22" t="s">
        <v>807</v>
      </c>
      <c r="M22">
        <v>6300</v>
      </c>
      <c r="N22">
        <v>783</v>
      </c>
      <c r="O22">
        <v>0.35</v>
      </c>
      <c r="P22">
        <v>6.3</v>
      </c>
    </row>
    <row r="23" spans="3:17" x14ac:dyDescent="0.25">
      <c r="L23" t="s">
        <v>808</v>
      </c>
      <c r="M23">
        <v>6650</v>
      </c>
      <c r="N23">
        <v>779</v>
      </c>
      <c r="O23">
        <v>0.59</v>
      </c>
      <c r="P23">
        <v>6.65</v>
      </c>
    </row>
    <row r="24" spans="3:17" x14ac:dyDescent="0.25">
      <c r="L24" t="s">
        <v>809</v>
      </c>
      <c r="M24">
        <v>8450</v>
      </c>
      <c r="N24">
        <v>690</v>
      </c>
      <c r="O24">
        <v>2.12</v>
      </c>
      <c r="P24">
        <v>8.4499999999999993</v>
      </c>
    </row>
    <row r="25" spans="3:17" x14ac:dyDescent="0.25">
      <c r="L25" t="s">
        <v>810</v>
      </c>
      <c r="M25">
        <v>9600</v>
      </c>
      <c r="N25">
        <v>800</v>
      </c>
      <c r="O25">
        <v>2.52</v>
      </c>
      <c r="P25">
        <v>9.6</v>
      </c>
    </row>
    <row r="26" spans="3:17" x14ac:dyDescent="0.25">
      <c r="L26" t="s">
        <v>811</v>
      </c>
      <c r="M26">
        <v>9800</v>
      </c>
      <c r="N26">
        <v>815</v>
      </c>
      <c r="O26">
        <v>2.54</v>
      </c>
      <c r="P26">
        <v>9.8000000000000007</v>
      </c>
    </row>
    <row r="27" spans="3:17" x14ac:dyDescent="0.25">
      <c r="L27" t="s">
        <v>812</v>
      </c>
      <c r="M27">
        <v>9800</v>
      </c>
      <c r="N27">
        <v>815</v>
      </c>
      <c r="O27">
        <v>2.56</v>
      </c>
      <c r="P27">
        <v>9.8000000000000007</v>
      </c>
    </row>
    <row r="28" spans="3:17" x14ac:dyDescent="0.25">
      <c r="L28" t="s">
        <v>813</v>
      </c>
      <c r="M28">
        <v>9950</v>
      </c>
      <c r="N28">
        <v>840</v>
      </c>
      <c r="O28">
        <v>2.66</v>
      </c>
      <c r="P28">
        <v>9.9499999999999993</v>
      </c>
    </row>
    <row r="29" spans="3:17" x14ac:dyDescent="0.25">
      <c r="L29" t="s">
        <v>814</v>
      </c>
      <c r="M29">
        <v>9150</v>
      </c>
      <c r="N29">
        <v>884</v>
      </c>
      <c r="O29">
        <v>0</v>
      </c>
      <c r="P29">
        <v>9.15</v>
      </c>
    </row>
    <row r="30" spans="3:17" x14ac:dyDescent="0.25">
      <c r="L30" s="1035" t="s">
        <v>607</v>
      </c>
      <c r="M30" s="1035">
        <v>9450</v>
      </c>
      <c r="N30" s="1035">
        <v>780</v>
      </c>
      <c r="O30" s="1035">
        <v>0</v>
      </c>
      <c r="P30" s="1035">
        <v>9.4499999999999993</v>
      </c>
      <c r="Q30" s="1035"/>
    </row>
    <row r="31" spans="3:17" x14ac:dyDescent="0.25">
      <c r="L31" t="s">
        <v>815</v>
      </c>
      <c r="M31">
        <v>9770</v>
      </c>
      <c r="N31">
        <v>818</v>
      </c>
      <c r="O31">
        <v>2.41</v>
      </c>
      <c r="P31">
        <v>9.77</v>
      </c>
    </row>
    <row r="32" spans="3:17" x14ac:dyDescent="0.25">
      <c r="L32" t="s">
        <v>816</v>
      </c>
      <c r="M32">
        <v>9770</v>
      </c>
      <c r="N32">
        <v>818</v>
      </c>
      <c r="O32">
        <v>2.41</v>
      </c>
      <c r="P32">
        <v>9.77</v>
      </c>
    </row>
    <row r="33" spans="12:16" x14ac:dyDescent="0.25">
      <c r="L33" t="s">
        <v>817</v>
      </c>
      <c r="M33">
        <v>9910</v>
      </c>
      <c r="N33">
        <v>842</v>
      </c>
      <c r="O33">
        <v>2.5299999999999998</v>
      </c>
      <c r="P33">
        <v>9.91</v>
      </c>
    </row>
    <row r="34" spans="12:16" x14ac:dyDescent="0.25">
      <c r="L34" t="s">
        <v>818</v>
      </c>
      <c r="M34">
        <v>9950</v>
      </c>
      <c r="N34">
        <v>840</v>
      </c>
      <c r="O34">
        <v>2.66</v>
      </c>
      <c r="P34">
        <v>9.9499999999999993</v>
      </c>
    </row>
    <row r="35" spans="12:16" x14ac:dyDescent="0.25">
      <c r="L35" t="s">
        <v>819</v>
      </c>
      <c r="M35">
        <v>10400</v>
      </c>
      <c r="N35">
        <v>880</v>
      </c>
      <c r="O35">
        <v>2.9</v>
      </c>
      <c r="P35">
        <v>10.4</v>
      </c>
    </row>
    <row r="36" spans="12:16" x14ac:dyDescent="0.25">
      <c r="L36" t="s">
        <v>820</v>
      </c>
      <c r="M36">
        <v>10600</v>
      </c>
      <c r="N36">
        <v>900</v>
      </c>
      <c r="O36">
        <v>2.9</v>
      </c>
      <c r="P36">
        <v>10.6</v>
      </c>
    </row>
    <row r="37" spans="12:16" x14ac:dyDescent="0.25">
      <c r="L37" t="s">
        <v>821</v>
      </c>
      <c r="M37">
        <v>10600</v>
      </c>
      <c r="N37">
        <v>920</v>
      </c>
      <c r="O37">
        <v>2.9</v>
      </c>
      <c r="P37">
        <v>10.6</v>
      </c>
    </row>
    <row r="38" spans="12:16" x14ac:dyDescent="0.25">
      <c r="L38" t="s">
        <v>822</v>
      </c>
      <c r="M38">
        <v>10750</v>
      </c>
      <c r="N38">
        <v>930</v>
      </c>
      <c r="O38">
        <v>2.9</v>
      </c>
      <c r="P38">
        <v>10.75</v>
      </c>
    </row>
    <row r="39" spans="12:16" x14ac:dyDescent="0.25">
      <c r="L39" t="s">
        <v>823</v>
      </c>
      <c r="M39">
        <v>11250</v>
      </c>
      <c r="N39">
        <v>980</v>
      </c>
      <c r="O39">
        <v>2.9</v>
      </c>
      <c r="P39">
        <v>11.25</v>
      </c>
    </row>
    <row r="40" spans="12:16" x14ac:dyDescent="0.25">
      <c r="L40" t="s">
        <v>824</v>
      </c>
      <c r="M40" t="s">
        <v>825</v>
      </c>
    </row>
    <row r="41" spans="12:16" x14ac:dyDescent="0.25">
      <c r="L41" t="s">
        <v>826</v>
      </c>
    </row>
    <row r="42" spans="12:16" x14ac:dyDescent="0.25">
      <c r="L42" t="s">
        <v>827</v>
      </c>
      <c r="M42" t="s">
        <v>828</v>
      </c>
    </row>
    <row r="43" spans="12:16" x14ac:dyDescent="0.25">
      <c r="L43" t="s">
        <v>764</v>
      </c>
      <c r="M43" t="s">
        <v>829</v>
      </c>
    </row>
    <row r="44" spans="12:16" x14ac:dyDescent="0.25">
      <c r="L44" t="s">
        <v>830</v>
      </c>
      <c r="M44" t="s">
        <v>831</v>
      </c>
    </row>
    <row r="45" spans="12:16" x14ac:dyDescent="0.25">
      <c r="L45" t="s">
        <v>832</v>
      </c>
      <c r="M45" t="s">
        <v>833</v>
      </c>
    </row>
  </sheetData>
  <mergeCells count="1">
    <mergeCell ref="X7:X8"/>
  </mergeCells>
  <hyperlinks>
    <hyperlink ref="L17" r:id="rId1" xr:uid="{5B2142FA-2FCD-4A77-8F20-1C9C64EE0C88}"/>
  </hyperlink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05684-409D-4721-988B-7D16617256C9}">
  <sheetPr codeName="Sheet4">
    <tabColor rgb="FF006666"/>
  </sheetPr>
  <dimension ref="A1:AM58"/>
  <sheetViews>
    <sheetView showGridLines="0" showRowColHeaders="0" zoomScale="70" zoomScaleNormal="70" workbookViewId="0">
      <selection activeCell="E10" sqref="E10"/>
    </sheetView>
  </sheetViews>
  <sheetFormatPr defaultColWidth="8.7109375" defaultRowHeight="15" x14ac:dyDescent="0.25"/>
  <cols>
    <col min="1" max="2" width="8.7109375" style="523"/>
    <col min="3" max="4" width="4.7109375" style="523" customWidth="1"/>
    <col min="5" max="5" width="59" style="523" customWidth="1"/>
    <col min="6" max="16384" width="8.7109375" style="523"/>
  </cols>
  <sheetData>
    <row r="1" spans="1:39" x14ac:dyDescent="0.25">
      <c r="A1" s="522"/>
      <c r="B1" s="522"/>
      <c r="C1" s="522"/>
      <c r="D1" s="522"/>
      <c r="E1" s="522"/>
      <c r="F1" s="522"/>
      <c r="G1" s="522"/>
      <c r="H1" s="522"/>
      <c r="I1" s="522"/>
      <c r="J1" s="522"/>
      <c r="K1" s="522"/>
      <c r="L1" s="522"/>
      <c r="M1" s="522"/>
      <c r="N1" s="522"/>
      <c r="O1" s="522"/>
      <c r="P1" s="522"/>
      <c r="Q1" s="522"/>
      <c r="R1" s="522"/>
      <c r="S1" s="522"/>
      <c r="T1" s="522"/>
      <c r="U1" s="522"/>
      <c r="V1" s="522"/>
      <c r="W1" s="522"/>
      <c r="X1" s="522"/>
      <c r="Y1" s="522"/>
      <c r="Z1" s="522"/>
      <c r="AA1" s="522"/>
      <c r="AB1" s="522"/>
      <c r="AC1" s="522"/>
      <c r="AD1" s="522"/>
      <c r="AE1" s="522"/>
      <c r="AF1" s="522"/>
      <c r="AG1" s="522"/>
      <c r="AH1" s="522"/>
      <c r="AI1" s="522"/>
      <c r="AJ1" s="522"/>
      <c r="AK1" s="522"/>
      <c r="AL1" s="522"/>
      <c r="AM1" s="522"/>
    </row>
    <row r="2" spans="1:39" x14ac:dyDescent="0.25">
      <c r="A2" s="522"/>
      <c r="B2" s="522"/>
      <c r="C2" s="522"/>
      <c r="D2" s="522"/>
      <c r="E2" s="522"/>
      <c r="F2" s="522"/>
      <c r="G2" s="522"/>
      <c r="H2" s="522"/>
      <c r="I2" s="522"/>
      <c r="J2" s="522"/>
      <c r="K2" s="522"/>
      <c r="L2" s="522"/>
      <c r="M2" s="522"/>
      <c r="N2" s="522"/>
      <c r="O2" s="522"/>
      <c r="P2" s="522"/>
      <c r="Q2" s="522"/>
      <c r="R2" s="522"/>
      <c r="S2" s="522"/>
      <c r="T2" s="522"/>
      <c r="U2" s="522"/>
      <c r="V2" s="522"/>
      <c r="W2" s="522"/>
      <c r="X2" s="522"/>
      <c r="Y2" s="522"/>
      <c r="Z2" s="522"/>
      <c r="AA2" s="522"/>
      <c r="AB2" s="522"/>
      <c r="AC2" s="522"/>
      <c r="AD2" s="522"/>
      <c r="AE2" s="522"/>
      <c r="AF2" s="522"/>
      <c r="AG2" s="522"/>
      <c r="AH2" s="522"/>
      <c r="AI2" s="522"/>
      <c r="AJ2" s="522"/>
      <c r="AK2" s="522"/>
      <c r="AL2" s="522"/>
      <c r="AM2" s="522"/>
    </row>
    <row r="3" spans="1:39" x14ac:dyDescent="0.25">
      <c r="A3" s="522"/>
      <c r="B3" s="522"/>
      <c r="C3" s="522"/>
      <c r="D3" s="522"/>
      <c r="E3" s="522"/>
      <c r="F3" s="522"/>
      <c r="G3" s="522"/>
      <c r="H3" s="522"/>
      <c r="I3" s="522"/>
      <c r="J3" s="522"/>
      <c r="K3" s="522"/>
      <c r="L3" s="522"/>
      <c r="M3" s="522"/>
      <c r="N3" s="522"/>
      <c r="O3" s="522"/>
      <c r="P3" s="522"/>
      <c r="Q3" s="522"/>
      <c r="R3" s="522"/>
      <c r="S3" s="522"/>
      <c r="T3" s="522"/>
      <c r="U3" s="522"/>
      <c r="V3" s="522"/>
      <c r="W3" s="522"/>
      <c r="X3" s="522"/>
      <c r="Y3" s="522"/>
      <c r="Z3" s="522"/>
      <c r="AA3" s="522"/>
      <c r="AB3" s="522"/>
      <c r="AC3" s="522"/>
      <c r="AD3" s="522"/>
      <c r="AE3" s="522"/>
      <c r="AF3" s="522"/>
      <c r="AG3" s="522"/>
      <c r="AH3" s="522"/>
      <c r="AI3" s="522"/>
      <c r="AJ3" s="522"/>
      <c r="AK3" s="522"/>
      <c r="AL3" s="522"/>
      <c r="AM3" s="522"/>
    </row>
    <row r="4" spans="1:39" x14ac:dyDescent="0.25">
      <c r="A4" s="522"/>
      <c r="B4" s="522"/>
      <c r="C4" s="522"/>
      <c r="D4" s="522"/>
      <c r="E4" s="522"/>
      <c r="F4" s="522"/>
      <c r="G4" s="522"/>
      <c r="H4" s="522"/>
      <c r="I4" s="522"/>
      <c r="J4" s="522"/>
      <c r="K4" s="522"/>
      <c r="L4" s="522"/>
      <c r="M4" s="522"/>
      <c r="N4" s="522"/>
      <c r="O4" s="522"/>
      <c r="P4" s="522"/>
      <c r="Q4" s="522"/>
      <c r="R4" s="522"/>
      <c r="S4" s="522"/>
      <c r="T4" s="522"/>
      <c r="U4" s="522"/>
      <c r="V4" s="522"/>
      <c r="W4" s="522"/>
      <c r="X4" s="522"/>
      <c r="Y4" s="522"/>
      <c r="Z4" s="522"/>
      <c r="AA4" s="522"/>
      <c r="AB4" s="522"/>
      <c r="AC4" s="522"/>
      <c r="AD4" s="522"/>
      <c r="AE4" s="522"/>
      <c r="AF4" s="522"/>
      <c r="AG4" s="522"/>
      <c r="AH4" s="522"/>
      <c r="AI4" s="522"/>
      <c r="AJ4" s="522"/>
      <c r="AK4" s="522"/>
      <c r="AL4" s="522"/>
      <c r="AM4" s="522"/>
    </row>
    <row r="5" spans="1:39" ht="23.25" x14ac:dyDescent="0.35">
      <c r="A5" s="522"/>
      <c r="B5" s="522"/>
      <c r="C5" s="522"/>
      <c r="D5" s="522"/>
      <c r="E5" s="532" t="s">
        <v>277</v>
      </c>
      <c r="F5" s="522"/>
      <c r="G5" s="522"/>
      <c r="H5" s="522"/>
      <c r="I5" s="522"/>
      <c r="J5" s="522"/>
      <c r="K5" s="522"/>
      <c r="L5" s="522"/>
      <c r="M5" s="522"/>
      <c r="N5" s="522"/>
      <c r="O5" s="522"/>
      <c r="P5" s="522"/>
      <c r="Q5" s="522"/>
      <c r="R5" s="522"/>
      <c r="S5" s="522"/>
      <c r="T5" s="522"/>
      <c r="U5" s="522"/>
      <c r="V5" s="522"/>
      <c r="W5" s="522"/>
      <c r="X5" s="522"/>
      <c r="Y5" s="522"/>
      <c r="Z5" s="522"/>
      <c r="AA5" s="522"/>
      <c r="AB5" s="522"/>
      <c r="AC5" s="522"/>
      <c r="AD5" s="522"/>
      <c r="AE5" s="522"/>
      <c r="AF5" s="522"/>
      <c r="AG5" s="522"/>
      <c r="AH5" s="522"/>
      <c r="AI5" s="522"/>
      <c r="AJ5" s="522"/>
      <c r="AK5" s="522"/>
      <c r="AL5" s="522"/>
      <c r="AM5" s="522"/>
    </row>
    <row r="6" spans="1:39" ht="21" x14ac:dyDescent="0.35">
      <c r="A6" s="522"/>
      <c r="B6" s="522"/>
      <c r="C6" s="522"/>
      <c r="D6" s="522"/>
      <c r="E6" s="524"/>
      <c r="F6" s="522"/>
      <c r="G6" s="522"/>
      <c r="H6" s="522"/>
      <c r="I6" s="522"/>
      <c r="J6" s="522"/>
      <c r="K6" s="522"/>
      <c r="L6" s="522"/>
      <c r="M6" s="522"/>
      <c r="N6" s="522"/>
      <c r="O6" s="522"/>
      <c r="P6" s="522"/>
      <c r="Q6" s="522"/>
      <c r="R6" s="522"/>
      <c r="S6" s="522"/>
      <c r="T6" s="522"/>
      <c r="U6" s="522"/>
      <c r="V6" s="522"/>
      <c r="W6" s="522"/>
      <c r="X6" s="522"/>
      <c r="Y6" s="522"/>
      <c r="Z6" s="522"/>
      <c r="AA6" s="522"/>
      <c r="AB6" s="522"/>
      <c r="AC6" s="522"/>
      <c r="AD6" s="522"/>
      <c r="AE6" s="522"/>
      <c r="AF6" s="522"/>
      <c r="AG6" s="522"/>
      <c r="AH6" s="522"/>
      <c r="AI6" s="522"/>
      <c r="AJ6" s="522"/>
      <c r="AK6" s="522"/>
      <c r="AL6" s="522"/>
      <c r="AM6" s="522"/>
    </row>
    <row r="7" spans="1:39" x14ac:dyDescent="0.25">
      <c r="A7" s="522"/>
      <c r="B7" s="522"/>
      <c r="C7" s="522"/>
      <c r="D7" s="522"/>
      <c r="E7" s="522"/>
      <c r="F7" s="522"/>
      <c r="G7" s="522"/>
      <c r="H7" s="522"/>
      <c r="I7" s="522"/>
      <c r="J7" s="522"/>
      <c r="K7" s="522"/>
      <c r="L7" s="522"/>
      <c r="M7" s="522"/>
      <c r="N7" s="522"/>
      <c r="O7" s="522"/>
      <c r="P7" s="522"/>
      <c r="Q7" s="522"/>
      <c r="R7" s="522"/>
      <c r="S7" s="522"/>
      <c r="T7" s="522"/>
      <c r="U7" s="522"/>
      <c r="V7" s="522"/>
      <c r="W7" s="522"/>
      <c r="X7" s="522"/>
      <c r="Y7" s="522"/>
      <c r="Z7" s="522"/>
      <c r="AA7" s="522"/>
      <c r="AB7" s="522"/>
      <c r="AC7" s="522"/>
      <c r="AD7" s="522"/>
      <c r="AE7" s="522"/>
      <c r="AF7" s="522"/>
      <c r="AG7" s="522"/>
      <c r="AH7" s="522"/>
      <c r="AI7" s="522"/>
      <c r="AJ7" s="522"/>
      <c r="AK7" s="522"/>
      <c r="AL7" s="522"/>
      <c r="AM7" s="522"/>
    </row>
    <row r="8" spans="1:39" x14ac:dyDescent="0.25">
      <c r="A8" s="522"/>
      <c r="B8" s="522"/>
      <c r="C8" s="522"/>
      <c r="D8" s="522"/>
      <c r="E8" s="522"/>
      <c r="F8" s="522"/>
      <c r="G8" s="522"/>
      <c r="H8" s="522"/>
      <c r="I8" s="522"/>
      <c r="J8" s="522"/>
      <c r="K8" s="522"/>
      <c r="L8" s="522"/>
      <c r="M8" s="522"/>
      <c r="N8" s="522"/>
      <c r="O8" s="522"/>
      <c r="P8" s="522"/>
      <c r="Q8" s="522"/>
      <c r="R8" s="522"/>
      <c r="S8" s="522"/>
      <c r="T8" s="522"/>
      <c r="U8" s="522"/>
      <c r="V8" s="522"/>
      <c r="W8" s="522"/>
      <c r="X8" s="522"/>
      <c r="Y8" s="522"/>
      <c r="Z8" s="522"/>
      <c r="AA8" s="522"/>
      <c r="AB8" s="522"/>
      <c r="AC8" s="522"/>
      <c r="AD8" s="522"/>
      <c r="AE8" s="522"/>
      <c r="AF8" s="522"/>
      <c r="AG8" s="522"/>
      <c r="AH8" s="522"/>
      <c r="AI8" s="522"/>
      <c r="AJ8" s="522"/>
      <c r="AK8" s="522"/>
      <c r="AL8" s="522"/>
      <c r="AM8" s="522"/>
    </row>
    <row r="9" spans="1:39" x14ac:dyDescent="0.25">
      <c r="A9" s="522"/>
      <c r="B9" s="522"/>
      <c r="C9" s="522"/>
      <c r="D9" s="522"/>
      <c r="E9" s="525"/>
      <c r="F9" s="522"/>
      <c r="G9" s="522"/>
      <c r="H9" s="522"/>
      <c r="I9" s="522"/>
      <c r="J9" s="522"/>
      <c r="K9" s="522"/>
      <c r="L9" s="522"/>
      <c r="M9" s="522"/>
      <c r="N9" s="522"/>
      <c r="O9" s="522"/>
      <c r="P9" s="522"/>
      <c r="Q9" s="522"/>
      <c r="R9" s="522"/>
      <c r="S9" s="522"/>
      <c r="T9" s="522"/>
      <c r="U9" s="522"/>
      <c r="V9" s="522"/>
      <c r="W9" s="522"/>
      <c r="X9" s="522"/>
      <c r="Y9" s="522"/>
      <c r="Z9" s="522"/>
      <c r="AA9" s="522"/>
      <c r="AB9" s="522"/>
      <c r="AC9" s="522"/>
      <c r="AD9" s="522"/>
      <c r="AE9" s="522"/>
      <c r="AF9" s="522"/>
      <c r="AG9" s="522"/>
      <c r="AH9" s="522"/>
      <c r="AI9" s="522"/>
      <c r="AJ9" s="522"/>
      <c r="AK9" s="522"/>
      <c r="AL9" s="522"/>
      <c r="AM9" s="522"/>
    </row>
    <row r="10" spans="1:39" ht="23.25" x14ac:dyDescent="0.35">
      <c r="A10" s="522"/>
      <c r="B10" s="522"/>
      <c r="C10" s="522"/>
      <c r="D10" s="522"/>
      <c r="E10" s="526" t="s">
        <v>268</v>
      </c>
      <c r="F10" s="522"/>
      <c r="G10" s="522"/>
      <c r="H10" s="522"/>
      <c r="I10" s="522"/>
      <c r="J10" s="522"/>
      <c r="K10" s="522"/>
      <c r="L10" s="522"/>
      <c r="M10" s="522"/>
      <c r="N10" s="522"/>
      <c r="O10" s="522"/>
      <c r="P10" s="522"/>
      <c r="Q10" s="522"/>
      <c r="R10" s="522"/>
      <c r="S10" s="522"/>
      <c r="T10" s="522"/>
      <c r="U10" s="522"/>
      <c r="V10" s="522"/>
      <c r="W10" s="522"/>
      <c r="X10" s="522"/>
      <c r="Y10" s="522"/>
      <c r="Z10" s="522"/>
      <c r="AA10" s="522"/>
      <c r="AB10" s="522"/>
      <c r="AC10" s="522"/>
      <c r="AD10" s="522"/>
      <c r="AE10" s="522"/>
      <c r="AF10" s="522"/>
      <c r="AG10" s="522"/>
      <c r="AH10" s="522"/>
      <c r="AI10" s="522"/>
      <c r="AJ10" s="522"/>
      <c r="AK10" s="522"/>
      <c r="AL10" s="522"/>
      <c r="AM10" s="522"/>
    </row>
    <row r="11" spans="1:39" ht="12.6" customHeight="1" x14ac:dyDescent="0.35">
      <c r="A11" s="522"/>
      <c r="B11" s="522"/>
      <c r="C11" s="522"/>
      <c r="D11" s="522"/>
      <c r="E11" s="527"/>
      <c r="F11" s="522"/>
      <c r="G11" s="522"/>
      <c r="H11" s="522"/>
      <c r="I11" s="522"/>
      <c r="J11" s="522"/>
      <c r="K11" s="522"/>
      <c r="L11" s="522"/>
      <c r="M11" s="522"/>
      <c r="N11" s="522"/>
      <c r="O11" s="522"/>
      <c r="P11" s="522"/>
      <c r="Q11" s="522"/>
      <c r="R11" s="522"/>
      <c r="S11" s="522"/>
      <c r="T11" s="522"/>
      <c r="U11" s="522"/>
      <c r="V11" s="522"/>
      <c r="W11" s="522"/>
      <c r="X11" s="522"/>
      <c r="Y11" s="522"/>
      <c r="Z11" s="522"/>
      <c r="AA11" s="522"/>
      <c r="AB11" s="522"/>
      <c r="AC11" s="522"/>
      <c r="AD11" s="522"/>
      <c r="AE11" s="522"/>
      <c r="AF11" s="522"/>
      <c r="AG11" s="522"/>
      <c r="AH11" s="522"/>
      <c r="AI11" s="522"/>
      <c r="AJ11" s="522"/>
      <c r="AK11" s="522"/>
      <c r="AL11" s="522"/>
      <c r="AM11" s="522"/>
    </row>
    <row r="12" spans="1:39" ht="40.5" customHeight="1" x14ac:dyDescent="0.25">
      <c r="A12" s="522"/>
      <c r="B12" s="522"/>
      <c r="C12" s="522"/>
      <c r="D12" s="522"/>
      <c r="E12" s="934" t="s">
        <v>269</v>
      </c>
      <c r="F12" s="522"/>
      <c r="G12" s="522"/>
      <c r="H12" s="522"/>
      <c r="I12" s="522"/>
      <c r="J12" s="522"/>
      <c r="K12" s="522"/>
      <c r="L12" s="522"/>
      <c r="M12" s="522"/>
      <c r="N12" s="522"/>
      <c r="O12" s="522"/>
      <c r="P12" s="522"/>
      <c r="Q12" s="522"/>
      <c r="R12" s="522"/>
      <c r="S12" s="522"/>
      <c r="T12" s="522"/>
      <c r="U12" s="522"/>
      <c r="V12" s="522"/>
      <c r="W12" s="522"/>
      <c r="X12" s="522"/>
      <c r="Y12" s="522"/>
      <c r="Z12" s="522"/>
      <c r="AA12" s="522"/>
      <c r="AB12" s="522"/>
      <c r="AC12" s="522"/>
      <c r="AD12" s="522"/>
      <c r="AE12" s="522"/>
      <c r="AF12" s="522"/>
      <c r="AG12" s="522"/>
      <c r="AH12" s="522"/>
      <c r="AI12" s="522"/>
      <c r="AJ12" s="522"/>
      <c r="AK12" s="522"/>
      <c r="AL12" s="522"/>
      <c r="AM12" s="522"/>
    </row>
    <row r="13" spans="1:39" ht="12.6" customHeight="1" x14ac:dyDescent="0.25">
      <c r="A13" s="522"/>
      <c r="B13" s="522"/>
      <c r="C13" s="522"/>
      <c r="D13" s="522"/>
      <c r="E13" s="529"/>
      <c r="F13" s="522"/>
      <c r="G13" s="522"/>
      <c r="H13" s="522"/>
      <c r="I13" s="522"/>
      <c r="J13" s="522"/>
      <c r="K13" s="522"/>
      <c r="L13" s="522"/>
      <c r="M13" s="522"/>
      <c r="N13" s="522"/>
      <c r="O13" s="522"/>
      <c r="P13" s="522"/>
      <c r="Q13" s="522"/>
      <c r="R13" s="522"/>
      <c r="S13" s="522"/>
      <c r="T13" s="522"/>
      <c r="U13" s="522"/>
      <c r="V13" s="522"/>
      <c r="W13" s="522"/>
      <c r="X13" s="522"/>
      <c r="Y13" s="522"/>
      <c r="Z13" s="522"/>
      <c r="AA13" s="522"/>
      <c r="AB13" s="522"/>
      <c r="AC13" s="522"/>
      <c r="AD13" s="522"/>
      <c r="AE13" s="522"/>
      <c r="AF13" s="522"/>
      <c r="AG13" s="522"/>
      <c r="AH13" s="522"/>
      <c r="AI13" s="522"/>
      <c r="AJ13" s="522"/>
      <c r="AK13" s="522"/>
      <c r="AL13" s="522"/>
      <c r="AM13" s="522"/>
    </row>
    <row r="14" spans="1:39" ht="40.5" customHeight="1" x14ac:dyDescent="0.25">
      <c r="A14" s="522"/>
      <c r="B14" s="522"/>
      <c r="C14" s="522"/>
      <c r="D14" s="522"/>
      <c r="E14" s="935" t="s">
        <v>317</v>
      </c>
      <c r="F14" s="522"/>
      <c r="G14" s="522"/>
      <c r="H14" s="522"/>
      <c r="I14" s="522"/>
      <c r="J14" s="522"/>
      <c r="K14" s="522"/>
      <c r="L14" s="522"/>
      <c r="M14" s="522"/>
      <c r="N14" s="522"/>
      <c r="O14" s="522"/>
      <c r="P14" s="522"/>
      <c r="Q14" s="522"/>
      <c r="R14" s="522"/>
      <c r="S14" s="522"/>
      <c r="T14" s="522"/>
      <c r="U14" s="522"/>
      <c r="V14" s="522"/>
      <c r="W14" s="522"/>
      <c r="X14" s="522"/>
      <c r="Y14" s="522"/>
      <c r="Z14" s="522"/>
      <c r="AA14" s="522"/>
      <c r="AB14" s="522"/>
      <c r="AC14" s="522"/>
      <c r="AD14" s="522"/>
      <c r="AE14" s="522"/>
      <c r="AF14" s="522"/>
      <c r="AG14" s="522"/>
      <c r="AH14" s="522"/>
      <c r="AI14" s="522"/>
      <c r="AJ14" s="522"/>
      <c r="AK14" s="522"/>
      <c r="AL14" s="522"/>
      <c r="AM14" s="522"/>
    </row>
    <row r="15" spans="1:39" ht="12.6" customHeight="1" x14ac:dyDescent="0.25">
      <c r="A15" s="522"/>
      <c r="B15" s="522"/>
      <c r="C15" s="522"/>
      <c r="D15" s="522"/>
      <c r="E15" s="529"/>
      <c r="F15" s="522"/>
      <c r="G15" s="522"/>
      <c r="H15" s="522"/>
      <c r="I15" s="522"/>
      <c r="J15" s="522"/>
      <c r="K15" s="522"/>
      <c r="L15" s="522"/>
      <c r="M15" s="522"/>
      <c r="N15" s="522"/>
      <c r="O15" s="522"/>
      <c r="P15" s="522"/>
      <c r="Q15" s="522"/>
      <c r="R15" s="522"/>
      <c r="S15" s="522"/>
      <c r="T15" s="522"/>
      <c r="U15" s="522"/>
      <c r="V15" s="522"/>
      <c r="W15" s="522"/>
      <c r="X15" s="522"/>
      <c r="Y15" s="522"/>
      <c r="Z15" s="522"/>
      <c r="AA15" s="522"/>
      <c r="AB15" s="522"/>
      <c r="AC15" s="522"/>
      <c r="AD15" s="522"/>
      <c r="AE15" s="522"/>
      <c r="AF15" s="522"/>
      <c r="AG15" s="522"/>
      <c r="AH15" s="522"/>
      <c r="AI15" s="522"/>
      <c r="AJ15" s="522"/>
      <c r="AK15" s="522"/>
      <c r="AL15" s="522"/>
      <c r="AM15" s="522"/>
    </row>
    <row r="16" spans="1:39" ht="40.5" customHeight="1" x14ac:dyDescent="0.25">
      <c r="A16" s="522"/>
      <c r="B16" s="522"/>
      <c r="C16" s="522"/>
      <c r="D16" s="522"/>
      <c r="E16" s="935" t="s">
        <v>318</v>
      </c>
      <c r="F16" s="522"/>
      <c r="G16" s="522"/>
      <c r="H16" s="522"/>
      <c r="I16" s="522"/>
      <c r="J16" s="522"/>
      <c r="K16" s="522"/>
      <c r="L16" s="522"/>
      <c r="M16" s="522"/>
      <c r="N16" s="522"/>
      <c r="O16" s="522"/>
      <c r="P16" s="522"/>
      <c r="Q16" s="522"/>
      <c r="R16" s="522"/>
      <c r="S16" s="522"/>
      <c r="T16" s="522"/>
      <c r="U16" s="522"/>
      <c r="V16" s="522"/>
      <c r="W16" s="522"/>
      <c r="X16" s="522"/>
      <c r="Y16" s="522"/>
      <c r="Z16" s="522"/>
      <c r="AA16" s="522"/>
      <c r="AB16" s="522"/>
      <c r="AC16" s="522"/>
      <c r="AD16" s="522"/>
      <c r="AE16" s="522"/>
      <c r="AF16" s="522"/>
      <c r="AG16" s="522"/>
      <c r="AH16" s="522"/>
      <c r="AI16" s="522"/>
      <c r="AJ16" s="522"/>
      <c r="AK16" s="522"/>
      <c r="AL16" s="522"/>
      <c r="AM16" s="522"/>
    </row>
    <row r="17" spans="1:39" ht="12.6" customHeight="1" x14ac:dyDescent="0.25">
      <c r="A17" s="522"/>
      <c r="B17" s="522"/>
      <c r="C17" s="522"/>
      <c r="D17" s="522"/>
      <c r="E17" s="529"/>
      <c r="F17" s="522"/>
      <c r="G17" s="522"/>
      <c r="H17" s="522"/>
      <c r="I17" s="522"/>
      <c r="J17" s="522"/>
      <c r="K17" s="522"/>
      <c r="L17" s="522"/>
      <c r="M17" s="522"/>
      <c r="N17" s="522"/>
      <c r="O17" s="522"/>
      <c r="P17" s="522"/>
      <c r="Q17" s="522"/>
      <c r="R17" s="522"/>
      <c r="S17" s="522"/>
      <c r="T17" s="522"/>
      <c r="U17" s="522"/>
      <c r="V17" s="522"/>
      <c r="W17" s="522"/>
      <c r="X17" s="522"/>
      <c r="Y17" s="522"/>
      <c r="Z17" s="522"/>
      <c r="AA17" s="522"/>
      <c r="AB17" s="522"/>
      <c r="AC17" s="522"/>
      <c r="AD17" s="522"/>
      <c r="AE17" s="522"/>
      <c r="AF17" s="522"/>
      <c r="AG17" s="522"/>
      <c r="AH17" s="522"/>
      <c r="AI17" s="522"/>
      <c r="AJ17" s="522"/>
      <c r="AK17" s="522"/>
      <c r="AL17" s="522"/>
      <c r="AM17" s="522"/>
    </row>
    <row r="18" spans="1:39" ht="40.5" customHeight="1" x14ac:dyDescent="0.25">
      <c r="A18" s="522"/>
      <c r="B18" s="522"/>
      <c r="C18" s="522"/>
      <c r="D18" s="522"/>
      <c r="E18" s="935" t="s">
        <v>319</v>
      </c>
      <c r="F18" s="522"/>
      <c r="G18" s="522"/>
      <c r="H18" s="522"/>
      <c r="I18" s="522"/>
      <c r="J18" s="522"/>
      <c r="K18" s="522"/>
      <c r="L18" s="522"/>
      <c r="M18" s="522"/>
      <c r="N18" s="522"/>
      <c r="O18" s="522"/>
      <c r="P18" s="522"/>
      <c r="Q18" s="522"/>
      <c r="R18" s="522"/>
      <c r="S18" s="522"/>
      <c r="T18" s="522"/>
      <c r="U18" s="522"/>
      <c r="V18" s="522"/>
      <c r="W18" s="522"/>
      <c r="X18" s="522"/>
      <c r="Y18" s="522"/>
      <c r="Z18" s="522"/>
      <c r="AA18" s="522"/>
      <c r="AB18" s="522"/>
      <c r="AC18" s="522"/>
      <c r="AD18" s="522"/>
      <c r="AE18" s="522"/>
      <c r="AF18" s="522"/>
      <c r="AG18" s="522"/>
      <c r="AH18" s="522"/>
      <c r="AI18" s="522"/>
      <c r="AJ18" s="522"/>
      <c r="AK18" s="522"/>
      <c r="AL18" s="522"/>
      <c r="AM18" s="522"/>
    </row>
    <row r="19" spans="1:39" ht="12.6" customHeight="1" x14ac:dyDescent="0.25">
      <c r="A19" s="522"/>
      <c r="B19" s="522"/>
      <c r="C19" s="522"/>
      <c r="D19" s="522"/>
      <c r="E19" s="529"/>
      <c r="F19" s="522"/>
      <c r="G19" s="522"/>
      <c r="H19" s="522"/>
      <c r="I19" s="522"/>
      <c r="J19" s="522"/>
      <c r="K19" s="522"/>
      <c r="L19" s="522"/>
      <c r="M19" s="522"/>
      <c r="N19" s="522"/>
      <c r="O19" s="522"/>
      <c r="P19" s="522"/>
      <c r="Q19" s="522"/>
      <c r="R19" s="522"/>
      <c r="S19" s="522"/>
      <c r="T19" s="522"/>
      <c r="U19" s="522"/>
      <c r="V19" s="522"/>
      <c r="W19" s="522"/>
      <c r="X19" s="522"/>
      <c r="Y19" s="522"/>
      <c r="Z19" s="522"/>
      <c r="AA19" s="522"/>
      <c r="AB19" s="522"/>
      <c r="AC19" s="522"/>
      <c r="AD19" s="522"/>
      <c r="AE19" s="522"/>
      <c r="AF19" s="522"/>
      <c r="AG19" s="522"/>
      <c r="AH19" s="522"/>
      <c r="AI19" s="522"/>
      <c r="AJ19" s="522"/>
      <c r="AK19" s="522"/>
      <c r="AL19" s="522"/>
      <c r="AM19" s="522"/>
    </row>
    <row r="20" spans="1:39" ht="40.5" customHeight="1" x14ac:dyDescent="0.25">
      <c r="A20" s="522"/>
      <c r="B20" s="522"/>
      <c r="C20" s="522"/>
      <c r="D20" s="522"/>
      <c r="E20" s="935" t="s">
        <v>320</v>
      </c>
      <c r="F20" s="522"/>
      <c r="G20" s="522"/>
      <c r="H20" s="522"/>
      <c r="I20" s="522"/>
      <c r="J20" s="522"/>
      <c r="K20" s="522"/>
      <c r="L20" s="522"/>
      <c r="M20" s="522"/>
      <c r="N20" s="522"/>
      <c r="O20" s="522"/>
      <c r="P20" s="522"/>
      <c r="Q20" s="522"/>
      <c r="R20" s="522"/>
      <c r="S20" s="522"/>
      <c r="T20" s="522"/>
      <c r="U20" s="522"/>
      <c r="V20" s="522"/>
      <c r="W20" s="522"/>
      <c r="X20" s="522"/>
      <c r="Y20" s="522"/>
      <c r="Z20" s="522"/>
      <c r="AA20" s="522"/>
      <c r="AB20" s="522"/>
      <c r="AC20" s="522"/>
      <c r="AD20" s="522"/>
      <c r="AE20" s="522"/>
      <c r="AF20" s="522"/>
      <c r="AG20" s="522"/>
      <c r="AH20" s="522"/>
      <c r="AI20" s="522"/>
      <c r="AJ20" s="522"/>
      <c r="AK20" s="522"/>
      <c r="AL20" s="522"/>
      <c r="AM20" s="522"/>
    </row>
    <row r="21" spans="1:39" ht="12.6" customHeight="1" x14ac:dyDescent="0.25">
      <c r="A21" s="522"/>
      <c r="B21" s="522"/>
      <c r="C21" s="522"/>
      <c r="D21" s="522"/>
      <c r="E21" s="529"/>
      <c r="F21" s="522"/>
      <c r="G21" s="522"/>
      <c r="H21" s="522"/>
      <c r="I21" s="522"/>
      <c r="J21" s="522"/>
      <c r="K21" s="522"/>
      <c r="L21" s="522"/>
      <c r="M21" s="522"/>
      <c r="N21" s="522"/>
      <c r="O21" s="522"/>
      <c r="P21" s="522"/>
      <c r="Q21" s="522"/>
      <c r="R21" s="522"/>
      <c r="S21" s="522"/>
      <c r="T21" s="522"/>
      <c r="U21" s="522"/>
      <c r="V21" s="522"/>
      <c r="W21" s="522"/>
      <c r="X21" s="522"/>
      <c r="Y21" s="522"/>
      <c r="Z21" s="522"/>
      <c r="AA21" s="522"/>
      <c r="AB21" s="522"/>
      <c r="AC21" s="522"/>
      <c r="AD21" s="522"/>
      <c r="AE21" s="522"/>
      <c r="AF21" s="522"/>
      <c r="AG21" s="522"/>
      <c r="AH21" s="522"/>
      <c r="AI21" s="522"/>
      <c r="AJ21" s="522"/>
      <c r="AK21" s="522"/>
      <c r="AL21" s="522"/>
      <c r="AM21" s="522"/>
    </row>
    <row r="22" spans="1:39" ht="40.5" customHeight="1" x14ac:dyDescent="0.25">
      <c r="A22" s="522"/>
      <c r="B22" s="522"/>
      <c r="C22" s="522"/>
      <c r="D22" s="522"/>
      <c r="E22" s="935" t="s">
        <v>737</v>
      </c>
      <c r="F22" s="522"/>
      <c r="G22" s="522"/>
      <c r="H22" s="522"/>
      <c r="I22" s="522"/>
      <c r="J22" s="522"/>
      <c r="K22" s="522"/>
      <c r="L22" s="522"/>
      <c r="M22" s="522"/>
      <c r="N22" s="522"/>
      <c r="O22" s="522"/>
      <c r="P22" s="522"/>
      <c r="Q22" s="522"/>
      <c r="R22" s="522"/>
      <c r="S22" s="522"/>
      <c r="T22" s="522"/>
      <c r="U22" s="522"/>
      <c r="V22" s="522"/>
      <c r="W22" s="522"/>
      <c r="X22" s="522"/>
      <c r="Y22" s="522"/>
      <c r="Z22" s="522"/>
      <c r="AA22" s="522"/>
      <c r="AB22" s="522"/>
      <c r="AC22" s="522"/>
      <c r="AD22" s="522"/>
      <c r="AE22" s="522"/>
      <c r="AF22" s="522"/>
      <c r="AG22" s="522"/>
      <c r="AH22" s="522"/>
      <c r="AI22" s="522"/>
      <c r="AJ22" s="522"/>
      <c r="AK22" s="522"/>
      <c r="AL22" s="522"/>
      <c r="AM22" s="522"/>
    </row>
    <row r="23" spans="1:39" ht="12.6" customHeight="1" x14ac:dyDescent="0.25">
      <c r="A23" s="522"/>
      <c r="B23" s="522"/>
      <c r="C23" s="522"/>
      <c r="D23" s="522"/>
      <c r="E23" s="529"/>
      <c r="F23" s="522"/>
      <c r="G23" s="522"/>
      <c r="H23" s="522"/>
      <c r="I23" s="522"/>
      <c r="J23" s="522"/>
      <c r="K23" s="522"/>
      <c r="L23" s="522"/>
      <c r="M23" s="522"/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</row>
    <row r="24" spans="1:39" ht="40.5" customHeight="1" x14ac:dyDescent="0.25">
      <c r="A24" s="522"/>
      <c r="B24" s="522"/>
      <c r="C24" s="522"/>
      <c r="D24" s="522"/>
      <c r="E24" s="935" t="s">
        <v>738</v>
      </c>
      <c r="F24" s="522"/>
      <c r="G24" s="522"/>
      <c r="H24" s="522"/>
      <c r="I24" s="522"/>
      <c r="J24" s="522"/>
      <c r="K24" s="522"/>
      <c r="L24" s="522"/>
      <c r="M24" s="522"/>
      <c r="N24" s="522"/>
      <c r="O24" s="522"/>
      <c r="P24" s="522"/>
      <c r="Q24" s="522"/>
      <c r="R24" s="522"/>
      <c r="S24" s="522"/>
      <c r="T24" s="522"/>
      <c r="U24" s="522"/>
      <c r="V24" s="522"/>
      <c r="W24" s="522"/>
      <c r="X24" s="522"/>
      <c r="Y24" s="522"/>
      <c r="Z24" s="522"/>
      <c r="AA24" s="522"/>
      <c r="AB24" s="522"/>
      <c r="AC24" s="522"/>
      <c r="AD24" s="522"/>
      <c r="AE24" s="522"/>
      <c r="AF24" s="522"/>
      <c r="AG24" s="522"/>
      <c r="AH24" s="522"/>
      <c r="AI24" s="522"/>
      <c r="AJ24" s="522"/>
      <c r="AK24" s="522"/>
      <c r="AL24" s="522"/>
      <c r="AM24" s="522"/>
    </row>
    <row r="25" spans="1:39" ht="12.6" customHeight="1" x14ac:dyDescent="0.25">
      <c r="A25" s="522"/>
      <c r="B25" s="522"/>
      <c r="C25" s="522"/>
      <c r="D25" s="522"/>
      <c r="E25" s="529"/>
      <c r="F25" s="522"/>
      <c r="G25" s="522"/>
      <c r="H25" s="522"/>
      <c r="I25" s="522"/>
      <c r="J25" s="522"/>
      <c r="K25" s="522"/>
      <c r="L25" s="522"/>
      <c r="M25" s="522"/>
      <c r="N25" s="522"/>
      <c r="O25" s="522"/>
      <c r="P25" s="522"/>
      <c r="Q25" s="522"/>
      <c r="R25" s="522"/>
      <c r="S25" s="522"/>
      <c r="T25" s="522"/>
      <c r="U25" s="522"/>
      <c r="V25" s="522"/>
      <c r="W25" s="522"/>
      <c r="X25" s="522"/>
      <c r="Y25" s="522"/>
      <c r="Z25" s="522"/>
      <c r="AA25" s="522"/>
      <c r="AB25" s="522"/>
      <c r="AC25" s="522"/>
      <c r="AD25" s="522"/>
      <c r="AE25" s="522"/>
      <c r="AF25" s="522"/>
      <c r="AG25" s="522"/>
      <c r="AH25" s="522"/>
      <c r="AI25" s="522"/>
      <c r="AJ25" s="522"/>
      <c r="AK25" s="522"/>
      <c r="AL25" s="522"/>
      <c r="AM25" s="522"/>
    </row>
    <row r="26" spans="1:39" ht="40.5" customHeight="1" x14ac:dyDescent="0.25">
      <c r="A26" s="522"/>
      <c r="B26" s="522"/>
      <c r="C26" s="522"/>
      <c r="D26" s="522"/>
      <c r="E26" s="528" t="s">
        <v>270</v>
      </c>
      <c r="F26" s="522"/>
      <c r="G26" s="522"/>
      <c r="H26" s="522"/>
      <c r="I26" s="522"/>
      <c r="J26" s="522"/>
      <c r="K26" s="522"/>
      <c r="L26" s="522"/>
      <c r="M26" s="522"/>
      <c r="N26" s="522"/>
      <c r="O26" s="522"/>
      <c r="P26" s="522"/>
      <c r="Q26" s="522"/>
      <c r="R26" s="522"/>
      <c r="S26" s="522"/>
      <c r="T26" s="522"/>
      <c r="U26" s="522"/>
      <c r="V26" s="522"/>
      <c r="W26" s="522"/>
      <c r="X26" s="522"/>
      <c r="Y26" s="522"/>
      <c r="Z26" s="522"/>
      <c r="AA26" s="522"/>
      <c r="AB26" s="522"/>
      <c r="AC26" s="522"/>
      <c r="AD26" s="522"/>
      <c r="AE26" s="522"/>
      <c r="AF26" s="522"/>
      <c r="AG26" s="522"/>
      <c r="AH26" s="522"/>
      <c r="AI26" s="522"/>
      <c r="AJ26" s="522"/>
      <c r="AK26" s="522"/>
      <c r="AL26" s="522"/>
      <c r="AM26" s="522"/>
    </row>
    <row r="27" spans="1:39" ht="12.6" customHeight="1" x14ac:dyDescent="0.25">
      <c r="A27" s="522"/>
      <c r="B27" s="522"/>
      <c r="C27" s="522"/>
      <c r="D27" s="522"/>
      <c r="E27" s="529"/>
      <c r="F27" s="522"/>
      <c r="G27" s="522"/>
      <c r="H27" s="522"/>
      <c r="I27" s="522"/>
      <c r="J27" s="522"/>
      <c r="K27" s="522"/>
      <c r="L27" s="522"/>
      <c r="M27" s="522"/>
      <c r="N27" s="522"/>
      <c r="O27" s="522"/>
      <c r="P27" s="522"/>
      <c r="Q27" s="522"/>
      <c r="R27" s="522"/>
      <c r="S27" s="522"/>
      <c r="T27" s="522"/>
      <c r="U27" s="522"/>
      <c r="V27" s="522"/>
      <c r="W27" s="522"/>
      <c r="X27" s="522"/>
      <c r="Y27" s="522"/>
      <c r="Z27" s="522"/>
      <c r="AA27" s="522"/>
      <c r="AB27" s="522"/>
      <c r="AC27" s="522"/>
      <c r="AD27" s="522"/>
      <c r="AE27" s="522"/>
      <c r="AF27" s="522"/>
      <c r="AG27" s="522"/>
      <c r="AH27" s="522"/>
      <c r="AI27" s="522"/>
      <c r="AJ27" s="522"/>
      <c r="AK27" s="522"/>
      <c r="AL27" s="522"/>
      <c r="AM27" s="522"/>
    </row>
    <row r="28" spans="1:39" ht="40.5" customHeight="1" x14ac:dyDescent="0.25">
      <c r="A28" s="522"/>
      <c r="B28" s="522"/>
      <c r="C28" s="522"/>
      <c r="D28" s="522"/>
      <c r="E28" s="935" t="s">
        <v>470</v>
      </c>
      <c r="F28" s="522"/>
      <c r="G28" s="522"/>
      <c r="H28" s="522"/>
      <c r="I28" s="522"/>
      <c r="J28" s="522"/>
      <c r="K28" s="522"/>
      <c r="L28" s="522"/>
      <c r="M28" s="522"/>
      <c r="N28" s="522"/>
      <c r="O28" s="522"/>
      <c r="P28" s="522"/>
      <c r="Q28" s="522"/>
      <c r="R28" s="522"/>
      <c r="S28" s="522"/>
      <c r="T28" s="522"/>
      <c r="U28" s="522"/>
      <c r="V28" s="522"/>
      <c r="W28" s="522"/>
      <c r="X28" s="522"/>
      <c r="Y28" s="522"/>
      <c r="Z28" s="522"/>
      <c r="AA28" s="522"/>
      <c r="AB28" s="522"/>
      <c r="AC28" s="522"/>
      <c r="AD28" s="522"/>
      <c r="AE28" s="522"/>
      <c r="AF28" s="522"/>
      <c r="AG28" s="522"/>
      <c r="AH28" s="522"/>
      <c r="AI28" s="522"/>
      <c r="AJ28" s="522"/>
      <c r="AK28" s="522"/>
      <c r="AL28" s="522"/>
      <c r="AM28" s="522"/>
    </row>
    <row r="29" spans="1:39" ht="12" customHeight="1" x14ac:dyDescent="0.25">
      <c r="A29" s="522"/>
      <c r="B29" s="522"/>
      <c r="C29" s="522"/>
      <c r="D29" s="522"/>
      <c r="E29" s="522"/>
      <c r="F29" s="522"/>
      <c r="G29" s="522"/>
      <c r="H29" s="522"/>
      <c r="I29" s="522"/>
      <c r="J29" s="522"/>
      <c r="K29" s="522"/>
      <c r="L29" s="522"/>
      <c r="M29" s="522"/>
      <c r="N29" s="522"/>
      <c r="O29" s="522"/>
      <c r="P29" s="522"/>
      <c r="Q29" s="522"/>
      <c r="R29" s="522"/>
      <c r="S29" s="522"/>
      <c r="T29" s="522"/>
      <c r="U29" s="522"/>
      <c r="V29" s="522"/>
      <c r="W29" s="522"/>
      <c r="X29" s="522"/>
      <c r="Y29" s="522"/>
      <c r="Z29" s="522"/>
      <c r="AA29" s="522"/>
      <c r="AB29" s="522"/>
      <c r="AC29" s="522"/>
      <c r="AD29" s="522"/>
      <c r="AE29" s="522"/>
      <c r="AF29" s="522"/>
      <c r="AG29" s="522"/>
      <c r="AH29" s="522"/>
      <c r="AI29" s="522"/>
      <c r="AJ29" s="522"/>
      <c r="AK29" s="522"/>
      <c r="AL29" s="522"/>
      <c r="AM29" s="522"/>
    </row>
    <row r="30" spans="1:39" ht="40.5" customHeight="1" x14ac:dyDescent="0.25">
      <c r="A30" s="522"/>
      <c r="B30" s="522"/>
      <c r="C30" s="522"/>
      <c r="D30" s="530"/>
      <c r="E30" s="528" t="s">
        <v>271</v>
      </c>
      <c r="F30" s="522"/>
      <c r="G30" s="522"/>
      <c r="H30" s="522"/>
      <c r="I30" s="522"/>
      <c r="J30" s="522"/>
      <c r="K30" s="522"/>
      <c r="L30" s="522"/>
      <c r="M30" s="522"/>
      <c r="N30" s="522"/>
      <c r="O30" s="522"/>
      <c r="P30" s="522"/>
      <c r="Q30" s="522"/>
      <c r="R30" s="522"/>
      <c r="S30" s="522"/>
      <c r="T30" s="522"/>
      <c r="U30" s="522"/>
      <c r="V30" s="522"/>
      <c r="W30" s="522"/>
      <c r="X30" s="522"/>
      <c r="Y30" s="522"/>
      <c r="Z30" s="522"/>
      <c r="AA30" s="522"/>
      <c r="AB30" s="522"/>
      <c r="AC30" s="522"/>
      <c r="AD30" s="522"/>
      <c r="AE30" s="522"/>
      <c r="AF30" s="522"/>
      <c r="AG30" s="522"/>
      <c r="AH30" s="522"/>
      <c r="AI30" s="522"/>
      <c r="AJ30" s="522"/>
      <c r="AK30" s="522"/>
      <c r="AL30" s="522"/>
      <c r="AM30" s="522"/>
    </row>
    <row r="31" spans="1:39" x14ac:dyDescent="0.25">
      <c r="A31" s="522"/>
      <c r="B31" s="522"/>
      <c r="C31" s="522"/>
      <c r="D31" s="522"/>
      <c r="E31" s="522"/>
      <c r="F31" s="522"/>
      <c r="G31" s="522"/>
      <c r="H31" s="522"/>
      <c r="I31" s="522"/>
      <c r="J31" s="522"/>
      <c r="K31" s="522"/>
      <c r="L31" s="522"/>
      <c r="M31" s="522"/>
      <c r="N31" s="522"/>
      <c r="O31" s="522"/>
      <c r="P31" s="522"/>
      <c r="Q31" s="522"/>
      <c r="R31" s="522"/>
      <c r="S31" s="522"/>
      <c r="T31" s="522"/>
      <c r="U31" s="522"/>
      <c r="V31" s="522"/>
      <c r="W31" s="522"/>
      <c r="X31" s="522"/>
      <c r="Y31" s="522"/>
      <c r="Z31" s="522"/>
      <c r="AA31" s="522"/>
      <c r="AB31" s="522"/>
      <c r="AC31" s="522"/>
      <c r="AD31" s="522"/>
      <c r="AE31" s="522"/>
      <c r="AF31" s="522"/>
      <c r="AG31" s="522"/>
      <c r="AH31" s="522"/>
      <c r="AI31" s="522"/>
      <c r="AJ31" s="522"/>
      <c r="AK31" s="522"/>
      <c r="AL31" s="522"/>
      <c r="AM31" s="522"/>
    </row>
    <row r="32" spans="1:39" ht="40.5" customHeight="1" x14ac:dyDescent="0.25">
      <c r="A32" s="522"/>
      <c r="B32" s="522"/>
      <c r="C32" s="522"/>
      <c r="D32" s="522"/>
      <c r="E32" s="528" t="s">
        <v>272</v>
      </c>
      <c r="F32" s="522"/>
      <c r="G32" s="522"/>
      <c r="H32" s="522"/>
      <c r="I32" s="522"/>
      <c r="J32" s="522"/>
      <c r="K32" s="522"/>
      <c r="L32" s="522"/>
      <c r="M32" s="522"/>
      <c r="N32" s="522"/>
      <c r="O32" s="522"/>
      <c r="P32" s="522"/>
      <c r="Q32" s="522"/>
      <c r="R32" s="522"/>
      <c r="S32" s="522"/>
      <c r="T32" s="522"/>
      <c r="U32" s="522"/>
      <c r="V32" s="522"/>
      <c r="W32" s="522"/>
      <c r="X32" s="522"/>
      <c r="Y32" s="522"/>
      <c r="Z32" s="522"/>
      <c r="AA32" s="522"/>
      <c r="AB32" s="522"/>
      <c r="AC32" s="522"/>
      <c r="AD32" s="522"/>
      <c r="AE32" s="522"/>
      <c r="AF32" s="522"/>
      <c r="AG32" s="522"/>
      <c r="AH32" s="522"/>
      <c r="AI32" s="522"/>
      <c r="AJ32" s="522"/>
      <c r="AK32" s="522"/>
      <c r="AL32" s="522"/>
      <c r="AM32" s="522"/>
    </row>
    <row r="33" spans="1:39" x14ac:dyDescent="0.25">
      <c r="A33" s="522"/>
      <c r="B33" s="522"/>
      <c r="C33" s="522"/>
      <c r="D33" s="522"/>
      <c r="E33" s="522"/>
      <c r="F33" s="522"/>
      <c r="G33" s="522"/>
      <c r="H33" s="522"/>
      <c r="I33" s="522"/>
      <c r="J33" s="522"/>
      <c r="K33" s="522"/>
      <c r="L33" s="522"/>
      <c r="M33" s="522"/>
      <c r="N33" s="522"/>
      <c r="O33" s="522"/>
      <c r="P33" s="522"/>
      <c r="Q33" s="522"/>
      <c r="R33" s="522"/>
      <c r="S33" s="522"/>
      <c r="T33" s="522"/>
      <c r="U33" s="522"/>
      <c r="V33" s="522"/>
      <c r="W33" s="522"/>
      <c r="X33" s="522"/>
      <c r="Y33" s="522"/>
      <c r="Z33" s="522"/>
      <c r="AA33" s="522"/>
      <c r="AB33" s="522"/>
      <c r="AC33" s="522"/>
      <c r="AD33" s="522"/>
      <c r="AE33" s="522"/>
      <c r="AF33" s="522"/>
      <c r="AG33" s="522"/>
      <c r="AH33" s="522"/>
      <c r="AI33" s="522"/>
      <c r="AJ33" s="522"/>
      <c r="AK33" s="522"/>
      <c r="AL33" s="522"/>
      <c r="AM33" s="522"/>
    </row>
    <row r="34" spans="1:39" x14ac:dyDescent="0.25">
      <c r="A34" s="522"/>
      <c r="B34" s="522"/>
      <c r="C34" s="522"/>
      <c r="D34" s="522"/>
      <c r="E34" s="522"/>
      <c r="F34" s="522"/>
      <c r="G34" s="522"/>
      <c r="H34" s="522"/>
      <c r="I34" s="522"/>
      <c r="J34" s="522"/>
      <c r="K34" s="522"/>
      <c r="L34" s="522"/>
      <c r="M34" s="522"/>
      <c r="N34" s="522"/>
      <c r="O34" s="522"/>
      <c r="P34" s="522"/>
      <c r="Q34" s="522"/>
      <c r="R34" s="522"/>
      <c r="S34" s="522"/>
      <c r="T34" s="522"/>
      <c r="U34" s="522"/>
      <c r="V34" s="522"/>
      <c r="W34" s="522"/>
      <c r="X34" s="522"/>
      <c r="Y34" s="522"/>
      <c r="Z34" s="522"/>
      <c r="AA34" s="522"/>
      <c r="AB34" s="522"/>
      <c r="AC34" s="522"/>
      <c r="AD34" s="522"/>
      <c r="AE34" s="522"/>
      <c r="AF34" s="522"/>
      <c r="AG34" s="522"/>
      <c r="AH34" s="522"/>
      <c r="AI34" s="522"/>
      <c r="AJ34" s="522"/>
      <c r="AK34" s="522"/>
      <c r="AL34" s="522"/>
      <c r="AM34" s="522"/>
    </row>
    <row r="35" spans="1:39" x14ac:dyDescent="0.25">
      <c r="A35" s="522"/>
      <c r="B35" s="522"/>
      <c r="C35" s="522"/>
      <c r="D35" s="522"/>
      <c r="E35" s="522"/>
      <c r="F35" s="522"/>
      <c r="G35" s="522"/>
      <c r="H35" s="522"/>
      <c r="I35" s="522"/>
      <c r="J35" s="522"/>
      <c r="K35" s="522"/>
      <c r="L35" s="522"/>
      <c r="M35" s="522"/>
      <c r="N35" s="522"/>
      <c r="O35" s="522"/>
      <c r="P35" s="522"/>
      <c r="Q35" s="522"/>
      <c r="R35" s="522"/>
      <c r="S35" s="522"/>
      <c r="T35" s="522"/>
      <c r="U35" s="522"/>
      <c r="V35" s="522"/>
      <c r="W35" s="522"/>
      <c r="X35" s="522"/>
      <c r="Y35" s="522"/>
      <c r="Z35" s="522"/>
      <c r="AA35" s="522"/>
      <c r="AB35" s="522"/>
      <c r="AC35" s="522"/>
      <c r="AD35" s="522"/>
      <c r="AE35" s="522"/>
      <c r="AF35" s="522"/>
      <c r="AG35" s="522"/>
      <c r="AH35" s="522"/>
      <c r="AI35" s="522"/>
      <c r="AJ35" s="522"/>
      <c r="AK35" s="522"/>
      <c r="AL35" s="522"/>
      <c r="AM35" s="522"/>
    </row>
    <row r="36" spans="1:39" x14ac:dyDescent="0.25">
      <c r="A36" s="522"/>
      <c r="B36" s="522"/>
      <c r="C36" s="522"/>
      <c r="D36" s="522"/>
      <c r="E36" s="522" t="s">
        <v>273</v>
      </c>
      <c r="F36" s="522"/>
      <c r="G36" s="522"/>
      <c r="H36" s="522"/>
      <c r="I36" s="522"/>
      <c r="J36" s="522"/>
      <c r="K36" s="522"/>
      <c r="L36" s="522"/>
      <c r="M36" s="522"/>
      <c r="N36" s="522"/>
      <c r="O36" s="522"/>
      <c r="P36" s="522"/>
      <c r="Q36" s="522"/>
      <c r="R36" s="522"/>
      <c r="S36" s="522"/>
      <c r="T36" s="522"/>
      <c r="U36" s="522"/>
      <c r="V36" s="522"/>
      <c r="W36" s="522"/>
      <c r="X36" s="522"/>
      <c r="Y36" s="522"/>
      <c r="Z36" s="522"/>
      <c r="AA36" s="522"/>
      <c r="AB36" s="522"/>
      <c r="AC36" s="522"/>
      <c r="AD36" s="522"/>
      <c r="AE36" s="522"/>
      <c r="AF36" s="522"/>
      <c r="AG36" s="522"/>
      <c r="AH36" s="522"/>
      <c r="AI36" s="522"/>
      <c r="AJ36" s="522"/>
      <c r="AK36" s="522"/>
      <c r="AL36" s="522"/>
      <c r="AM36" s="522"/>
    </row>
    <row r="37" spans="1:39" x14ac:dyDescent="0.25">
      <c r="A37" s="522"/>
      <c r="B37" s="522"/>
      <c r="C37" s="522"/>
      <c r="D37" s="522"/>
      <c r="E37" s="522" t="s">
        <v>274</v>
      </c>
      <c r="F37" s="522"/>
      <c r="G37" s="522"/>
      <c r="H37" s="522"/>
      <c r="I37" s="522"/>
      <c r="J37" s="522"/>
      <c r="K37" s="522"/>
      <c r="L37" s="522"/>
      <c r="M37" s="522"/>
      <c r="N37" s="522"/>
      <c r="O37" s="522"/>
      <c r="P37" s="522"/>
      <c r="Q37" s="522"/>
      <c r="R37" s="522"/>
      <c r="S37" s="522"/>
      <c r="T37" s="522"/>
      <c r="U37" s="522"/>
      <c r="V37" s="522"/>
      <c r="W37" s="522"/>
      <c r="X37" s="522"/>
      <c r="Y37" s="522"/>
      <c r="Z37" s="522"/>
      <c r="AA37" s="522"/>
      <c r="AB37" s="522"/>
      <c r="AC37" s="522"/>
      <c r="AD37" s="522"/>
      <c r="AE37" s="522"/>
      <c r="AF37" s="522"/>
      <c r="AG37" s="522"/>
      <c r="AH37" s="522"/>
      <c r="AI37" s="522"/>
      <c r="AJ37" s="522"/>
      <c r="AK37" s="522"/>
      <c r="AL37" s="522"/>
      <c r="AM37" s="522"/>
    </row>
    <row r="38" spans="1:39" x14ac:dyDescent="0.25">
      <c r="A38" s="522"/>
      <c r="B38" s="522"/>
      <c r="C38" s="522"/>
      <c r="D38" s="522"/>
      <c r="E38" s="522" t="s">
        <v>275</v>
      </c>
      <c r="F38" s="522"/>
      <c r="G38" s="522"/>
      <c r="H38" s="522"/>
      <c r="I38" s="522"/>
      <c r="J38" s="522"/>
      <c r="K38" s="522"/>
      <c r="L38" s="522"/>
      <c r="M38" s="522"/>
      <c r="N38" s="522"/>
      <c r="O38" s="522"/>
      <c r="P38" s="522"/>
      <c r="Q38" s="522"/>
      <c r="R38" s="522"/>
      <c r="S38" s="522"/>
      <c r="T38" s="522"/>
      <c r="U38" s="522"/>
      <c r="V38" s="522"/>
      <c r="W38" s="522"/>
      <c r="X38" s="522"/>
      <c r="Y38" s="522"/>
      <c r="Z38" s="522"/>
      <c r="AA38" s="522"/>
      <c r="AB38" s="522"/>
      <c r="AC38" s="522"/>
      <c r="AD38" s="522"/>
      <c r="AE38" s="522"/>
      <c r="AF38" s="522"/>
      <c r="AG38" s="522"/>
      <c r="AH38" s="522"/>
      <c r="AI38" s="522"/>
      <c r="AJ38" s="522"/>
      <c r="AK38" s="522"/>
      <c r="AL38" s="522"/>
      <c r="AM38" s="522"/>
    </row>
    <row r="39" spans="1:39" x14ac:dyDescent="0.25">
      <c r="A39" s="522"/>
      <c r="B39" s="522"/>
      <c r="C39" s="522"/>
      <c r="D39" s="522"/>
      <c r="E39" s="531" t="s">
        <v>276</v>
      </c>
      <c r="F39" s="522"/>
      <c r="G39" s="522"/>
      <c r="H39" s="522"/>
      <c r="I39" s="522"/>
      <c r="J39" s="522"/>
      <c r="K39" s="522"/>
      <c r="L39" s="522"/>
      <c r="M39" s="522"/>
      <c r="N39" s="522"/>
      <c r="O39" s="522"/>
      <c r="P39" s="522"/>
      <c r="Q39" s="522"/>
      <c r="R39" s="522"/>
      <c r="S39" s="522"/>
      <c r="T39" s="522"/>
      <c r="U39" s="522"/>
      <c r="V39" s="522"/>
      <c r="W39" s="522"/>
      <c r="X39" s="522"/>
      <c r="Y39" s="522"/>
      <c r="Z39" s="522"/>
      <c r="AA39" s="522"/>
      <c r="AB39" s="522"/>
      <c r="AC39" s="522"/>
      <c r="AD39" s="522"/>
      <c r="AE39" s="522"/>
      <c r="AF39" s="522"/>
      <c r="AG39" s="522"/>
      <c r="AH39" s="522"/>
      <c r="AI39" s="522"/>
      <c r="AJ39" s="522"/>
      <c r="AK39" s="522"/>
      <c r="AL39" s="522"/>
      <c r="AM39" s="522"/>
    </row>
    <row r="40" spans="1:39" x14ac:dyDescent="0.25">
      <c r="A40" s="522"/>
      <c r="B40" s="522"/>
      <c r="C40" s="522"/>
      <c r="D40" s="522"/>
      <c r="E40" s="522"/>
      <c r="F40" s="522"/>
      <c r="G40" s="522"/>
      <c r="H40" s="522"/>
      <c r="I40" s="522"/>
      <c r="J40" s="522"/>
      <c r="K40" s="522"/>
      <c r="L40" s="522"/>
      <c r="M40" s="522"/>
      <c r="N40" s="522"/>
      <c r="O40" s="522"/>
      <c r="P40" s="522"/>
      <c r="Q40" s="522"/>
      <c r="R40" s="522"/>
      <c r="S40" s="522"/>
      <c r="T40" s="522"/>
      <c r="U40" s="522"/>
      <c r="V40" s="522"/>
      <c r="W40" s="522"/>
      <c r="X40" s="522"/>
      <c r="Y40" s="522"/>
      <c r="Z40" s="522"/>
      <c r="AA40" s="522"/>
      <c r="AB40" s="522"/>
      <c r="AC40" s="522"/>
      <c r="AD40" s="522"/>
      <c r="AE40" s="522"/>
      <c r="AF40" s="522"/>
      <c r="AG40" s="522"/>
      <c r="AH40" s="522"/>
      <c r="AI40" s="522"/>
      <c r="AJ40" s="522"/>
      <c r="AK40" s="522"/>
      <c r="AL40" s="522"/>
      <c r="AM40" s="522"/>
    </row>
    <row r="41" spans="1:39" x14ac:dyDescent="0.25">
      <c r="A41" s="522"/>
      <c r="B41" s="522"/>
      <c r="C41" s="522"/>
      <c r="D41" s="522"/>
      <c r="E41" s="522"/>
      <c r="F41" s="522"/>
      <c r="G41" s="522"/>
      <c r="H41" s="522"/>
      <c r="I41" s="522"/>
      <c r="J41" s="522"/>
      <c r="K41" s="522"/>
      <c r="L41" s="522"/>
      <c r="M41" s="522"/>
      <c r="N41" s="522"/>
      <c r="O41" s="522"/>
      <c r="P41" s="522"/>
      <c r="Q41" s="522"/>
      <c r="R41" s="522"/>
      <c r="S41" s="522"/>
      <c r="T41" s="522"/>
      <c r="U41" s="522"/>
      <c r="V41" s="522"/>
      <c r="W41" s="522"/>
      <c r="X41" s="522"/>
      <c r="Y41" s="522"/>
      <c r="Z41" s="522"/>
      <c r="AA41" s="522"/>
      <c r="AB41" s="522"/>
      <c r="AC41" s="522"/>
      <c r="AD41" s="522"/>
      <c r="AE41" s="522"/>
      <c r="AF41" s="522"/>
      <c r="AG41" s="522"/>
      <c r="AH41" s="522"/>
      <c r="AI41" s="522"/>
      <c r="AJ41" s="522"/>
      <c r="AK41" s="522"/>
      <c r="AL41" s="522"/>
      <c r="AM41" s="522"/>
    </row>
    <row r="42" spans="1:39" x14ac:dyDescent="0.25">
      <c r="A42" s="522"/>
      <c r="B42" s="522"/>
      <c r="C42" s="522"/>
      <c r="D42" s="522"/>
      <c r="E42" s="522"/>
      <c r="F42" s="522"/>
      <c r="G42" s="522"/>
      <c r="H42" s="522"/>
      <c r="I42" s="522"/>
      <c r="J42" s="522"/>
      <c r="K42" s="522"/>
      <c r="L42" s="522"/>
      <c r="M42" s="522"/>
      <c r="N42" s="522"/>
      <c r="O42" s="522"/>
      <c r="P42" s="522"/>
      <c r="Q42" s="522"/>
      <c r="R42" s="522"/>
      <c r="S42" s="522"/>
      <c r="T42" s="522"/>
      <c r="U42" s="522"/>
      <c r="V42" s="522"/>
      <c r="W42" s="522"/>
      <c r="X42" s="522"/>
      <c r="Y42" s="522"/>
      <c r="Z42" s="522"/>
      <c r="AA42" s="522"/>
      <c r="AB42" s="522"/>
      <c r="AC42" s="522"/>
      <c r="AD42" s="522"/>
      <c r="AE42" s="522"/>
      <c r="AF42" s="522"/>
      <c r="AG42" s="522"/>
      <c r="AH42" s="522"/>
      <c r="AI42" s="522"/>
      <c r="AJ42" s="522"/>
      <c r="AK42" s="522"/>
      <c r="AL42" s="522"/>
      <c r="AM42" s="522"/>
    </row>
    <row r="43" spans="1:39" x14ac:dyDescent="0.25">
      <c r="A43" s="522"/>
      <c r="B43" s="522"/>
      <c r="C43" s="522"/>
      <c r="D43" s="522"/>
      <c r="E43" s="522"/>
      <c r="F43" s="522"/>
      <c r="G43" s="522"/>
      <c r="H43" s="522"/>
      <c r="I43" s="522"/>
      <c r="J43" s="522"/>
      <c r="K43" s="522"/>
      <c r="L43" s="522"/>
      <c r="M43" s="522"/>
      <c r="N43" s="522"/>
      <c r="O43" s="522"/>
      <c r="P43" s="522"/>
      <c r="Q43" s="522"/>
      <c r="R43" s="522"/>
      <c r="S43" s="522"/>
      <c r="T43" s="522"/>
      <c r="U43" s="522"/>
      <c r="V43" s="522"/>
      <c r="W43" s="522"/>
      <c r="X43" s="522"/>
      <c r="Y43" s="522"/>
      <c r="Z43" s="522"/>
      <c r="AA43" s="522"/>
      <c r="AB43" s="522"/>
      <c r="AC43" s="522"/>
      <c r="AD43" s="522"/>
      <c r="AE43" s="522"/>
      <c r="AF43" s="522"/>
      <c r="AG43" s="522"/>
      <c r="AH43" s="522"/>
      <c r="AI43" s="522"/>
      <c r="AJ43" s="522"/>
      <c r="AK43" s="522"/>
      <c r="AL43" s="522"/>
      <c r="AM43" s="522"/>
    </row>
    <row r="44" spans="1:39" x14ac:dyDescent="0.25">
      <c r="A44" s="522"/>
      <c r="B44" s="522"/>
      <c r="C44" s="522"/>
      <c r="D44" s="522"/>
      <c r="E44" s="522"/>
      <c r="F44" s="522"/>
      <c r="G44" s="522"/>
      <c r="H44" s="522"/>
      <c r="I44" s="522"/>
      <c r="J44" s="522"/>
      <c r="K44" s="522"/>
      <c r="L44" s="522"/>
      <c r="M44" s="522"/>
      <c r="N44" s="522"/>
      <c r="O44" s="522"/>
      <c r="P44" s="522"/>
      <c r="Q44" s="522"/>
      <c r="R44" s="522"/>
      <c r="S44" s="522"/>
      <c r="T44" s="522"/>
      <c r="U44" s="522"/>
      <c r="V44" s="522"/>
      <c r="W44" s="522"/>
      <c r="X44" s="522"/>
      <c r="Y44" s="522"/>
      <c r="Z44" s="522"/>
      <c r="AA44" s="522"/>
      <c r="AB44" s="522"/>
      <c r="AC44" s="522"/>
      <c r="AD44" s="522"/>
      <c r="AE44" s="522"/>
      <c r="AF44" s="522"/>
      <c r="AG44" s="522"/>
      <c r="AH44" s="522"/>
      <c r="AI44" s="522"/>
      <c r="AJ44" s="522"/>
      <c r="AK44" s="522"/>
      <c r="AL44" s="522"/>
      <c r="AM44" s="522"/>
    </row>
    <row r="45" spans="1:39" x14ac:dyDescent="0.25">
      <c r="A45" s="522"/>
      <c r="B45" s="522"/>
      <c r="C45" s="522"/>
      <c r="D45" s="522"/>
      <c r="E45" s="522"/>
      <c r="F45" s="522"/>
      <c r="G45" s="522"/>
      <c r="H45" s="522"/>
      <c r="I45" s="522"/>
      <c r="J45" s="522"/>
      <c r="K45" s="522"/>
      <c r="L45" s="522"/>
      <c r="M45" s="522"/>
      <c r="N45" s="522"/>
      <c r="O45" s="522"/>
      <c r="P45" s="522"/>
      <c r="Q45" s="522"/>
      <c r="R45" s="522"/>
      <c r="S45" s="522"/>
      <c r="T45" s="522"/>
      <c r="U45" s="522"/>
      <c r="V45" s="522"/>
      <c r="W45" s="522"/>
      <c r="X45" s="522"/>
      <c r="Y45" s="522"/>
      <c r="Z45" s="522"/>
      <c r="AA45" s="522"/>
      <c r="AB45" s="522"/>
      <c r="AC45" s="522"/>
      <c r="AD45" s="522"/>
      <c r="AE45" s="522"/>
      <c r="AF45" s="522"/>
      <c r="AG45" s="522"/>
      <c r="AH45" s="522"/>
      <c r="AI45" s="522"/>
      <c r="AJ45" s="522"/>
      <c r="AK45" s="522"/>
      <c r="AL45" s="522"/>
      <c r="AM45" s="522"/>
    </row>
    <row r="46" spans="1:39" x14ac:dyDescent="0.25">
      <c r="A46" s="522"/>
      <c r="B46" s="522"/>
      <c r="C46" s="522"/>
      <c r="D46" s="522"/>
      <c r="E46" s="522"/>
      <c r="F46" s="522"/>
      <c r="G46" s="522"/>
      <c r="H46" s="522"/>
      <c r="I46" s="522"/>
      <c r="J46" s="522"/>
      <c r="K46" s="522"/>
      <c r="L46" s="522"/>
      <c r="M46" s="522"/>
      <c r="N46" s="522"/>
      <c r="O46" s="522"/>
      <c r="P46" s="522"/>
      <c r="Q46" s="522"/>
      <c r="R46" s="522"/>
      <c r="S46" s="522"/>
      <c r="T46" s="522"/>
      <c r="U46" s="522"/>
      <c r="V46" s="522"/>
      <c r="W46" s="522"/>
      <c r="X46" s="522"/>
      <c r="Y46" s="522"/>
      <c r="Z46" s="522"/>
      <c r="AA46" s="522"/>
      <c r="AB46" s="522"/>
      <c r="AC46" s="522"/>
      <c r="AD46" s="522"/>
      <c r="AE46" s="522"/>
      <c r="AF46" s="522"/>
      <c r="AG46" s="522"/>
      <c r="AH46" s="522"/>
      <c r="AI46" s="522"/>
      <c r="AJ46" s="522"/>
      <c r="AK46" s="522"/>
      <c r="AL46" s="522"/>
      <c r="AM46" s="522"/>
    </row>
    <row r="47" spans="1:39" x14ac:dyDescent="0.25">
      <c r="A47" s="522"/>
      <c r="B47" s="522"/>
      <c r="C47" s="522"/>
      <c r="D47" s="522"/>
      <c r="E47" s="522"/>
      <c r="F47" s="522"/>
      <c r="G47" s="522"/>
      <c r="H47" s="522"/>
      <c r="I47" s="522"/>
      <c r="J47" s="522"/>
      <c r="K47" s="522"/>
      <c r="L47" s="522"/>
      <c r="M47" s="522"/>
      <c r="N47" s="522"/>
      <c r="O47" s="522"/>
      <c r="P47" s="522"/>
      <c r="Q47" s="522"/>
      <c r="R47" s="522"/>
      <c r="S47" s="522"/>
      <c r="T47" s="522"/>
      <c r="U47" s="522"/>
      <c r="V47" s="522"/>
      <c r="W47" s="522"/>
      <c r="X47" s="522"/>
      <c r="Y47" s="522"/>
      <c r="Z47" s="522"/>
      <c r="AA47" s="522"/>
      <c r="AB47" s="522"/>
      <c r="AC47" s="522"/>
      <c r="AD47" s="522"/>
      <c r="AE47" s="522"/>
      <c r="AF47" s="522"/>
      <c r="AG47" s="522"/>
      <c r="AH47" s="522"/>
      <c r="AI47" s="522"/>
      <c r="AJ47" s="522"/>
      <c r="AK47" s="522"/>
      <c r="AL47" s="522"/>
      <c r="AM47" s="522"/>
    </row>
    <row r="48" spans="1:39" x14ac:dyDescent="0.25">
      <c r="A48" s="522"/>
      <c r="B48" s="522"/>
      <c r="C48" s="522"/>
      <c r="D48" s="522"/>
      <c r="E48" s="522"/>
      <c r="F48" s="522"/>
      <c r="G48" s="522"/>
      <c r="H48" s="522"/>
      <c r="I48" s="522"/>
      <c r="J48" s="522"/>
      <c r="K48" s="522"/>
      <c r="L48" s="522"/>
      <c r="M48" s="522"/>
      <c r="N48" s="522"/>
      <c r="O48" s="522"/>
      <c r="P48" s="522"/>
      <c r="Q48" s="522"/>
      <c r="R48" s="522"/>
      <c r="S48" s="522"/>
      <c r="T48" s="522"/>
      <c r="U48" s="522"/>
      <c r="V48" s="522"/>
      <c r="W48" s="522"/>
      <c r="X48" s="522"/>
      <c r="Y48" s="522"/>
      <c r="Z48" s="522"/>
      <c r="AA48" s="522"/>
      <c r="AB48" s="522"/>
      <c r="AC48" s="522"/>
      <c r="AD48" s="522"/>
      <c r="AE48" s="522"/>
      <c r="AF48" s="522"/>
      <c r="AG48" s="522"/>
      <c r="AH48" s="522"/>
      <c r="AI48" s="522"/>
      <c r="AJ48" s="522"/>
      <c r="AK48" s="522"/>
      <c r="AL48" s="522"/>
      <c r="AM48" s="522"/>
    </row>
    <row r="49" spans="1:39" x14ac:dyDescent="0.25">
      <c r="A49" s="522"/>
      <c r="B49" s="522"/>
      <c r="C49" s="522"/>
      <c r="D49" s="522"/>
      <c r="E49" s="522"/>
      <c r="F49" s="522"/>
      <c r="G49" s="522"/>
      <c r="H49" s="522"/>
      <c r="I49" s="522"/>
      <c r="J49" s="522"/>
      <c r="K49" s="522"/>
      <c r="L49" s="522"/>
      <c r="M49" s="522"/>
      <c r="N49" s="522"/>
      <c r="O49" s="522"/>
      <c r="P49" s="522"/>
      <c r="Q49" s="522"/>
      <c r="R49" s="522"/>
      <c r="S49" s="522"/>
      <c r="T49" s="522"/>
      <c r="U49" s="522"/>
      <c r="V49" s="522"/>
      <c r="W49" s="522"/>
      <c r="X49" s="522"/>
      <c r="Y49" s="522"/>
      <c r="Z49" s="522"/>
      <c r="AA49" s="522"/>
      <c r="AB49" s="522"/>
      <c r="AC49" s="522"/>
      <c r="AD49" s="522"/>
      <c r="AE49" s="522"/>
      <c r="AF49" s="522"/>
      <c r="AG49" s="522"/>
      <c r="AH49" s="522"/>
      <c r="AI49" s="522"/>
      <c r="AJ49" s="522"/>
      <c r="AK49" s="522"/>
      <c r="AL49" s="522"/>
      <c r="AM49" s="522"/>
    </row>
    <row r="50" spans="1:39" x14ac:dyDescent="0.25">
      <c r="A50" s="522"/>
      <c r="B50" s="522"/>
      <c r="C50" s="522"/>
      <c r="D50" s="522"/>
      <c r="E50" s="522"/>
      <c r="F50" s="522"/>
      <c r="G50" s="522"/>
      <c r="H50" s="522"/>
      <c r="I50" s="522"/>
      <c r="J50" s="522"/>
      <c r="K50" s="522"/>
      <c r="L50" s="522"/>
      <c r="M50" s="522"/>
      <c r="N50" s="522"/>
      <c r="O50" s="522"/>
      <c r="P50" s="522"/>
      <c r="Q50" s="522"/>
      <c r="R50" s="522"/>
      <c r="S50" s="522"/>
      <c r="T50" s="522"/>
      <c r="U50" s="522"/>
      <c r="V50" s="522"/>
      <c r="W50" s="522"/>
      <c r="X50" s="522"/>
      <c r="Y50" s="522"/>
      <c r="Z50" s="522"/>
      <c r="AA50" s="522"/>
      <c r="AB50" s="522"/>
      <c r="AC50" s="522"/>
      <c r="AD50" s="522"/>
      <c r="AE50" s="522"/>
      <c r="AF50" s="522"/>
      <c r="AG50" s="522"/>
      <c r="AH50" s="522"/>
      <c r="AI50" s="522"/>
      <c r="AJ50" s="522"/>
      <c r="AK50" s="522"/>
      <c r="AL50" s="522"/>
      <c r="AM50" s="522"/>
    </row>
    <row r="51" spans="1:39" x14ac:dyDescent="0.25">
      <c r="A51" s="522"/>
      <c r="B51" s="522"/>
      <c r="C51" s="522"/>
      <c r="D51" s="522"/>
      <c r="E51" s="522"/>
      <c r="F51" s="522"/>
      <c r="G51" s="522"/>
      <c r="H51" s="522"/>
      <c r="I51" s="522"/>
      <c r="J51" s="522"/>
      <c r="K51" s="522"/>
      <c r="L51" s="522"/>
      <c r="M51" s="522"/>
      <c r="N51" s="522"/>
      <c r="O51" s="522"/>
      <c r="P51" s="522"/>
      <c r="Q51" s="522"/>
      <c r="R51" s="522"/>
      <c r="S51" s="522"/>
      <c r="T51" s="522"/>
      <c r="U51" s="522"/>
      <c r="V51" s="522"/>
      <c r="W51" s="522"/>
      <c r="X51" s="522"/>
      <c r="Y51" s="522"/>
      <c r="Z51" s="522"/>
      <c r="AA51" s="522"/>
      <c r="AB51" s="522"/>
      <c r="AC51" s="522"/>
      <c r="AD51" s="522"/>
      <c r="AE51" s="522"/>
      <c r="AF51" s="522"/>
      <c r="AG51" s="522"/>
      <c r="AH51" s="522"/>
      <c r="AI51" s="522"/>
      <c r="AJ51" s="522"/>
      <c r="AK51" s="522"/>
      <c r="AL51" s="522"/>
      <c r="AM51" s="522"/>
    </row>
    <row r="52" spans="1:39" x14ac:dyDescent="0.25">
      <c r="A52" s="522"/>
      <c r="B52" s="522"/>
      <c r="C52" s="522"/>
      <c r="D52" s="522"/>
      <c r="E52" s="522"/>
      <c r="F52" s="522"/>
      <c r="G52" s="522"/>
      <c r="H52" s="522"/>
      <c r="I52" s="522"/>
      <c r="J52" s="522"/>
      <c r="K52" s="522"/>
      <c r="L52" s="522"/>
      <c r="M52" s="522"/>
      <c r="N52" s="522"/>
      <c r="O52" s="522"/>
      <c r="P52" s="522"/>
      <c r="Q52" s="522"/>
      <c r="R52" s="522"/>
      <c r="S52" s="522"/>
      <c r="T52" s="522"/>
      <c r="U52" s="522"/>
      <c r="V52" s="522"/>
      <c r="W52" s="522"/>
      <c r="X52" s="522"/>
      <c r="Y52" s="522"/>
      <c r="Z52" s="522"/>
      <c r="AA52" s="522"/>
      <c r="AB52" s="522"/>
      <c r="AC52" s="522"/>
      <c r="AD52" s="522"/>
      <c r="AE52" s="522"/>
      <c r="AF52" s="522"/>
      <c r="AG52" s="522"/>
      <c r="AH52" s="522"/>
      <c r="AI52" s="522"/>
      <c r="AJ52" s="522"/>
      <c r="AK52" s="522"/>
      <c r="AL52" s="522"/>
      <c r="AM52" s="522"/>
    </row>
    <row r="53" spans="1:39" x14ac:dyDescent="0.25">
      <c r="A53" s="522"/>
      <c r="B53" s="522"/>
      <c r="C53" s="522"/>
      <c r="D53" s="522"/>
      <c r="E53" s="522"/>
      <c r="F53" s="522"/>
      <c r="G53" s="522"/>
      <c r="H53" s="522"/>
      <c r="I53" s="522"/>
      <c r="J53" s="522"/>
      <c r="K53" s="522"/>
      <c r="L53" s="522"/>
      <c r="M53" s="522"/>
      <c r="N53" s="522"/>
      <c r="O53" s="522"/>
      <c r="P53" s="522"/>
      <c r="Q53" s="522"/>
      <c r="R53" s="522"/>
      <c r="S53" s="522"/>
      <c r="T53" s="522"/>
      <c r="U53" s="522"/>
      <c r="V53" s="522"/>
      <c r="W53" s="522"/>
      <c r="X53" s="522"/>
      <c r="Y53" s="522"/>
      <c r="Z53" s="522"/>
      <c r="AA53" s="522"/>
      <c r="AB53" s="522"/>
      <c r="AC53" s="522"/>
      <c r="AD53" s="522"/>
      <c r="AE53" s="522"/>
      <c r="AF53" s="522"/>
      <c r="AG53" s="522"/>
      <c r="AH53" s="522"/>
      <c r="AI53" s="522"/>
      <c r="AJ53" s="522"/>
      <c r="AK53" s="522"/>
      <c r="AL53" s="522"/>
      <c r="AM53" s="522"/>
    </row>
    <row r="54" spans="1:39" x14ac:dyDescent="0.25">
      <c r="A54" s="522"/>
      <c r="B54" s="522"/>
      <c r="C54" s="522"/>
      <c r="D54" s="522"/>
      <c r="E54" s="522"/>
      <c r="F54" s="522"/>
      <c r="G54" s="522"/>
      <c r="H54" s="522"/>
      <c r="I54" s="522"/>
      <c r="J54" s="522"/>
      <c r="K54" s="522"/>
      <c r="L54" s="522"/>
      <c r="M54" s="522"/>
      <c r="N54" s="522"/>
      <c r="O54" s="522"/>
      <c r="P54" s="522"/>
      <c r="Q54" s="522"/>
      <c r="R54" s="522"/>
      <c r="S54" s="522"/>
      <c r="T54" s="522"/>
      <c r="U54" s="522"/>
      <c r="V54" s="522"/>
      <c r="W54" s="522"/>
      <c r="X54" s="522"/>
      <c r="Y54" s="522"/>
      <c r="Z54" s="522"/>
      <c r="AA54" s="522"/>
      <c r="AB54" s="522"/>
      <c r="AC54" s="522"/>
      <c r="AD54" s="522"/>
      <c r="AE54" s="522"/>
      <c r="AF54" s="522"/>
      <c r="AG54" s="522"/>
      <c r="AH54" s="522"/>
      <c r="AI54" s="522"/>
      <c r="AJ54" s="522"/>
      <c r="AK54" s="522"/>
      <c r="AL54" s="522"/>
      <c r="AM54" s="522"/>
    </row>
    <row r="55" spans="1:39" x14ac:dyDescent="0.25">
      <c r="A55" s="522"/>
      <c r="B55" s="522"/>
      <c r="C55" s="522"/>
      <c r="D55" s="522"/>
      <c r="E55" s="522"/>
      <c r="F55" s="522"/>
      <c r="G55" s="522"/>
      <c r="H55" s="522"/>
      <c r="I55" s="522"/>
      <c r="J55" s="522"/>
      <c r="K55" s="522"/>
      <c r="L55" s="522"/>
      <c r="M55" s="522"/>
      <c r="N55" s="522"/>
      <c r="O55" s="522"/>
      <c r="P55" s="522"/>
      <c r="Q55" s="522"/>
      <c r="R55" s="522"/>
      <c r="S55" s="522"/>
      <c r="T55" s="522"/>
      <c r="U55" s="522"/>
      <c r="V55" s="522"/>
      <c r="W55" s="522"/>
      <c r="X55" s="522"/>
      <c r="Y55" s="522"/>
      <c r="Z55" s="522"/>
      <c r="AA55" s="522"/>
      <c r="AB55" s="522"/>
      <c r="AC55" s="522"/>
      <c r="AD55" s="522"/>
      <c r="AE55" s="522"/>
      <c r="AF55" s="522"/>
      <c r="AG55" s="522"/>
      <c r="AH55" s="522"/>
      <c r="AI55" s="522"/>
      <c r="AJ55" s="522"/>
      <c r="AK55" s="522"/>
      <c r="AL55" s="522"/>
      <c r="AM55" s="522"/>
    </row>
    <row r="56" spans="1:39" x14ac:dyDescent="0.25">
      <c r="A56" s="522"/>
      <c r="B56" s="522"/>
      <c r="C56" s="522"/>
      <c r="D56" s="522"/>
      <c r="E56" s="522"/>
      <c r="F56" s="522"/>
      <c r="G56" s="522"/>
      <c r="H56" s="522"/>
      <c r="I56" s="522"/>
      <c r="J56" s="522"/>
      <c r="K56" s="522"/>
      <c r="L56" s="522"/>
      <c r="M56" s="522"/>
      <c r="N56" s="522"/>
      <c r="O56" s="522"/>
      <c r="P56" s="522"/>
      <c r="Q56" s="522"/>
      <c r="R56" s="522"/>
      <c r="S56" s="522"/>
      <c r="T56" s="522"/>
      <c r="U56" s="522"/>
      <c r="V56" s="522"/>
      <c r="W56" s="522"/>
      <c r="X56" s="522"/>
      <c r="Y56" s="522"/>
      <c r="Z56" s="522"/>
      <c r="AA56" s="522"/>
      <c r="AB56" s="522"/>
      <c r="AC56" s="522"/>
      <c r="AD56" s="522"/>
      <c r="AE56" s="522"/>
      <c r="AF56" s="522"/>
      <c r="AG56" s="522"/>
      <c r="AH56" s="522"/>
      <c r="AI56" s="522"/>
      <c r="AJ56" s="522"/>
      <c r="AK56" s="522"/>
      <c r="AL56" s="522"/>
      <c r="AM56" s="522"/>
    </row>
    <row r="57" spans="1:39" x14ac:dyDescent="0.25">
      <c r="A57" s="522"/>
      <c r="B57" s="522"/>
      <c r="C57" s="522"/>
      <c r="D57" s="522"/>
      <c r="E57" s="522"/>
      <c r="F57" s="522"/>
      <c r="G57" s="522"/>
      <c r="H57" s="522"/>
      <c r="I57" s="522"/>
      <c r="J57" s="522"/>
      <c r="K57" s="522"/>
      <c r="L57" s="522"/>
      <c r="M57" s="522"/>
      <c r="N57" s="522"/>
      <c r="O57" s="522"/>
      <c r="P57" s="522"/>
      <c r="Q57" s="522"/>
      <c r="R57" s="522"/>
      <c r="S57" s="522"/>
      <c r="T57" s="522"/>
      <c r="U57" s="522"/>
      <c r="V57" s="522"/>
      <c r="W57" s="522"/>
      <c r="X57" s="522"/>
      <c r="Y57" s="522"/>
      <c r="Z57" s="522"/>
      <c r="AA57" s="522"/>
      <c r="AB57" s="522"/>
      <c r="AC57" s="522"/>
      <c r="AD57" s="522"/>
      <c r="AE57" s="522"/>
      <c r="AF57" s="522"/>
      <c r="AG57" s="522"/>
      <c r="AH57" s="522"/>
      <c r="AI57" s="522"/>
      <c r="AJ57" s="522"/>
      <c r="AK57" s="522"/>
      <c r="AL57" s="522"/>
      <c r="AM57" s="522"/>
    </row>
    <row r="58" spans="1:39" x14ac:dyDescent="0.25">
      <c r="A58" s="522"/>
      <c r="B58" s="522"/>
      <c r="C58" s="522"/>
      <c r="D58" s="522"/>
      <c r="E58" s="522"/>
      <c r="F58" s="522"/>
      <c r="G58" s="522"/>
      <c r="H58" s="522"/>
      <c r="I58" s="522"/>
      <c r="J58" s="522"/>
      <c r="K58" s="522"/>
      <c r="L58" s="522"/>
      <c r="M58" s="522"/>
      <c r="N58" s="522"/>
      <c r="O58" s="522"/>
      <c r="P58" s="522"/>
      <c r="Q58" s="522"/>
      <c r="R58" s="522"/>
      <c r="S58" s="522"/>
      <c r="T58" s="522"/>
      <c r="U58" s="522"/>
      <c r="V58" s="522"/>
      <c r="W58" s="522"/>
      <c r="X58" s="522"/>
      <c r="Y58" s="522"/>
      <c r="Z58" s="522"/>
      <c r="AA58" s="522"/>
      <c r="AB58" s="522"/>
      <c r="AC58" s="522"/>
      <c r="AD58" s="522"/>
      <c r="AE58" s="522"/>
      <c r="AF58" s="522"/>
      <c r="AG58" s="522"/>
      <c r="AH58" s="522"/>
      <c r="AI58" s="522"/>
      <c r="AJ58" s="522"/>
      <c r="AK58" s="522"/>
      <c r="AL58" s="522"/>
      <c r="AM58" s="522"/>
    </row>
  </sheetData>
  <sheetProtection algorithmName="SHA-512" hashValue="s1YFa9GcISwZt1iEbHY7csOZ6I2g+sXXpevlKqy4PDsgRqZS7iAXEJBRJiDzDvi2ooLNWTk9GoOesJgbbo537w==" saltValue="9PvZt4ZXKKUtqyl1sgw3pg==" spinCount="100000" sheet="1" objects="1" scenarios="1"/>
  <hyperlinks>
    <hyperlink ref="E39" r:id="rId1" xr:uid="{01AC339C-8CF9-45F7-8C4D-2645B07CD938}"/>
    <hyperlink ref="E18" location="Släp!A5" display="Detalj kalkyl SLÄP" xr:uid="{0A263EC9-FBCD-4FCE-8850-D6D83D071A55}"/>
    <hyperlink ref="E14" location="'Registrering &amp; Resultat'!G4" display="Registrering &amp; Resultat" xr:uid="{B6DFF2AF-BA9F-481E-823B-98F795BA59A8}"/>
    <hyperlink ref="E28" location="Åkerisammanställning!A1" display="Åkerisammanställning" xr:uid="{B8086214-12FD-46BD-AE82-54054B2753EE}"/>
    <hyperlink ref="E16" location="Lastbil!A5" display="Detalj kalkyl LASTBIL" xr:uid="{A51A3D09-E01D-4D28-8E17-1AE7E5B6BB10}"/>
    <hyperlink ref="E20" location="Sammandrag!A5" display="Detalj sammandrag" xr:uid="{5063F5B1-466C-43AA-ABDF-D4F97AE3C30C}"/>
    <hyperlink ref="E22" location="'Laddlogistik 1'!D6" display="Laddlogistik 1" xr:uid="{1C045734-E793-418E-BA32-1F9914BCB153}"/>
    <hyperlink ref="E24" location="'Laddlogistik 2'!D6" display="Laddlogistik 2" xr:uid="{818031A5-D6C2-4B2F-96B3-C556537A2763}"/>
  </hyperlink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B00C-9C0F-481C-9B47-3EB53561851E}">
  <sheetPr codeName="Sheet5">
    <tabColor rgb="FFC47500"/>
  </sheetPr>
  <dimension ref="A1:BI67"/>
  <sheetViews>
    <sheetView showGridLines="0" showRowColHeaders="0" zoomScale="70" zoomScaleNormal="70" workbookViewId="0">
      <selection activeCell="G39" sqref="G39"/>
    </sheetView>
  </sheetViews>
  <sheetFormatPr defaultRowHeight="15" outlineLevelRow="1" x14ac:dyDescent="0.25"/>
  <cols>
    <col min="1" max="1" width="3.28515625" customWidth="1"/>
    <col min="2" max="3" width="7.5703125" customWidth="1"/>
    <col min="4" max="4" width="11.28515625" customWidth="1"/>
    <col min="5" max="5" width="1.28515625" customWidth="1"/>
    <col min="6" max="6" width="22.28515625" customWidth="1"/>
    <col min="7" max="7" width="15.5703125" customWidth="1"/>
    <col min="8" max="8" width="15.7109375" customWidth="1"/>
    <col min="9" max="10" width="12.7109375" customWidth="1"/>
    <col min="11" max="11" width="17.5703125" customWidth="1"/>
    <col min="12" max="12" width="26.7109375" customWidth="1"/>
    <col min="13" max="14" width="19.28515625" customWidth="1"/>
    <col min="15" max="15" width="15.42578125" customWidth="1"/>
    <col min="16" max="19" width="16" customWidth="1"/>
    <col min="20" max="20" width="15" customWidth="1"/>
    <col min="21" max="25" width="13.42578125" customWidth="1"/>
    <col min="26" max="26" width="15.85546875" customWidth="1"/>
    <col min="27" max="28" width="32.5703125" customWidth="1"/>
    <col min="29" max="29" width="15.85546875" customWidth="1"/>
    <col min="30" max="30" width="12" customWidth="1"/>
    <col min="31" max="31" width="12.85546875" customWidth="1"/>
  </cols>
  <sheetData>
    <row r="1" spans="1:61" ht="87" customHeight="1" x14ac:dyDescent="0.25">
      <c r="A1" s="533"/>
      <c r="B1" s="533"/>
      <c r="C1" s="533"/>
      <c r="D1" s="533"/>
      <c r="E1" s="533"/>
      <c r="F1" s="533"/>
      <c r="G1" s="533"/>
      <c r="H1" s="533"/>
      <c r="I1" s="533"/>
      <c r="J1" s="533"/>
      <c r="K1" s="533"/>
      <c r="L1" s="533"/>
      <c r="M1" s="533"/>
      <c r="N1" s="533"/>
      <c r="O1" s="533"/>
      <c r="P1" s="533"/>
      <c r="Q1" s="533"/>
      <c r="R1" s="533"/>
      <c r="S1" s="533"/>
      <c r="T1" s="533"/>
      <c r="U1" s="533"/>
      <c r="V1" s="533"/>
      <c r="W1" s="533"/>
      <c r="X1" s="533"/>
      <c r="Y1" s="533"/>
      <c r="Z1" s="533"/>
      <c r="AA1" s="533"/>
      <c r="AB1" s="533"/>
      <c r="AC1" s="533"/>
      <c r="AD1" s="533"/>
      <c r="AE1" s="533"/>
      <c r="AF1" s="533"/>
      <c r="AG1" s="533"/>
      <c r="AH1" s="533"/>
      <c r="AI1" s="533"/>
      <c r="AJ1" s="533"/>
      <c r="AK1" s="533"/>
      <c r="AL1" s="533"/>
      <c r="AM1" s="533"/>
      <c r="AN1" s="533"/>
      <c r="AO1" s="533"/>
      <c r="AP1" s="533"/>
      <c r="AQ1" s="533"/>
      <c r="AR1" s="533"/>
      <c r="AS1" s="533"/>
      <c r="AT1" s="533"/>
      <c r="AU1" s="533"/>
      <c r="AV1" s="533"/>
      <c r="AW1" s="533"/>
      <c r="AX1" s="533"/>
      <c r="AY1" s="533"/>
      <c r="AZ1" s="533"/>
      <c r="BA1" s="533"/>
      <c r="BB1" s="533"/>
      <c r="BC1" s="533"/>
      <c r="BD1" s="533"/>
      <c r="BE1" s="533"/>
      <c r="BF1" s="533"/>
      <c r="BG1" s="533"/>
      <c r="BH1" s="533"/>
      <c r="BI1" s="533"/>
    </row>
    <row r="2" spans="1:61" ht="3.95" customHeight="1" x14ac:dyDescent="0.25"/>
    <row r="3" spans="1:61" ht="3.95" customHeight="1" x14ac:dyDescent="0.25"/>
    <row r="4" spans="1:61" ht="21" customHeight="1" x14ac:dyDescent="0.35">
      <c r="F4" s="523" t="s">
        <v>278</v>
      </c>
      <c r="G4" s="993" t="s">
        <v>641</v>
      </c>
      <c r="H4" s="994"/>
      <c r="I4" s="994"/>
      <c r="J4" s="995"/>
      <c r="L4" t="s">
        <v>314</v>
      </c>
      <c r="M4" s="990" t="s">
        <v>311</v>
      </c>
      <c r="N4" s="990"/>
      <c r="O4" s="990"/>
      <c r="Q4" s="534"/>
      <c r="R4" s="589" t="s">
        <v>311</v>
      </c>
    </row>
    <row r="5" spans="1:61" ht="8.25" customHeight="1" x14ac:dyDescent="0.25">
      <c r="G5" s="535"/>
      <c r="H5" s="523"/>
      <c r="I5" s="523"/>
      <c r="J5" s="523"/>
      <c r="Q5" s="534"/>
      <c r="R5" s="589" t="s">
        <v>312</v>
      </c>
    </row>
    <row r="6" spans="1:61" ht="21" customHeight="1" x14ac:dyDescent="0.35">
      <c r="F6" s="523" t="s">
        <v>279</v>
      </c>
      <c r="G6" s="993" t="s">
        <v>642</v>
      </c>
      <c r="H6" s="994"/>
      <c r="I6" s="994"/>
      <c r="J6" s="995"/>
      <c r="M6" s="590" t="s">
        <v>315</v>
      </c>
      <c r="Q6" s="534"/>
      <c r="R6" s="589"/>
    </row>
    <row r="7" spans="1:61" ht="8.25" customHeight="1" x14ac:dyDescent="0.25">
      <c r="F7" s="523"/>
      <c r="G7" s="523"/>
      <c r="H7" s="523"/>
      <c r="I7" s="523"/>
      <c r="J7" s="523"/>
      <c r="Q7" s="534"/>
    </row>
    <row r="8" spans="1:61" ht="21" x14ac:dyDescent="0.35">
      <c r="F8" s="523" t="s">
        <v>310</v>
      </c>
      <c r="G8" s="996" t="s">
        <v>47</v>
      </c>
      <c r="H8" s="996"/>
      <c r="I8" s="996"/>
      <c r="J8" s="996"/>
      <c r="L8" s="996" t="s">
        <v>33</v>
      </c>
      <c r="M8" s="996"/>
      <c r="N8" s="996"/>
      <c r="O8" s="996"/>
      <c r="Q8" s="534"/>
      <c r="R8" s="844"/>
    </row>
    <row r="9" spans="1:61" ht="9.75" customHeight="1" x14ac:dyDescent="0.25">
      <c r="F9" s="523"/>
      <c r="G9" s="535"/>
      <c r="H9" s="523"/>
      <c r="I9" s="523"/>
      <c r="J9" s="523"/>
      <c r="L9" s="535"/>
      <c r="M9" s="523"/>
      <c r="N9" s="523"/>
      <c r="O9" s="523"/>
      <c r="Q9" s="534"/>
      <c r="R9" s="844"/>
    </row>
    <row r="10" spans="1:61" outlineLevel="1" x14ac:dyDescent="0.25">
      <c r="B10" s="1003" t="s">
        <v>280</v>
      </c>
      <c r="C10" s="1003"/>
      <c r="D10" s="1003"/>
      <c r="F10" s="523" t="s">
        <v>280</v>
      </c>
      <c r="G10" s="540" t="s">
        <v>281</v>
      </c>
      <c r="H10" s="991" t="s">
        <v>282</v>
      </c>
      <c r="I10" s="992"/>
      <c r="J10" s="539" t="s">
        <v>38</v>
      </c>
      <c r="L10" s="540" t="s">
        <v>281</v>
      </c>
      <c r="M10" s="991" t="s">
        <v>282</v>
      </c>
      <c r="N10" s="992"/>
      <c r="O10" s="539" t="s">
        <v>38</v>
      </c>
      <c r="Q10" s="534"/>
      <c r="R10" s="844"/>
    </row>
    <row r="11" spans="1:61" outlineLevel="1" x14ac:dyDescent="0.25">
      <c r="B11" s="1003"/>
      <c r="C11" s="1003"/>
      <c r="D11" s="1003"/>
      <c r="F11" s="523"/>
      <c r="G11" s="556" t="s">
        <v>617</v>
      </c>
      <c r="H11" s="988" t="s">
        <v>618</v>
      </c>
      <c r="I11" s="989"/>
      <c r="J11" s="538">
        <v>2150000</v>
      </c>
      <c r="L11" s="556" t="s">
        <v>33</v>
      </c>
      <c r="M11" s="988"/>
      <c r="N11" s="989"/>
      <c r="O11" s="538"/>
      <c r="Q11" s="534"/>
      <c r="R11" s="844"/>
    </row>
    <row r="12" spans="1:61" outlineLevel="1" x14ac:dyDescent="0.25">
      <c r="B12" s="1003"/>
      <c r="C12" s="1003"/>
      <c r="D12" s="1003"/>
      <c r="F12" s="523"/>
      <c r="G12" s="557"/>
      <c r="H12" s="988" t="s">
        <v>643</v>
      </c>
      <c r="I12" s="989"/>
      <c r="J12" s="536" t="s">
        <v>619</v>
      </c>
      <c r="L12" s="557" t="s">
        <v>293</v>
      </c>
      <c r="M12" s="988"/>
      <c r="N12" s="989"/>
      <c r="O12" s="536"/>
      <c r="Q12" s="534"/>
      <c r="R12" s="844"/>
    </row>
    <row r="13" spans="1:61" outlineLevel="1" x14ac:dyDescent="0.25">
      <c r="B13" s="1003"/>
      <c r="C13" s="1003"/>
      <c r="D13" s="1003"/>
      <c r="F13" s="523"/>
      <c r="G13" s="557"/>
      <c r="H13" s="1000" t="s">
        <v>644</v>
      </c>
      <c r="I13" s="989"/>
      <c r="J13" s="536" t="s">
        <v>619</v>
      </c>
      <c r="L13" s="557"/>
      <c r="M13" s="988"/>
      <c r="N13" s="989"/>
      <c r="O13" s="536"/>
      <c r="Q13" s="534"/>
      <c r="R13" s="844"/>
    </row>
    <row r="14" spans="1:61" outlineLevel="1" x14ac:dyDescent="0.25">
      <c r="B14" s="1003"/>
      <c r="C14" s="1003"/>
      <c r="D14" s="1003"/>
      <c r="F14" s="523"/>
      <c r="G14" s="557"/>
      <c r="H14" s="1000"/>
      <c r="I14" s="989"/>
      <c r="J14" s="536"/>
      <c r="L14" s="557"/>
      <c r="M14" s="988"/>
      <c r="N14" s="989"/>
      <c r="O14" s="536"/>
      <c r="Q14" s="534"/>
      <c r="R14" s="844"/>
    </row>
    <row r="15" spans="1:61" outlineLevel="1" x14ac:dyDescent="0.25">
      <c r="B15" s="1003"/>
      <c r="C15" s="1003"/>
      <c r="D15" s="1003"/>
      <c r="F15" s="523"/>
      <c r="G15" s="557"/>
      <c r="H15" s="988"/>
      <c r="I15" s="989"/>
      <c r="J15" s="536"/>
      <c r="L15" s="557"/>
      <c r="M15" s="988"/>
      <c r="N15" s="989"/>
      <c r="O15" s="536"/>
      <c r="Q15" s="534"/>
    </row>
    <row r="16" spans="1:61" outlineLevel="1" x14ac:dyDescent="0.25">
      <c r="B16" s="1003"/>
      <c r="C16" s="1003"/>
      <c r="D16" s="1003"/>
      <c r="F16" s="523"/>
      <c r="G16" s="557" t="s">
        <v>616</v>
      </c>
      <c r="H16" s="988" t="s">
        <v>283</v>
      </c>
      <c r="I16" s="989"/>
      <c r="J16" s="536"/>
      <c r="L16" s="557" t="s">
        <v>259</v>
      </c>
      <c r="M16" s="1001" t="s">
        <v>283</v>
      </c>
      <c r="N16" s="1002"/>
      <c r="O16" s="536"/>
      <c r="Q16" s="534"/>
    </row>
    <row r="17" spans="2:30" ht="12" customHeight="1" outlineLevel="1" x14ac:dyDescent="0.25">
      <c r="B17" s="1003"/>
      <c r="C17" s="1003"/>
      <c r="D17" s="1003"/>
      <c r="F17" s="523"/>
      <c r="G17" s="523"/>
      <c r="Q17" s="534"/>
    </row>
    <row r="18" spans="2:30" ht="31.5" customHeight="1" x14ac:dyDescent="0.35">
      <c r="B18" s="1003"/>
      <c r="C18" s="1003"/>
      <c r="D18" s="1003"/>
      <c r="G18" t="s">
        <v>615</v>
      </c>
      <c r="I18" s="848" t="s">
        <v>299</v>
      </c>
      <c r="J18" s="810">
        <f>SUM(J11:J17)</f>
        <v>2150000</v>
      </c>
      <c r="L18" t="s">
        <v>615</v>
      </c>
      <c r="M18" s="577"/>
      <c r="N18" s="848" t="s">
        <v>299</v>
      </c>
      <c r="O18" s="580">
        <f>IF(Sammandrag!$H$6=0,SUM(O11:O16),0)</f>
        <v>0</v>
      </c>
      <c r="Q18" s="534"/>
    </row>
    <row r="19" spans="2:30" ht="8.25" customHeight="1" x14ac:dyDescent="0.25">
      <c r="F19" s="523"/>
      <c r="G19" s="523"/>
      <c r="H19" s="523"/>
      <c r="I19" s="523"/>
      <c r="J19" s="523"/>
      <c r="L19" s="523"/>
      <c r="M19" s="523"/>
      <c r="N19" s="523"/>
      <c r="O19" s="523"/>
      <c r="Q19" s="534"/>
    </row>
    <row r="20" spans="2:30" ht="15.75" outlineLevel="1" x14ac:dyDescent="0.25">
      <c r="B20" s="998" t="s">
        <v>300</v>
      </c>
      <c r="C20" s="998"/>
      <c r="D20" s="998"/>
      <c r="F20" s="523" t="s">
        <v>284</v>
      </c>
      <c r="G20" s="537">
        <v>7</v>
      </c>
      <c r="H20" s="523"/>
      <c r="I20" s="523"/>
      <c r="J20" s="523"/>
      <c r="L20" s="537">
        <v>7</v>
      </c>
      <c r="M20" s="523"/>
      <c r="N20" s="523"/>
      <c r="O20" s="523"/>
      <c r="Q20" s="534"/>
    </row>
    <row r="21" spans="2:30" ht="15.75" outlineLevel="1" x14ac:dyDescent="0.25">
      <c r="B21" s="998"/>
      <c r="C21" s="998"/>
      <c r="D21" s="998"/>
      <c r="F21" s="523" t="s">
        <v>286</v>
      </c>
      <c r="G21" s="576">
        <v>0.2</v>
      </c>
      <c r="H21" s="849">
        <f>+G21*J18</f>
        <v>430000</v>
      </c>
      <c r="I21" s="523"/>
      <c r="J21" s="523"/>
      <c r="L21" s="541">
        <v>0.2</v>
      </c>
      <c r="M21" s="523"/>
      <c r="N21" s="523"/>
      <c r="O21" s="523"/>
      <c r="Q21" s="534"/>
    </row>
    <row r="22" spans="2:30" ht="15.75" outlineLevel="1" x14ac:dyDescent="0.25">
      <c r="B22" s="998"/>
      <c r="C22" s="998"/>
      <c r="D22" s="998"/>
      <c r="F22" s="523" t="s">
        <v>285</v>
      </c>
      <c r="G22" s="578">
        <v>2.75E-2</v>
      </c>
      <c r="H22" s="523"/>
      <c r="I22" s="523"/>
      <c r="J22" s="523"/>
      <c r="L22" s="542">
        <f>G22</f>
        <v>2.75E-2</v>
      </c>
      <c r="M22" s="523"/>
      <c r="N22" s="523"/>
      <c r="O22" s="523"/>
    </row>
    <row r="23" spans="2:30" ht="15.75" outlineLevel="1" x14ac:dyDescent="0.25">
      <c r="B23" s="998"/>
      <c r="C23" s="998"/>
      <c r="D23" s="998"/>
      <c r="F23" s="523" t="s">
        <v>294</v>
      </c>
      <c r="G23" s="576">
        <v>0.5</v>
      </c>
      <c r="H23" t="s">
        <v>172</v>
      </c>
      <c r="J23" s="523"/>
      <c r="L23" s="541">
        <v>0.25</v>
      </c>
      <c r="M23" t="s">
        <v>172</v>
      </c>
      <c r="O23" s="523"/>
    </row>
    <row r="24" spans="2:30" ht="13.5" customHeight="1" outlineLevel="1" x14ac:dyDescent="0.25">
      <c r="B24" s="998"/>
      <c r="C24" s="998"/>
      <c r="D24" s="998"/>
      <c r="F24" s="565"/>
      <c r="G24" s="566">
        <f>1-G23</f>
        <v>0.5</v>
      </c>
      <c r="H24" s="523" t="s">
        <v>175</v>
      </c>
      <c r="I24" s="523"/>
      <c r="J24" s="523"/>
      <c r="L24" s="566">
        <f>1-L23</f>
        <v>0.75</v>
      </c>
      <c r="M24" s="523" t="s">
        <v>175</v>
      </c>
      <c r="N24" s="523"/>
    </row>
    <row r="25" spans="2:30" ht="13.5" customHeight="1" outlineLevel="1" x14ac:dyDescent="0.25">
      <c r="B25" s="998"/>
      <c r="C25" s="998"/>
      <c r="D25" s="998"/>
      <c r="F25" s="523" t="s">
        <v>301</v>
      </c>
      <c r="G25" s="579">
        <v>0.03</v>
      </c>
      <c r="H25" s="523"/>
      <c r="I25" s="523"/>
      <c r="J25" s="523"/>
      <c r="M25" s="523"/>
      <c r="N25" s="523"/>
    </row>
    <row r="26" spans="2:30" ht="13.5" customHeight="1" outlineLevel="1" x14ac:dyDescent="0.25">
      <c r="B26" s="998"/>
      <c r="C26" s="998"/>
      <c r="D26" s="998"/>
      <c r="F26" s="523" t="s">
        <v>302</v>
      </c>
      <c r="G26" s="579">
        <v>0.05</v>
      </c>
      <c r="H26" s="523"/>
      <c r="I26" s="523"/>
      <c r="J26" s="523"/>
      <c r="M26" s="523"/>
      <c r="N26" s="523"/>
    </row>
    <row r="27" spans="2:30" ht="16.5" customHeight="1" outlineLevel="1" x14ac:dyDescent="0.25">
      <c r="B27" s="998"/>
      <c r="C27" s="998"/>
      <c r="D27" s="998"/>
      <c r="F27" s="565" t="s">
        <v>309</v>
      </c>
      <c r="G27" s="537"/>
      <c r="H27" s="523"/>
      <c r="I27" s="523"/>
      <c r="J27" s="523"/>
      <c r="M27" s="523"/>
      <c r="N27" s="523"/>
    </row>
    <row r="28" spans="2:30" ht="16.5" customHeight="1" outlineLevel="1" x14ac:dyDescent="0.25">
      <c r="B28" s="998"/>
      <c r="C28" s="998"/>
      <c r="D28" s="998"/>
      <c r="F28" s="565" t="s">
        <v>629</v>
      </c>
      <c r="G28" s="845">
        <v>25.2</v>
      </c>
      <c r="H28" s="523" t="s">
        <v>645</v>
      </c>
      <c r="I28" s="523"/>
      <c r="J28" s="523"/>
      <c r="M28" s="523"/>
      <c r="N28" s="523"/>
    </row>
    <row r="29" spans="2:30" ht="16.5" customHeight="1" outlineLevel="1" x14ac:dyDescent="0.25">
      <c r="B29" s="998"/>
      <c r="C29" s="998"/>
      <c r="D29" s="998"/>
      <c r="F29" s="565" t="s">
        <v>628</v>
      </c>
      <c r="G29" s="537">
        <v>3.6</v>
      </c>
      <c r="H29" s="523" t="s">
        <v>646</v>
      </c>
      <c r="I29" s="523"/>
      <c r="J29" s="523"/>
      <c r="M29" s="523"/>
      <c r="N29" s="523"/>
    </row>
    <row r="30" spans="2:30" ht="30.75" customHeight="1" x14ac:dyDescent="0.25">
      <c r="B30" s="998"/>
      <c r="C30" s="998"/>
      <c r="D30" s="998"/>
      <c r="F30" s="565"/>
      <c r="G30" s="523"/>
      <c r="H30" s="523"/>
      <c r="I30" s="523"/>
      <c r="J30" s="523"/>
    </row>
    <row r="31" spans="2:30" ht="8.25" customHeight="1" x14ac:dyDescent="0.25">
      <c r="G31" s="523"/>
      <c r="H31" s="523"/>
      <c r="I31" s="523"/>
      <c r="J31" s="523"/>
    </row>
    <row r="32" spans="2:30" outlineLevel="1" x14ac:dyDescent="0.25">
      <c r="B32" s="999" t="s">
        <v>316</v>
      </c>
      <c r="C32" s="999"/>
      <c r="D32" s="999"/>
      <c r="G32" s="581" t="s">
        <v>290</v>
      </c>
      <c r="H32" s="581" t="s">
        <v>291</v>
      </c>
      <c r="I32" s="523"/>
      <c r="K32" s="581" t="s">
        <v>292</v>
      </c>
      <c r="L32" s="822" t="s">
        <v>556</v>
      </c>
      <c r="M32" s="822" t="s">
        <v>291</v>
      </c>
      <c r="O32" s="822" t="s">
        <v>597</v>
      </c>
      <c r="AD32">
        <v>5944.0785920329672</v>
      </c>
    </row>
    <row r="33" spans="2:30" ht="15.75" outlineLevel="1" x14ac:dyDescent="0.25">
      <c r="B33" s="999"/>
      <c r="C33" s="999"/>
      <c r="D33" s="999"/>
      <c r="F33" s="523" t="s">
        <v>288</v>
      </c>
      <c r="G33" s="537">
        <v>10</v>
      </c>
      <c r="H33" s="823">
        <f>+G33*H35</f>
        <v>50</v>
      </c>
      <c r="I33" s="824"/>
      <c r="K33" s="824">
        <f>+H33*$O$33</f>
        <v>2500</v>
      </c>
      <c r="L33" s="801">
        <f t="shared" ref="L33:L41" si="0">+K33/12</f>
        <v>208.33333333333334</v>
      </c>
      <c r="M33" s="778">
        <f t="shared" ref="M33:M41" si="1">+K33/$O$33</f>
        <v>50</v>
      </c>
      <c r="O33" s="537">
        <v>50</v>
      </c>
      <c r="AD33">
        <v>6568.2542074175817</v>
      </c>
    </row>
    <row r="34" spans="2:30" ht="15.75" outlineLevel="1" x14ac:dyDescent="0.25">
      <c r="B34" s="999"/>
      <c r="C34" s="999"/>
      <c r="D34" s="999"/>
      <c r="F34" s="523" t="s">
        <v>287</v>
      </c>
      <c r="G34" s="537">
        <v>20</v>
      </c>
      <c r="H34" s="823">
        <f>+G34*H35</f>
        <v>100</v>
      </c>
      <c r="I34" s="824"/>
      <c r="K34" s="824">
        <f>+H34*$O$33</f>
        <v>5000</v>
      </c>
      <c r="L34" s="801">
        <f t="shared" si="0"/>
        <v>416.66666666666669</v>
      </c>
      <c r="M34" s="778">
        <f t="shared" si="1"/>
        <v>100</v>
      </c>
    </row>
    <row r="35" spans="2:30" ht="15.75" outlineLevel="1" x14ac:dyDescent="0.25">
      <c r="B35" s="999"/>
      <c r="C35" s="999"/>
      <c r="D35" s="999"/>
      <c r="F35" s="523" t="s">
        <v>289</v>
      </c>
      <c r="G35" s="523"/>
      <c r="H35" s="537">
        <v>5</v>
      </c>
      <c r="I35" s="825"/>
      <c r="K35" s="824">
        <f>+H35*$O$33</f>
        <v>250</v>
      </c>
      <c r="L35" s="801">
        <f t="shared" si="0"/>
        <v>20.833333333333332</v>
      </c>
      <c r="M35" s="778">
        <f t="shared" si="1"/>
        <v>5</v>
      </c>
    </row>
    <row r="36" spans="2:30" ht="15.75" outlineLevel="1" x14ac:dyDescent="0.25">
      <c r="B36" s="999"/>
      <c r="C36" s="999"/>
      <c r="D36" s="999"/>
      <c r="F36" s="523" t="s">
        <v>295</v>
      </c>
      <c r="G36" s="576">
        <v>0.02</v>
      </c>
      <c r="H36" s="778">
        <f>+K36/$O$33</f>
        <v>1</v>
      </c>
      <c r="K36">
        <f>+G36*$K$33</f>
        <v>50</v>
      </c>
      <c r="L36" s="801">
        <f t="shared" si="0"/>
        <v>4.166666666666667</v>
      </c>
      <c r="M36" s="778">
        <f t="shared" si="1"/>
        <v>1</v>
      </c>
    </row>
    <row r="37" spans="2:30" ht="15.75" outlineLevel="1" x14ac:dyDescent="0.25">
      <c r="B37" s="999"/>
      <c r="C37" s="999"/>
      <c r="D37" s="999"/>
      <c r="F37" s="523" t="s">
        <v>296</v>
      </c>
      <c r="G37" s="576">
        <v>0</v>
      </c>
      <c r="H37" s="778">
        <f>+K37/$O$33</f>
        <v>0</v>
      </c>
      <c r="K37">
        <f>+G37*$K$33</f>
        <v>0</v>
      </c>
      <c r="L37" s="801">
        <f t="shared" si="0"/>
        <v>0</v>
      </c>
      <c r="M37" s="778">
        <f t="shared" si="1"/>
        <v>0</v>
      </c>
    </row>
    <row r="38" spans="2:30" ht="15.75" outlineLevel="1" x14ac:dyDescent="0.25">
      <c r="B38" s="999"/>
      <c r="C38" s="999"/>
      <c r="D38" s="999"/>
      <c r="F38" s="523" t="s">
        <v>297</v>
      </c>
      <c r="G38" s="576">
        <v>0</v>
      </c>
      <c r="H38" s="778">
        <f>+K38/$O$33</f>
        <v>0</v>
      </c>
      <c r="K38">
        <f>+G38*$K$33</f>
        <v>0</v>
      </c>
      <c r="L38" s="801">
        <f t="shared" si="0"/>
        <v>0</v>
      </c>
      <c r="M38" s="778">
        <f t="shared" si="1"/>
        <v>0</v>
      </c>
    </row>
    <row r="39" spans="2:30" ht="15.75" outlineLevel="1" x14ac:dyDescent="0.25">
      <c r="B39" s="999"/>
      <c r="C39" s="999"/>
      <c r="D39" s="999"/>
      <c r="F39" s="523" t="s">
        <v>653</v>
      </c>
      <c r="G39" s="537">
        <v>1</v>
      </c>
      <c r="H39" s="823">
        <f>+G39*$H$35</f>
        <v>5</v>
      </c>
      <c r="K39" s="824">
        <f>+H39*$O$33</f>
        <v>250</v>
      </c>
      <c r="L39" s="801">
        <f t="shared" ref="L39" si="2">+K39/12</f>
        <v>20.833333333333332</v>
      </c>
      <c r="M39" s="778">
        <f t="shared" ref="M39" si="3">+K39/$O$33</f>
        <v>5</v>
      </c>
    </row>
    <row r="40" spans="2:30" ht="15.75" outlineLevel="1" x14ac:dyDescent="0.25">
      <c r="B40" s="999"/>
      <c r="C40" s="999"/>
      <c r="D40" s="999"/>
      <c r="F40" s="523" t="s">
        <v>654</v>
      </c>
      <c r="G40" s="537">
        <v>2</v>
      </c>
      <c r="H40" s="823">
        <f>+G40*$H$35</f>
        <v>10</v>
      </c>
      <c r="K40" s="824">
        <f>+H40*$O$33</f>
        <v>500</v>
      </c>
      <c r="L40" s="801">
        <f t="shared" ref="L40" si="4">+K40/12</f>
        <v>41.666666666666664</v>
      </c>
      <c r="M40" s="778">
        <f t="shared" ref="M40" si="5">+K40/$O$33</f>
        <v>10</v>
      </c>
    </row>
    <row r="41" spans="2:30" ht="15.75" outlineLevel="1" x14ac:dyDescent="0.25">
      <c r="B41" s="999"/>
      <c r="C41" s="999"/>
      <c r="D41" s="999"/>
      <c r="F41" s="523" t="s">
        <v>298</v>
      </c>
      <c r="G41" s="579">
        <v>2.5000000000000001E-2</v>
      </c>
      <c r="H41" s="778">
        <f>+K41/$O$33</f>
        <v>1.25</v>
      </c>
      <c r="K41">
        <f>+G41*$K$33</f>
        <v>62.5</v>
      </c>
      <c r="L41" s="801">
        <f t="shared" si="0"/>
        <v>5.208333333333333</v>
      </c>
      <c r="M41" s="778">
        <f t="shared" si="1"/>
        <v>1.25</v>
      </c>
      <c r="N41" s="591"/>
    </row>
    <row r="42" spans="2:30" ht="31.5" customHeight="1" x14ac:dyDescent="0.25">
      <c r="B42" s="999"/>
      <c r="C42" s="999"/>
      <c r="D42" s="999"/>
    </row>
    <row r="43" spans="2:30" ht="8.25" customHeight="1" x14ac:dyDescent="0.25"/>
    <row r="44" spans="2:30" ht="21" customHeight="1" x14ac:dyDescent="0.35">
      <c r="B44" s="997" t="s">
        <v>303</v>
      </c>
      <c r="C44" s="997"/>
      <c r="D44" s="997"/>
      <c r="F44" s="585" t="s">
        <v>257</v>
      </c>
      <c r="G44" s="583">
        <f ca="1">Sammandrag!K15</f>
        <v>250</v>
      </c>
      <c r="I44" s="587" t="s">
        <v>612</v>
      </c>
      <c r="Q44" t="s">
        <v>569</v>
      </c>
      <c r="R44" t="s">
        <v>599</v>
      </c>
      <c r="S44" t="s">
        <v>600</v>
      </c>
    </row>
    <row r="45" spans="2:30" ht="21" customHeight="1" x14ac:dyDescent="0.35">
      <c r="B45" s="997"/>
      <c r="C45" s="997"/>
      <c r="D45" s="997"/>
      <c r="F45" s="587" t="s">
        <v>304</v>
      </c>
      <c r="G45" s="584">
        <f ca="1">Sammandrag!L15</f>
        <v>2500</v>
      </c>
      <c r="I45" s="587" t="s">
        <v>254</v>
      </c>
      <c r="K45" s="588">
        <f ca="1">Sammandrag!O15</f>
        <v>401.67549014285709</v>
      </c>
      <c r="M45" s="587" t="s">
        <v>613</v>
      </c>
      <c r="O45" s="794">
        <f ca="1">+G48/G44</f>
        <v>8033.5098028571419</v>
      </c>
      <c r="Q45" s="794">
        <f ca="1">+Sammandrag!E50</f>
        <v>1051.6485714285714</v>
      </c>
      <c r="R45" s="794">
        <f ca="1">+Sammandrag!F50</f>
        <v>2780.873</v>
      </c>
      <c r="S45" s="794">
        <f ca="1">+Sammandrag!G50</f>
        <v>4200.9882314285715</v>
      </c>
    </row>
    <row r="46" spans="2:30" ht="21" customHeight="1" x14ac:dyDescent="0.35">
      <c r="B46" s="997"/>
      <c r="C46" s="997"/>
      <c r="D46" s="997"/>
      <c r="F46" s="587" t="s">
        <v>305</v>
      </c>
      <c r="G46" s="584">
        <f ca="1">Sammandrag!M15</f>
        <v>5000</v>
      </c>
      <c r="I46" s="587" t="s">
        <v>255</v>
      </c>
      <c r="K46" s="588">
        <f ca="1">Sammandrag!P15</f>
        <v>803.35098028571417</v>
      </c>
      <c r="M46" s="587" t="s">
        <v>548</v>
      </c>
      <c r="O46" s="794">
        <f ca="1">+G48/O33</f>
        <v>40167.549014285709</v>
      </c>
      <c r="Q46" s="794">
        <f ca="1">+Sammandrag!E51</f>
        <v>5258.2428571428572</v>
      </c>
      <c r="R46" s="794">
        <f ca="1">+Sammandrag!F51</f>
        <v>13904.365</v>
      </c>
      <c r="S46" s="794">
        <f ca="1">+Sammandrag!G51</f>
        <v>21004.941157142854</v>
      </c>
    </row>
    <row r="47" spans="2:30" ht="21" customHeight="1" x14ac:dyDescent="0.35">
      <c r="B47" s="997"/>
      <c r="C47" s="997"/>
      <c r="D47" s="997"/>
      <c r="F47" s="586"/>
      <c r="I47" s="586" t="s">
        <v>308</v>
      </c>
      <c r="M47" s="587" t="s">
        <v>598</v>
      </c>
      <c r="O47" s="794">
        <f ca="1">+G48/12</f>
        <v>167364.7875595238</v>
      </c>
      <c r="Q47" s="794">
        <f ca="1">+Sammandrag!E52</f>
        <v>21909.345238095237</v>
      </c>
      <c r="R47" s="794">
        <f ca="1">+Sammandrag!F52</f>
        <v>57934.854166666664</v>
      </c>
      <c r="S47" s="794">
        <f ca="1">+Sammandrag!G52</f>
        <v>87520.588154761892</v>
      </c>
    </row>
    <row r="48" spans="2:30" ht="21" customHeight="1" x14ac:dyDescent="0.35">
      <c r="B48" s="997"/>
      <c r="C48" s="997"/>
      <c r="D48" s="997"/>
      <c r="F48" s="587" t="s">
        <v>306</v>
      </c>
      <c r="G48" s="584">
        <f ca="1">Sammandrag!N15</f>
        <v>2008377.4507142855</v>
      </c>
      <c r="I48" s="587" t="s">
        <v>255</v>
      </c>
      <c r="K48" s="582">
        <f ca="1">Sammandrag!Q15</f>
        <v>525.27</v>
      </c>
    </row>
    <row r="49" spans="2:25" ht="21" customHeight="1" x14ac:dyDescent="0.35">
      <c r="B49" s="997"/>
      <c r="C49" s="997"/>
      <c r="D49" s="997"/>
      <c r="I49" s="587" t="s">
        <v>254</v>
      </c>
      <c r="K49" s="582">
        <f ca="1">Sammandrag!R15</f>
        <v>139.04999999999998</v>
      </c>
    </row>
    <row r="50" spans="2:25" ht="21" customHeight="1" x14ac:dyDescent="0.25">
      <c r="B50" s="997"/>
      <c r="C50" s="997"/>
      <c r="D50" s="997"/>
    </row>
    <row r="51" spans="2:25" ht="46.5" customHeight="1" x14ac:dyDescent="0.25">
      <c r="B51" s="997"/>
      <c r="C51" s="997"/>
      <c r="D51" s="997"/>
      <c r="F51" s="809" t="s">
        <v>575</v>
      </c>
      <c r="G51" s="808" t="s">
        <v>323</v>
      </c>
      <c r="H51" s="807" t="s">
        <v>326</v>
      </c>
      <c r="I51" s="807" t="s">
        <v>580</v>
      </c>
      <c r="J51" s="807" t="s">
        <v>328</v>
      </c>
      <c r="K51" s="807" t="s">
        <v>327</v>
      </c>
      <c r="L51" s="808" t="s">
        <v>306</v>
      </c>
      <c r="M51" s="808" t="s">
        <v>573</v>
      </c>
      <c r="N51" s="808" t="s">
        <v>577</v>
      </c>
      <c r="O51" s="808" t="s">
        <v>572</v>
      </c>
      <c r="P51" s="808" t="s">
        <v>574</v>
      </c>
      <c r="Q51" s="808" t="s">
        <v>576</v>
      </c>
      <c r="R51" s="808" t="s">
        <v>579</v>
      </c>
      <c r="S51" s="808" t="s">
        <v>578</v>
      </c>
      <c r="T51" s="813" t="s">
        <v>581</v>
      </c>
      <c r="U51" s="813" t="s">
        <v>305</v>
      </c>
      <c r="V51" s="808" t="s">
        <v>604</v>
      </c>
      <c r="W51" s="808" t="s">
        <v>503</v>
      </c>
      <c r="X51" s="808" t="s">
        <v>508</v>
      </c>
      <c r="Y51" s="808" t="s">
        <v>512</v>
      </c>
    </row>
    <row r="52" spans="2:25" ht="25.5" customHeight="1" x14ac:dyDescent="0.25">
      <c r="B52" s="997"/>
      <c r="C52" s="997"/>
      <c r="D52" s="997"/>
      <c r="F52" s="837" t="str">
        <f ca="1">+Sammandrag!$J$15</f>
        <v>Kalkylbil 2022</v>
      </c>
      <c r="G52" s="838">
        <f ca="1">+Sammandrag!$U$15</f>
        <v>2150000</v>
      </c>
      <c r="H52" s="839">
        <f>$H$35</f>
        <v>5</v>
      </c>
      <c r="I52" s="840">
        <f>+K35</f>
        <v>250</v>
      </c>
      <c r="J52" s="839">
        <f>$G$33</f>
        <v>10</v>
      </c>
      <c r="K52" s="839">
        <f>$G$34</f>
        <v>20</v>
      </c>
      <c r="L52" s="841">
        <f ca="1">+Sammandrag!$N$15</f>
        <v>2008377.4507142855</v>
      </c>
      <c r="M52" s="841">
        <f ca="1">+Sammandrag!AA25</f>
        <v>1051.6485714285714</v>
      </c>
      <c r="N52" s="841">
        <f ca="1">+Sammandrag!E44</f>
        <v>262912.14285714284</v>
      </c>
      <c r="O52" s="841">
        <f ca="1">+Sammandrag!F44</f>
        <v>695218.25</v>
      </c>
      <c r="P52" s="841">
        <f ca="1">+Sammandrag!G44</f>
        <v>1050247.0578571428</v>
      </c>
      <c r="Q52" s="842">
        <f ca="1">+N52/L52</f>
        <v>0.13090773488003329</v>
      </c>
      <c r="R52" s="842">
        <f ca="1">+O52/L52</f>
        <v>0.34615915935161667</v>
      </c>
      <c r="S52" s="842">
        <f ca="1">+P52/L52</f>
        <v>0.52293310576835006</v>
      </c>
      <c r="T52" s="838">
        <f ca="1">+Sammandrag!$L$15</f>
        <v>2500</v>
      </c>
      <c r="U52" s="838">
        <f ca="1">+Sammandrag!$M$15</f>
        <v>5000</v>
      </c>
      <c r="V52" s="838">
        <f ca="1">+Sammandrag!$T$15</f>
        <v>92981</v>
      </c>
      <c r="W52" s="838">
        <f ca="1">+Sammandrag!$P$15</f>
        <v>803.35098028571417</v>
      </c>
      <c r="X52" s="843">
        <f ca="1">+Sammandrag!$O$15</f>
        <v>401.67549014285709</v>
      </c>
      <c r="Y52" s="838">
        <f ca="1">+Sammandrag!$S$15</f>
        <v>8033.5098028571419</v>
      </c>
    </row>
    <row r="53" spans="2:25" x14ac:dyDescent="0.25">
      <c r="B53" s="997"/>
      <c r="C53" s="997"/>
      <c r="D53" s="997"/>
      <c r="W53" s="781"/>
      <c r="X53" s="781"/>
      <c r="Y53" s="781"/>
    </row>
    <row r="54" spans="2:25" x14ac:dyDescent="0.25">
      <c r="B54" s="997"/>
      <c r="C54" s="997"/>
      <c r="D54" s="997"/>
    </row>
    <row r="55" spans="2:25" x14ac:dyDescent="0.25">
      <c r="B55" s="997"/>
      <c r="C55" s="997"/>
      <c r="D55" s="997"/>
      <c r="F55" t="s">
        <v>605</v>
      </c>
    </row>
    <row r="56" spans="2:25" ht="31.5" x14ac:dyDescent="0.25">
      <c r="B56" s="997"/>
      <c r="C56" s="997"/>
      <c r="D56" s="997"/>
      <c r="F56" s="809" t="s">
        <v>575</v>
      </c>
      <c r="G56" s="808" t="s">
        <v>323</v>
      </c>
      <c r="H56" s="807" t="s">
        <v>326</v>
      </c>
      <c r="I56" s="807" t="s">
        <v>580</v>
      </c>
      <c r="J56" s="807" t="s">
        <v>328</v>
      </c>
      <c r="K56" s="807" t="s">
        <v>327</v>
      </c>
      <c r="L56" s="808" t="s">
        <v>306</v>
      </c>
      <c r="M56" s="808" t="s">
        <v>573</v>
      </c>
      <c r="N56" s="808" t="s">
        <v>577</v>
      </c>
      <c r="O56" s="808" t="s">
        <v>572</v>
      </c>
      <c r="P56" s="808" t="s">
        <v>574</v>
      </c>
      <c r="Q56" s="808" t="s">
        <v>576</v>
      </c>
      <c r="R56" s="808" t="s">
        <v>579</v>
      </c>
      <c r="S56" s="808" t="s">
        <v>578</v>
      </c>
      <c r="T56" s="813" t="s">
        <v>581</v>
      </c>
      <c r="U56" s="813" t="s">
        <v>305</v>
      </c>
      <c r="V56" s="808" t="s">
        <v>604</v>
      </c>
      <c r="W56" s="808" t="s">
        <v>503</v>
      </c>
      <c r="X56" s="808" t="s">
        <v>508</v>
      </c>
      <c r="Y56" s="808" t="s">
        <v>512</v>
      </c>
    </row>
    <row r="57" spans="2:25" ht="18" x14ac:dyDescent="0.25">
      <c r="B57" s="997"/>
      <c r="C57" s="997"/>
      <c r="D57" s="997"/>
      <c r="F57" s="812"/>
      <c r="G57" s="803"/>
      <c r="H57" s="804"/>
      <c r="I57" s="811"/>
      <c r="J57" s="804"/>
      <c r="K57" s="804"/>
      <c r="L57" s="805"/>
      <c r="M57" s="805"/>
      <c r="N57" s="805"/>
      <c r="O57" s="805"/>
      <c r="P57" s="805"/>
      <c r="Q57" s="806"/>
      <c r="R57" s="806"/>
      <c r="S57" s="806"/>
      <c r="T57" s="805"/>
      <c r="U57" s="805"/>
      <c r="V57" s="805"/>
      <c r="W57" s="805"/>
      <c r="X57" s="805"/>
      <c r="Y57" s="805"/>
    </row>
    <row r="58" spans="2:25" ht="18" x14ac:dyDescent="0.25">
      <c r="B58" s="997"/>
      <c r="C58" s="997"/>
      <c r="D58" s="997"/>
      <c r="F58" s="812"/>
      <c r="G58" s="803"/>
      <c r="H58" s="804"/>
      <c r="I58" s="811"/>
      <c r="J58" s="804"/>
      <c r="K58" s="804"/>
      <c r="L58" s="805"/>
      <c r="M58" s="805"/>
      <c r="N58" s="805"/>
      <c r="O58" s="805"/>
      <c r="P58" s="805"/>
      <c r="Q58" s="806"/>
      <c r="R58" s="806"/>
      <c r="S58" s="806"/>
      <c r="T58" s="805"/>
      <c r="U58" s="805"/>
      <c r="V58" s="805"/>
      <c r="W58" s="805"/>
      <c r="X58" s="805"/>
      <c r="Y58" s="805"/>
    </row>
    <row r="59" spans="2:25" ht="18" x14ac:dyDescent="0.25">
      <c r="B59" s="997"/>
      <c r="C59" s="997"/>
      <c r="D59" s="997"/>
      <c r="F59" s="812"/>
      <c r="G59" s="803"/>
      <c r="H59" s="804"/>
      <c r="I59" s="811"/>
      <c r="J59" s="804"/>
      <c r="K59" s="804"/>
      <c r="L59" s="805"/>
      <c r="M59" s="805"/>
      <c r="N59" s="805"/>
      <c r="O59" s="805"/>
      <c r="P59" s="805"/>
      <c r="Q59" s="806"/>
      <c r="R59" s="806"/>
      <c r="S59" s="806"/>
      <c r="T59" s="805"/>
      <c r="U59" s="805"/>
      <c r="V59" s="805"/>
      <c r="W59" s="805"/>
      <c r="X59" s="805"/>
      <c r="Y59" s="805"/>
    </row>
    <row r="60" spans="2:25" ht="18" x14ac:dyDescent="0.25">
      <c r="B60" s="997"/>
      <c r="C60" s="997"/>
      <c r="D60" s="997"/>
      <c r="F60" s="812"/>
      <c r="G60" s="803"/>
      <c r="H60" s="804"/>
      <c r="I60" s="811"/>
      <c r="J60" s="804"/>
      <c r="K60" s="804"/>
      <c r="L60" s="805"/>
      <c r="M60" s="805"/>
      <c r="N60" s="805"/>
      <c r="O60" s="805"/>
      <c r="P60" s="805"/>
      <c r="Q60" s="806"/>
      <c r="R60" s="806"/>
      <c r="S60" s="806"/>
      <c r="T60" s="805"/>
      <c r="U60" s="805"/>
      <c r="V60" s="805"/>
      <c r="W60" s="805"/>
      <c r="X60" s="805"/>
      <c r="Y60" s="805"/>
    </row>
    <row r="61" spans="2:25" ht="18" x14ac:dyDescent="0.25">
      <c r="B61" s="997"/>
      <c r="C61" s="997"/>
      <c r="D61" s="997"/>
      <c r="F61" s="812"/>
      <c r="G61" s="803"/>
      <c r="H61" s="804"/>
      <c r="I61" s="811"/>
      <c r="J61" s="804"/>
      <c r="K61" s="804"/>
      <c r="L61" s="805"/>
      <c r="M61" s="805"/>
      <c r="N61" s="805"/>
      <c r="O61" s="805"/>
      <c r="P61" s="805"/>
      <c r="Q61" s="806"/>
      <c r="R61" s="806"/>
      <c r="S61" s="806"/>
      <c r="T61" s="805"/>
      <c r="U61" s="805"/>
      <c r="V61" s="805"/>
      <c r="W61" s="805"/>
      <c r="X61" s="805"/>
      <c r="Y61" s="805"/>
    </row>
    <row r="62" spans="2:25" ht="18" x14ac:dyDescent="0.25">
      <c r="B62" s="997"/>
      <c r="C62" s="997"/>
      <c r="D62" s="997"/>
      <c r="F62" s="812"/>
      <c r="G62" s="803"/>
      <c r="H62" s="804"/>
      <c r="I62" s="811"/>
      <c r="J62" s="804"/>
      <c r="K62" s="804"/>
      <c r="L62" s="805"/>
      <c r="M62" s="805"/>
      <c r="N62" s="805"/>
      <c r="O62" s="805"/>
      <c r="P62" s="805"/>
      <c r="Q62" s="806"/>
      <c r="R62" s="806"/>
      <c r="S62" s="806"/>
      <c r="T62" s="805"/>
      <c r="U62" s="805"/>
      <c r="V62" s="805"/>
      <c r="W62" s="805"/>
      <c r="X62" s="805"/>
      <c r="Y62" s="805"/>
    </row>
    <row r="63" spans="2:25" ht="18" x14ac:dyDescent="0.25">
      <c r="B63" s="997"/>
      <c r="C63" s="997"/>
      <c r="D63" s="997"/>
      <c r="F63" s="812"/>
      <c r="G63" s="803"/>
      <c r="H63" s="804"/>
      <c r="I63" s="811"/>
      <c r="J63" s="804"/>
      <c r="K63" s="804"/>
      <c r="L63" s="805"/>
      <c r="M63" s="805"/>
      <c r="N63" s="805"/>
      <c r="O63" s="805"/>
      <c r="P63" s="805"/>
      <c r="Q63" s="806"/>
      <c r="R63" s="806"/>
      <c r="S63" s="806"/>
      <c r="T63" s="805"/>
      <c r="U63" s="805"/>
      <c r="V63" s="805"/>
      <c r="W63" s="805"/>
      <c r="X63" s="805"/>
      <c r="Y63" s="805"/>
    </row>
    <row r="64" spans="2:25" ht="18" x14ac:dyDescent="0.25">
      <c r="B64" s="997"/>
      <c r="C64" s="997"/>
      <c r="D64" s="997"/>
      <c r="F64" s="812"/>
      <c r="G64" s="803"/>
      <c r="H64" s="804"/>
      <c r="I64" s="811"/>
      <c r="J64" s="804"/>
      <c r="K64" s="804"/>
      <c r="L64" s="805"/>
      <c r="M64" s="805"/>
      <c r="N64" s="805"/>
      <c r="O64" s="805"/>
      <c r="P64" s="805"/>
      <c r="Q64" s="806"/>
      <c r="R64" s="806"/>
      <c r="S64" s="806"/>
      <c r="T64" s="805"/>
      <c r="U64" s="805"/>
      <c r="V64" s="805"/>
      <c r="W64" s="805"/>
      <c r="X64" s="805"/>
      <c r="Y64" s="805"/>
    </row>
    <row r="65" spans="2:25" ht="18" x14ac:dyDescent="0.25">
      <c r="B65" s="997"/>
      <c r="C65" s="997"/>
      <c r="D65" s="997"/>
      <c r="F65" s="812"/>
      <c r="G65" s="803"/>
      <c r="H65" s="804"/>
      <c r="I65" s="811"/>
      <c r="J65" s="804"/>
      <c r="K65" s="804"/>
      <c r="L65" s="805"/>
      <c r="M65" s="805"/>
      <c r="N65" s="805"/>
      <c r="O65" s="805"/>
      <c r="P65" s="805"/>
      <c r="Q65" s="806"/>
      <c r="R65" s="806"/>
      <c r="S65" s="806"/>
      <c r="T65" s="805"/>
      <c r="U65" s="805"/>
      <c r="V65" s="805"/>
      <c r="W65" s="805"/>
      <c r="X65" s="805"/>
      <c r="Y65" s="805"/>
    </row>
    <row r="66" spans="2:25" ht="18" x14ac:dyDescent="0.25">
      <c r="B66" s="997"/>
      <c r="C66" s="997"/>
      <c r="D66" s="997"/>
      <c r="F66" s="802"/>
      <c r="G66" s="803"/>
      <c r="H66" s="804"/>
      <c r="I66" s="811"/>
      <c r="J66" s="804"/>
      <c r="K66" s="804"/>
      <c r="L66" s="805"/>
      <c r="M66" s="805"/>
      <c r="N66" s="805"/>
      <c r="O66" s="805"/>
      <c r="P66" s="805"/>
      <c r="Q66" s="806"/>
      <c r="R66" s="806"/>
      <c r="S66" s="806"/>
      <c r="T66" s="805"/>
      <c r="U66" s="805"/>
      <c r="V66" s="805"/>
      <c r="W66" s="805"/>
      <c r="X66" s="805"/>
      <c r="Y66" s="805"/>
    </row>
    <row r="67" spans="2:25" ht="18" x14ac:dyDescent="0.25">
      <c r="B67" s="997"/>
      <c r="C67" s="997"/>
      <c r="D67" s="997"/>
      <c r="F67" s="812" t="s">
        <v>606</v>
      </c>
      <c r="G67" s="803">
        <f>SUM(G57:G66)</f>
        <v>0</v>
      </c>
      <c r="H67" s="804">
        <f>SUM(H57:H66)</f>
        <v>0</v>
      </c>
      <c r="I67" s="804">
        <f t="shared" ref="I67:P67" si="6">SUM(I57:I66)</f>
        <v>0</v>
      </c>
      <c r="J67" s="804">
        <f t="shared" si="6"/>
        <v>0</v>
      </c>
      <c r="K67" s="804">
        <f t="shared" si="6"/>
        <v>0</v>
      </c>
      <c r="L67" s="803">
        <f t="shared" si="6"/>
        <v>0</v>
      </c>
      <c r="M67" s="803">
        <f>SUM(M57:M66)</f>
        <v>0</v>
      </c>
      <c r="N67" s="803">
        <f t="shared" si="6"/>
        <v>0</v>
      </c>
      <c r="O67" s="803">
        <f t="shared" si="6"/>
        <v>0</v>
      </c>
      <c r="P67" s="803">
        <f t="shared" si="6"/>
        <v>0</v>
      </c>
      <c r="Q67" s="806">
        <v>0.19116535139857299</v>
      </c>
      <c r="R67" s="806">
        <v>0.36523426014553761</v>
      </c>
      <c r="S67" s="806">
        <v>0.4436003884558895</v>
      </c>
      <c r="T67" s="803">
        <f>SUM(T57:T66)</f>
        <v>0</v>
      </c>
      <c r="U67" s="803">
        <f>SUM(U57:U66)</f>
        <v>0</v>
      </c>
      <c r="V67" s="803">
        <f>SUM(V57:V66)</f>
        <v>0</v>
      </c>
      <c r="W67" s="835" t="e">
        <f>+L67/T67</f>
        <v>#DIV/0!</v>
      </c>
      <c r="X67" s="835" t="e">
        <f>+L67/U67</f>
        <v>#DIV/0!</v>
      </c>
      <c r="Y67" s="835" t="e">
        <f>+L67/I67</f>
        <v>#DIV/0!</v>
      </c>
    </row>
  </sheetData>
  <mergeCells count="23">
    <mergeCell ref="B44:D67"/>
    <mergeCell ref="B20:D30"/>
    <mergeCell ref="B32:D42"/>
    <mergeCell ref="H11:I11"/>
    <mergeCell ref="M11:N11"/>
    <mergeCell ref="M12:N12"/>
    <mergeCell ref="M13:N13"/>
    <mergeCell ref="M14:N14"/>
    <mergeCell ref="M15:N15"/>
    <mergeCell ref="H12:I12"/>
    <mergeCell ref="H13:I13"/>
    <mergeCell ref="H14:I14"/>
    <mergeCell ref="H16:I16"/>
    <mergeCell ref="M16:N16"/>
    <mergeCell ref="B10:D18"/>
    <mergeCell ref="M10:N10"/>
    <mergeCell ref="H15:I15"/>
    <mergeCell ref="M4:O4"/>
    <mergeCell ref="H10:I10"/>
    <mergeCell ref="G4:J4"/>
    <mergeCell ref="G6:J6"/>
    <mergeCell ref="G8:J8"/>
    <mergeCell ref="L8:O8"/>
  </mergeCells>
  <phoneticPr fontId="68" type="noConversion"/>
  <conditionalFormatting sqref="AC1:AC3 AB36:AB41 Z42:Z50 AC51:AC1048576 AA4:AA27 AA29:AA35">
    <cfRule type="containsText" dxfId="18" priority="1" operator="containsText" text="Saknas">
      <formula>NOT(ISERROR(SEARCH("Saknas",Z1)))</formula>
    </cfRule>
    <cfRule type="containsText" dxfId="17" priority="2" operator="containsText" text="Träff">
      <formula>NOT(ISERROR(SEARCH("Träff",Z1)))</formula>
    </cfRule>
  </conditionalFormatting>
  <dataValidations count="1">
    <dataValidation type="list" allowBlank="1" showInputMessage="1" showErrorMessage="1" sqref="M4:O4" xr:uid="{CCFCC237-0DB1-4161-BC0B-4115A1045991}">
      <formula1>$R$4:$R$5</formula1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5999-5FB7-4EFD-869D-F47D1B0AE7CB}">
  <sheetPr codeName="Sheet1">
    <tabColor theme="2" tint="-0.749992370372631"/>
  </sheetPr>
  <dimension ref="A1:BT102"/>
  <sheetViews>
    <sheetView showGridLines="0" zoomScale="70" zoomScaleNormal="70" workbookViewId="0">
      <selection activeCell="AA11" sqref="AA11"/>
    </sheetView>
  </sheetViews>
  <sheetFormatPr defaultRowHeight="15" outlineLevelCol="1" x14ac:dyDescent="0.25"/>
  <cols>
    <col min="1" max="1" width="3.28515625" customWidth="1"/>
    <col min="2" max="4" width="7.5703125" customWidth="1"/>
    <col min="5" max="5" width="1.28515625" customWidth="1"/>
    <col min="6" max="6" width="14.85546875" customWidth="1"/>
    <col min="7" max="8" width="14.28515625" customWidth="1"/>
    <col min="9" max="9" width="36.7109375" customWidth="1"/>
    <col min="10" max="14" width="16.5703125" customWidth="1" outlineLevel="1"/>
    <col min="15" max="15" width="16" customWidth="1" outlineLevel="1"/>
    <col min="16" max="16" width="16.5703125" customWidth="1"/>
    <col min="17" max="17" width="20" customWidth="1"/>
    <col min="18" max="18" width="15.5703125" customWidth="1"/>
    <col min="19" max="21" width="11.140625" customWidth="1"/>
    <col min="22" max="22" width="25.85546875" customWidth="1"/>
    <col min="23" max="26" width="13.85546875" customWidth="1" outlineLevel="1"/>
    <col min="27" max="27" width="19.7109375" customWidth="1" outlineLevel="1"/>
    <col min="28" max="28" width="20" customWidth="1" outlineLevel="1"/>
    <col min="29" max="30" width="12.85546875" customWidth="1" outlineLevel="1"/>
    <col min="31" max="31" width="12" customWidth="1"/>
    <col min="32" max="32" width="13.5703125" customWidth="1"/>
    <col min="33" max="33" width="15.5703125" customWidth="1"/>
    <col min="34" max="34" width="17.7109375" customWidth="1"/>
    <col min="35" max="35" width="21.140625" customWidth="1"/>
    <col min="36" max="36" width="16.5703125" customWidth="1"/>
    <col min="37" max="37" width="15.85546875" customWidth="1"/>
    <col min="38" max="38" width="17.42578125" customWidth="1"/>
    <col min="39" max="39" width="32.5703125" customWidth="1"/>
    <col min="40" max="40" width="15.85546875" customWidth="1"/>
    <col min="41" max="41" width="12" customWidth="1"/>
    <col min="42" max="42" width="12.85546875" customWidth="1"/>
  </cols>
  <sheetData>
    <row r="1" spans="1:72" ht="87" customHeight="1" x14ac:dyDescent="0.25">
      <c r="A1" s="533"/>
      <c r="B1" s="533"/>
      <c r="C1" s="533"/>
      <c r="D1" s="533"/>
      <c r="E1" s="533"/>
      <c r="F1" s="533"/>
      <c r="G1" s="533"/>
      <c r="H1" s="533"/>
      <c r="I1" s="533"/>
      <c r="J1" s="533"/>
      <c r="K1" s="533"/>
      <c r="L1" s="533"/>
      <c r="M1" s="533"/>
      <c r="N1" s="533"/>
      <c r="O1" s="533"/>
      <c r="P1" s="533"/>
      <c r="Q1" s="533"/>
      <c r="R1" s="533"/>
      <c r="S1" s="533"/>
      <c r="T1" s="533"/>
      <c r="U1" s="533"/>
      <c r="V1" s="533"/>
      <c r="W1" s="533"/>
      <c r="X1" s="533"/>
      <c r="Y1" s="533"/>
      <c r="Z1" s="533"/>
      <c r="AA1" s="533"/>
      <c r="AB1" s="533"/>
      <c r="AC1" s="533"/>
      <c r="AD1" s="533"/>
      <c r="AE1" s="533"/>
      <c r="AF1" s="533"/>
      <c r="AG1" s="533"/>
      <c r="AH1" s="533"/>
      <c r="AI1" s="533"/>
      <c r="AJ1" s="533"/>
      <c r="AK1" s="533"/>
      <c r="AL1" s="533"/>
      <c r="AM1" s="533"/>
      <c r="AN1" s="533"/>
      <c r="AO1" s="533"/>
      <c r="AP1" s="533"/>
      <c r="AQ1" s="533"/>
      <c r="AR1" s="533"/>
      <c r="AS1" s="533"/>
      <c r="AT1" s="533"/>
      <c r="AU1" s="533"/>
      <c r="AV1" s="533"/>
      <c r="AW1" s="533"/>
      <c r="AX1" s="533"/>
      <c r="AY1" s="533"/>
      <c r="AZ1" s="533"/>
      <c r="BA1" s="533"/>
      <c r="BB1" s="533"/>
      <c r="BC1" s="533"/>
      <c r="BD1" s="533"/>
      <c r="BE1" s="533"/>
      <c r="BF1" s="533"/>
      <c r="BG1" s="533"/>
      <c r="BH1" s="533"/>
      <c r="BI1" s="533"/>
      <c r="BJ1" s="533"/>
      <c r="BK1" s="533"/>
      <c r="BL1" s="533"/>
      <c r="BM1" s="533"/>
      <c r="BN1" s="533"/>
      <c r="BO1" s="533"/>
      <c r="BP1" s="533"/>
      <c r="BQ1" s="533"/>
      <c r="BR1" s="533"/>
      <c r="BS1" s="533"/>
      <c r="BT1" s="533"/>
    </row>
    <row r="2" spans="1:72" ht="3.95" customHeight="1" x14ac:dyDescent="0.25"/>
    <row r="3" spans="1:72" ht="3.95" customHeight="1" x14ac:dyDescent="0.25"/>
    <row r="4" spans="1:72" ht="21" customHeight="1" x14ac:dyDescent="0.35">
      <c r="F4" s="523" t="s">
        <v>321</v>
      </c>
      <c r="G4" s="993" t="s">
        <v>587</v>
      </c>
      <c r="H4" s="994"/>
      <c r="I4" s="994"/>
      <c r="J4" s="994"/>
      <c r="K4" s="994"/>
      <c r="L4" s="994"/>
      <c r="M4" s="994"/>
      <c r="N4" s="994"/>
      <c r="O4" s="994"/>
      <c r="P4" s="994"/>
      <c r="Q4" s="994"/>
      <c r="R4" s="994"/>
      <c r="S4" s="994"/>
      <c r="T4" s="994"/>
      <c r="U4" s="995"/>
    </row>
    <row r="5" spans="1:72" ht="8.25" customHeight="1" x14ac:dyDescent="0.25">
      <c r="G5" s="535"/>
      <c r="H5" s="535"/>
      <c r="I5" s="535"/>
      <c r="J5" s="535"/>
      <c r="K5" s="535"/>
      <c r="L5" s="535"/>
      <c r="M5" s="535"/>
      <c r="N5" s="535"/>
      <c r="O5" s="535"/>
      <c r="P5" s="535"/>
      <c r="Q5" s="535"/>
      <c r="R5" s="535"/>
      <c r="S5" s="523"/>
      <c r="T5" s="523"/>
      <c r="U5" s="523"/>
    </row>
    <row r="6" spans="1:72" ht="21" customHeight="1" x14ac:dyDescent="0.35">
      <c r="F6" s="523" t="s">
        <v>550</v>
      </c>
      <c r="G6" s="993">
        <v>2021</v>
      </c>
      <c r="H6" s="994"/>
      <c r="I6" s="994"/>
      <c r="J6" s="994"/>
      <c r="K6" s="994"/>
      <c r="L6" s="994"/>
      <c r="M6" s="994"/>
      <c r="N6" s="994"/>
      <c r="O6" s="994"/>
      <c r="P6" s="994"/>
      <c r="Q6" s="994"/>
      <c r="R6" s="994"/>
      <c r="S6" s="994"/>
      <c r="T6" s="994"/>
      <c r="U6" s="995"/>
    </row>
    <row r="7" spans="1:72" ht="8.25" customHeight="1" x14ac:dyDescent="0.25">
      <c r="F7" s="523"/>
      <c r="G7" s="523"/>
      <c r="H7" s="523"/>
      <c r="I7" s="523"/>
      <c r="J7" s="523"/>
      <c r="K7" s="523"/>
      <c r="L7" s="523"/>
      <c r="M7" s="523"/>
      <c r="N7" s="523"/>
      <c r="O7" s="523"/>
      <c r="P7" s="523"/>
      <c r="Q7" s="523"/>
      <c r="R7" s="523"/>
      <c r="S7" s="523"/>
      <c r="T7" s="523"/>
      <c r="U7" s="523"/>
      <c r="AB7" s="534"/>
    </row>
    <row r="9" spans="1:72" ht="38.25" customHeight="1" x14ac:dyDescent="0.25">
      <c r="B9" s="1004" t="s">
        <v>551</v>
      </c>
      <c r="C9" s="1004"/>
      <c r="D9" s="1004"/>
      <c r="G9" t="s">
        <v>307</v>
      </c>
      <c r="S9" s="818" t="s">
        <v>595</v>
      </c>
      <c r="T9" s="821"/>
      <c r="U9" s="821"/>
      <c r="V9" s="821"/>
      <c r="W9" s="821"/>
      <c r="X9" s="821"/>
      <c r="Y9" s="821"/>
      <c r="Z9" s="821"/>
      <c r="AA9" s="821"/>
      <c r="AB9" s="821"/>
      <c r="AC9" s="821" t="s">
        <v>329</v>
      </c>
      <c r="AD9" s="821"/>
      <c r="AE9" s="821"/>
      <c r="AF9" s="821"/>
      <c r="AG9" s="821"/>
      <c r="AH9" s="821"/>
    </row>
    <row r="10" spans="1:72" ht="41.25" customHeight="1" x14ac:dyDescent="0.25">
      <c r="B10" s="1004"/>
      <c r="C10" s="1004"/>
      <c r="D10" s="1004"/>
      <c r="F10" s="593" t="s">
        <v>258</v>
      </c>
      <c r="G10" s="593" t="s">
        <v>325</v>
      </c>
      <c r="H10" s="593" t="s">
        <v>33</v>
      </c>
      <c r="I10" s="593" t="s">
        <v>471</v>
      </c>
      <c r="J10" s="593" t="s">
        <v>545</v>
      </c>
      <c r="K10" s="593" t="s">
        <v>547</v>
      </c>
      <c r="L10" s="593" t="s">
        <v>539</v>
      </c>
      <c r="M10" s="593" t="s">
        <v>533</v>
      </c>
      <c r="N10" s="593" t="s">
        <v>546</v>
      </c>
      <c r="O10" s="593" t="s">
        <v>591</v>
      </c>
      <c r="P10" s="796" t="s">
        <v>487</v>
      </c>
      <c r="Q10" s="815" t="s">
        <v>588</v>
      </c>
      <c r="R10" s="815" t="s">
        <v>503</v>
      </c>
      <c r="S10" s="795" t="s">
        <v>326</v>
      </c>
      <c r="T10" s="819" t="s">
        <v>328</v>
      </c>
      <c r="U10" s="819" t="s">
        <v>327</v>
      </c>
      <c r="V10" s="820" t="s">
        <v>278</v>
      </c>
      <c r="W10" s="820" t="s">
        <v>257</v>
      </c>
      <c r="X10" s="615" t="s">
        <v>304</v>
      </c>
      <c r="Y10" s="615" t="s">
        <v>305</v>
      </c>
      <c r="Z10" s="615" t="s">
        <v>306</v>
      </c>
      <c r="AA10" s="615" t="s">
        <v>252</v>
      </c>
      <c r="AB10" s="615" t="s">
        <v>253</v>
      </c>
      <c r="AC10" s="615" t="s">
        <v>549</v>
      </c>
      <c r="AD10" s="615" t="s">
        <v>254</v>
      </c>
      <c r="AE10" s="615" t="s">
        <v>256</v>
      </c>
      <c r="AF10" s="615" t="s">
        <v>322</v>
      </c>
      <c r="AG10" s="615" t="s">
        <v>323</v>
      </c>
      <c r="AH10" s="615" t="s">
        <v>472</v>
      </c>
      <c r="AI10" s="817" t="s">
        <v>476</v>
      </c>
      <c r="AJ10" s="615" t="s">
        <v>477</v>
      </c>
      <c r="AK10" s="615" t="s">
        <v>478</v>
      </c>
      <c r="AL10" s="615" t="s">
        <v>488</v>
      </c>
    </row>
    <row r="11" spans="1:72" ht="24.75" customHeight="1" x14ac:dyDescent="0.25">
      <c r="B11" s="1004"/>
      <c r="C11" s="1004"/>
      <c r="D11" s="1004"/>
      <c r="F11" t="s">
        <v>552</v>
      </c>
      <c r="K11" s="783"/>
      <c r="L11" s="793"/>
      <c r="M11" s="793"/>
      <c r="N11" s="783"/>
      <c r="O11" s="783"/>
      <c r="P11" s="783" t="s">
        <v>489</v>
      </c>
      <c r="Q11" s="816"/>
      <c r="R11" s="816"/>
      <c r="S11">
        <v>5</v>
      </c>
      <c r="T11">
        <v>8</v>
      </c>
      <c r="U11">
        <v>20</v>
      </c>
      <c r="V11" t="s">
        <v>596</v>
      </c>
      <c r="W11" s="519">
        <v>260</v>
      </c>
      <c r="X11" s="519">
        <v>2080</v>
      </c>
      <c r="Y11" s="519">
        <v>5200</v>
      </c>
      <c r="Z11" s="616"/>
      <c r="AA11" s="592"/>
      <c r="AB11" s="592"/>
      <c r="AC11" s="592"/>
      <c r="AD11" s="592"/>
      <c r="AE11" s="519"/>
      <c r="AF11" s="519"/>
      <c r="AG11" s="519"/>
      <c r="AH11" s="519" t="s">
        <v>311</v>
      </c>
      <c r="AI11" s="519">
        <f>IFERROR(SUM(Table1[[#This Row],[SEK/Tur]]*Table1[[#This Row],[Tur/Vecka]]),"")</f>
        <v>0</v>
      </c>
      <c r="AJ11" s="519">
        <f>IFERROR(SUM(Table1[[#This Row],[Tur/Vecka]]*Table1[[#This Row],[Tim/Tur]]),"")</f>
        <v>40</v>
      </c>
      <c r="AK11" s="519">
        <f>IFERROR(SUM(Table1[[#This Row],[Tur/Vecka]]*Table1[[#This Row],[Mil/Tur]]),"")</f>
        <v>100</v>
      </c>
      <c r="AL11" s="519">
        <v>1</v>
      </c>
    </row>
    <row r="12" spans="1:72" x14ac:dyDescent="0.25">
      <c r="B12" s="1004"/>
      <c r="C12" s="1004"/>
      <c r="D12" s="1004"/>
      <c r="F12" t="s">
        <v>552</v>
      </c>
      <c r="K12" s="783"/>
      <c r="L12" s="793"/>
      <c r="M12" s="793"/>
      <c r="N12" s="783"/>
      <c r="O12" s="783"/>
      <c r="P12" s="783" t="s">
        <v>370</v>
      </c>
      <c r="Q12" s="816"/>
      <c r="R12" s="816"/>
      <c r="X12" s="519"/>
      <c r="Y12" s="519"/>
      <c r="Z12" s="519"/>
      <c r="AA12" s="592"/>
      <c r="AB12" s="592"/>
      <c r="AC12" s="592"/>
      <c r="AD12" s="592"/>
      <c r="AE12" s="519"/>
      <c r="AF12" s="519"/>
      <c r="AG12" s="519"/>
      <c r="AH12" s="519"/>
      <c r="AI12" s="519">
        <f>IFERROR(SUM(Table1[[#This Row],[SEK/Tur]]*Table1[[#This Row],[Tur/Vecka]]),"")</f>
        <v>0</v>
      </c>
      <c r="AJ12" s="519">
        <f>IFERROR(SUM(Table1[[#This Row],[Tur/Vecka]]*Table1[[#This Row],[Tim/Tur]]),"")</f>
        <v>0</v>
      </c>
      <c r="AK12" s="519">
        <f>IFERROR(SUM(Table1[[#This Row],[Tur/Vecka]]*Table1[[#This Row],[Mil/Tur]]),"")</f>
        <v>0</v>
      </c>
      <c r="AL12" s="519">
        <v>2</v>
      </c>
    </row>
    <row r="13" spans="1:72" x14ac:dyDescent="0.25">
      <c r="B13" s="1004"/>
      <c r="C13" s="1004"/>
      <c r="D13" s="1004"/>
      <c r="F13" t="s">
        <v>552</v>
      </c>
      <c r="K13" s="783"/>
      <c r="L13" s="793"/>
      <c r="M13" s="793"/>
      <c r="N13" s="783"/>
      <c r="O13" s="783"/>
      <c r="P13" s="783" t="s">
        <v>374</v>
      </c>
      <c r="Q13" s="816"/>
      <c r="R13" s="816"/>
      <c r="X13" s="519"/>
      <c r="Y13" s="519"/>
      <c r="Z13" s="519"/>
      <c r="AA13" s="592"/>
      <c r="AB13" s="592"/>
      <c r="AC13" s="592"/>
      <c r="AD13" s="592"/>
      <c r="AE13" s="519"/>
      <c r="AF13" s="519"/>
      <c r="AG13" s="519"/>
      <c r="AH13" s="519"/>
      <c r="AI13" s="519">
        <f>IFERROR(SUM(Table1[[#This Row],[SEK/Tur]]*Table1[[#This Row],[Tur/Vecka]]),"")</f>
        <v>0</v>
      </c>
      <c r="AJ13" s="519">
        <f>IFERROR(SUM(Table1[[#This Row],[Tur/Vecka]]*Table1[[#This Row],[Tim/Tur]]),"")</f>
        <v>0</v>
      </c>
      <c r="AK13" s="519">
        <f>IFERROR(SUM(Table1[[#This Row],[Tur/Vecka]]*Table1[[#This Row],[Mil/Tur]]),"")</f>
        <v>0</v>
      </c>
      <c r="AL13" s="519">
        <v>3</v>
      </c>
    </row>
    <row r="14" spans="1:72" x14ac:dyDescent="0.25">
      <c r="B14" s="1004"/>
      <c r="C14" s="1004"/>
      <c r="D14" s="1004"/>
      <c r="F14" t="s">
        <v>552</v>
      </c>
      <c r="K14" s="783"/>
      <c r="L14" s="793"/>
      <c r="M14" s="793"/>
      <c r="N14" s="783"/>
      <c r="O14" s="783"/>
      <c r="P14" s="783" t="s">
        <v>490</v>
      </c>
      <c r="Q14" s="816"/>
      <c r="R14" s="816"/>
      <c r="X14" s="519"/>
      <c r="Y14" s="519"/>
      <c r="Z14" s="519"/>
      <c r="AA14" s="592"/>
      <c r="AB14" s="592"/>
      <c r="AC14" s="592"/>
      <c r="AD14" s="592"/>
      <c r="AE14" s="519"/>
      <c r="AF14" s="519"/>
      <c r="AG14" s="519"/>
      <c r="AH14" s="519"/>
      <c r="AI14" s="519">
        <f>IFERROR(SUM(Table1[[#This Row],[SEK/Tur]]*Table1[[#This Row],[Tur/Vecka]]),"")</f>
        <v>0</v>
      </c>
      <c r="AJ14" s="519">
        <f>IFERROR(SUM(Table1[[#This Row],[Tur/Vecka]]*Table1[[#This Row],[Tim/Tur]]),"")</f>
        <v>0</v>
      </c>
      <c r="AK14" s="519">
        <f>IFERROR(SUM(Table1[[#This Row],[Tur/Vecka]]*Table1[[#This Row],[Mil/Tur]]),"")</f>
        <v>0</v>
      </c>
      <c r="AL14" s="519">
        <v>4</v>
      </c>
    </row>
    <row r="15" spans="1:72" x14ac:dyDescent="0.25">
      <c r="B15" s="1004"/>
      <c r="C15" s="1004"/>
      <c r="D15" s="1004"/>
      <c r="F15" t="s">
        <v>552</v>
      </c>
      <c r="K15" s="783"/>
      <c r="L15" s="793"/>
      <c r="M15" s="793"/>
      <c r="N15" s="783"/>
      <c r="O15" s="783"/>
      <c r="P15" s="783" t="s">
        <v>491</v>
      </c>
      <c r="Q15" s="816"/>
      <c r="R15" s="816"/>
      <c r="X15" s="519"/>
      <c r="Y15" s="519"/>
      <c r="Z15" s="519"/>
      <c r="AA15" s="592"/>
      <c r="AB15" s="592"/>
      <c r="AC15" s="592"/>
      <c r="AD15" s="592"/>
      <c r="AE15" s="519"/>
      <c r="AF15" s="519"/>
      <c r="AG15" s="519"/>
      <c r="AH15" s="519"/>
      <c r="AI15" s="519">
        <f>IFERROR(SUM(Table1[[#This Row],[SEK/Tur]]*Table1[[#This Row],[Tur/Vecka]]),"")</f>
        <v>0</v>
      </c>
      <c r="AJ15" s="519">
        <f>IFERROR(SUM(Table1[[#This Row],[Tur/Vecka]]*Table1[[#This Row],[Tim/Tur]]),"")</f>
        <v>0</v>
      </c>
      <c r="AK15" s="519">
        <f>IFERROR(SUM(Table1[[#This Row],[Tur/Vecka]]*Table1[[#This Row],[Mil/Tur]]),"")</f>
        <v>0</v>
      </c>
      <c r="AL15" s="519">
        <v>5</v>
      </c>
    </row>
    <row r="16" spans="1:72" x14ac:dyDescent="0.25">
      <c r="B16" s="1004"/>
      <c r="C16" s="1004"/>
      <c r="D16" s="1004"/>
      <c r="F16" t="s">
        <v>552</v>
      </c>
      <c r="K16" s="783"/>
      <c r="L16" s="793"/>
      <c r="M16" s="793"/>
      <c r="N16" s="783"/>
      <c r="O16" s="783"/>
      <c r="P16" s="783" t="s">
        <v>492</v>
      </c>
      <c r="Q16" s="816"/>
      <c r="R16" s="816"/>
      <c r="X16" s="519"/>
      <c r="Y16" s="519"/>
      <c r="Z16" s="519"/>
      <c r="AA16" s="592"/>
      <c r="AB16" s="592"/>
      <c r="AC16" s="592"/>
      <c r="AD16" s="592"/>
      <c r="AE16" s="519"/>
      <c r="AF16" s="519"/>
      <c r="AG16" s="519"/>
      <c r="AH16" s="519"/>
      <c r="AI16" s="519">
        <f>IFERROR(SUM(Table1[[#This Row],[SEK/Tur]]*Table1[[#This Row],[Tur/Vecka]]),"")</f>
        <v>0</v>
      </c>
      <c r="AJ16" s="519">
        <f>IFERROR(SUM(Table1[[#This Row],[Tur/Vecka]]*Table1[[#This Row],[Tim/Tur]]),"")</f>
        <v>0</v>
      </c>
      <c r="AK16" s="519">
        <f>IFERROR(SUM(Table1[[#This Row],[Tur/Vecka]]*Table1[[#This Row],[Mil/Tur]]),"")</f>
        <v>0</v>
      </c>
      <c r="AL16" s="519">
        <v>6</v>
      </c>
    </row>
    <row r="17" spans="2:38" x14ac:dyDescent="0.25">
      <c r="B17" s="1004"/>
      <c r="C17" s="1004"/>
      <c r="D17" s="1004"/>
      <c r="F17" t="s">
        <v>552</v>
      </c>
      <c r="K17" s="783"/>
      <c r="L17" s="793"/>
      <c r="M17" s="793"/>
      <c r="N17" s="783"/>
      <c r="O17" s="783"/>
      <c r="P17" s="783" t="s">
        <v>493</v>
      </c>
      <c r="Q17" s="816"/>
      <c r="R17" s="816"/>
      <c r="X17" s="519"/>
      <c r="Y17" s="519"/>
      <c r="Z17" s="519"/>
      <c r="AA17" s="592"/>
      <c r="AB17" s="592"/>
      <c r="AC17" s="592"/>
      <c r="AD17" s="592"/>
      <c r="AE17" s="519"/>
      <c r="AF17" s="519"/>
      <c r="AG17" s="519"/>
      <c r="AH17" s="519"/>
      <c r="AI17" s="519">
        <f>IFERROR(SUM(Table1[[#This Row],[SEK/Tur]]*Table1[[#This Row],[Tur/Vecka]]),"")</f>
        <v>0</v>
      </c>
      <c r="AJ17" s="519">
        <f>IFERROR(SUM(Table1[[#This Row],[Tur/Vecka]]*Table1[[#This Row],[Tim/Tur]]),"")</f>
        <v>0</v>
      </c>
      <c r="AK17" s="519">
        <f>IFERROR(SUM(Table1[[#This Row],[Tur/Vecka]]*Table1[[#This Row],[Mil/Tur]]),"")</f>
        <v>0</v>
      </c>
      <c r="AL17" s="519">
        <v>7</v>
      </c>
    </row>
    <row r="18" spans="2:38" x14ac:dyDescent="0.25">
      <c r="B18" s="1004"/>
      <c r="C18" s="1004"/>
      <c r="D18" s="1004"/>
      <c r="F18" t="s">
        <v>552</v>
      </c>
      <c r="K18" s="783"/>
      <c r="L18" s="793"/>
      <c r="M18" s="793"/>
      <c r="N18" s="783"/>
      <c r="O18" s="783"/>
      <c r="P18" s="783" t="s">
        <v>494</v>
      </c>
      <c r="Q18" s="816"/>
      <c r="R18" s="816"/>
      <c r="X18" s="519"/>
      <c r="Y18" s="519"/>
      <c r="Z18" s="519"/>
      <c r="AA18" s="592"/>
      <c r="AB18" s="592"/>
      <c r="AC18" s="592"/>
      <c r="AD18" s="592"/>
      <c r="AE18" s="519"/>
      <c r="AF18" s="519"/>
      <c r="AG18" s="519"/>
      <c r="AH18" s="519"/>
      <c r="AI18" s="519">
        <f>IFERROR(SUM(Table1[[#This Row],[SEK/Tur]]*Table1[[#This Row],[Tur/Vecka]]),"")</f>
        <v>0</v>
      </c>
      <c r="AJ18" s="519">
        <f>IFERROR(SUM(Table1[[#This Row],[Tur/Vecka]]*Table1[[#This Row],[Tim/Tur]]),"")</f>
        <v>0</v>
      </c>
      <c r="AK18" s="519">
        <f>IFERROR(SUM(Table1[[#This Row],[Tur/Vecka]]*Table1[[#This Row],[Mil/Tur]]),"")</f>
        <v>0</v>
      </c>
      <c r="AL18" s="519">
        <v>8</v>
      </c>
    </row>
    <row r="19" spans="2:38" x14ac:dyDescent="0.25">
      <c r="B19" s="1004"/>
      <c r="C19" s="1004"/>
      <c r="D19" s="1004"/>
      <c r="F19" t="s">
        <v>552</v>
      </c>
      <c r="K19" s="783"/>
      <c r="L19" s="793"/>
      <c r="M19" s="793"/>
      <c r="N19" s="783"/>
      <c r="O19" s="783"/>
      <c r="P19" s="783" t="s">
        <v>495</v>
      </c>
      <c r="Q19" s="816"/>
      <c r="R19" s="816"/>
      <c r="X19" s="519"/>
      <c r="Y19" s="519"/>
      <c r="Z19" s="519"/>
      <c r="AA19" s="592"/>
      <c r="AB19" s="592"/>
      <c r="AC19" s="592"/>
      <c r="AD19" s="592"/>
      <c r="AE19" s="519"/>
      <c r="AF19" s="519"/>
      <c r="AG19" s="519"/>
      <c r="AH19" s="519"/>
      <c r="AI19" s="519">
        <f>IFERROR(SUM(Table1[[#This Row],[SEK/Tur]]*Table1[[#This Row],[Tur/Vecka]]),"")</f>
        <v>0</v>
      </c>
      <c r="AJ19" s="519">
        <f>IFERROR(SUM(Table1[[#This Row],[Tur/Vecka]]*Table1[[#This Row],[Tim/Tur]]),"")</f>
        <v>0</v>
      </c>
      <c r="AK19" s="519">
        <f>IFERROR(SUM(Table1[[#This Row],[Tur/Vecka]]*Table1[[#This Row],[Mil/Tur]]),"")</f>
        <v>0</v>
      </c>
      <c r="AL19" s="519">
        <v>9</v>
      </c>
    </row>
    <row r="20" spans="2:38" x14ac:dyDescent="0.25">
      <c r="B20" s="1004"/>
      <c r="C20" s="1004"/>
      <c r="D20" s="1004"/>
      <c r="F20" t="s">
        <v>552</v>
      </c>
      <c r="K20" s="783"/>
      <c r="L20" s="793"/>
      <c r="M20" s="793"/>
      <c r="N20" s="783"/>
      <c r="O20" s="783"/>
      <c r="P20" s="783" t="s">
        <v>496</v>
      </c>
      <c r="Q20" s="816"/>
      <c r="R20" s="816"/>
      <c r="X20" s="519"/>
      <c r="Y20" s="519"/>
      <c r="Z20" s="519"/>
      <c r="AA20" s="592"/>
      <c r="AB20" s="592"/>
      <c r="AC20" s="592"/>
      <c r="AD20" s="592"/>
      <c r="AE20" s="519"/>
      <c r="AF20" s="519"/>
      <c r="AG20" s="519"/>
      <c r="AH20" s="519"/>
      <c r="AI20" s="519">
        <f>IFERROR(SUM(Table1[[#This Row],[SEK/Tur]]*Table1[[#This Row],[Tur/Vecka]]),"")</f>
        <v>0</v>
      </c>
      <c r="AJ20" s="519">
        <f>IFERROR(SUM(Table1[[#This Row],[Tur/Vecka]]*Table1[[#This Row],[Tim/Tur]]),"")</f>
        <v>0</v>
      </c>
      <c r="AK20" s="519">
        <f>IFERROR(SUM(Table1[[#This Row],[Tur/Vecka]]*Table1[[#This Row],[Mil/Tur]]),"")</f>
        <v>0</v>
      </c>
      <c r="AL20" s="519">
        <v>10</v>
      </c>
    </row>
    <row r="21" spans="2:38" x14ac:dyDescent="0.25">
      <c r="B21" s="1004"/>
      <c r="C21" s="1004"/>
      <c r="D21" s="1004"/>
      <c r="F21" t="s">
        <v>552</v>
      </c>
      <c r="J21" s="617"/>
      <c r="K21" s="783"/>
      <c r="L21" s="793"/>
      <c r="M21" s="793"/>
      <c r="N21" s="783"/>
      <c r="O21" s="783"/>
      <c r="P21" s="783" t="s">
        <v>497</v>
      </c>
      <c r="Q21" s="816"/>
      <c r="R21" s="816"/>
      <c r="X21" s="519"/>
      <c r="Y21" s="519"/>
      <c r="Z21" s="519"/>
      <c r="AA21" s="592"/>
      <c r="AB21" s="592"/>
      <c r="AC21" s="592"/>
      <c r="AD21" s="592"/>
      <c r="AE21" s="519"/>
      <c r="AF21" s="519"/>
      <c r="AG21" s="519"/>
      <c r="AH21" s="519"/>
      <c r="AI21" s="519">
        <f>IFERROR(SUM(Table1[[#This Row],[SEK/Tur]]*Table1[[#This Row],[Tur/Vecka]]),"")</f>
        <v>0</v>
      </c>
      <c r="AJ21" s="519">
        <f>IFERROR(SUM(Table1[[#This Row],[Tur/Vecka]]*Table1[[#This Row],[Tim/Tur]]),"")</f>
        <v>0</v>
      </c>
      <c r="AK21" s="519">
        <f>IFERROR(SUM(Table1[[#This Row],[Tur/Vecka]]*Table1[[#This Row],[Mil/Tur]]),"")</f>
        <v>0</v>
      </c>
      <c r="AL21" s="519">
        <v>11</v>
      </c>
    </row>
    <row r="22" spans="2:38" x14ac:dyDescent="0.25">
      <c r="B22" s="1004"/>
      <c r="C22" s="1004"/>
      <c r="D22" s="1004"/>
      <c r="J22" s="617"/>
      <c r="K22" s="783"/>
      <c r="L22" s="793"/>
      <c r="M22" s="793"/>
      <c r="N22" s="783"/>
      <c r="O22" s="783"/>
      <c r="P22" s="783"/>
      <c r="Q22" s="816"/>
      <c r="R22" s="816"/>
      <c r="S22" t="str">
        <f>IF(Table1[[#This Row],[Tur/ÅR]]="","",SUM(Table1[[#This Row],[Tur/ÅR]]/52))</f>
        <v/>
      </c>
      <c r="T22" t="str">
        <f>IF(Table1[[#This Row],[Tim/År]]="","",SUM(Table1[[#This Row],[Tim/År]]/Table1[[#This Row],[Tur/ÅR]]))</f>
        <v/>
      </c>
      <c r="U22" t="str">
        <f>IF(Table1[[#This Row],[Mil/År]]="","",SUM(Table1[[#This Row],[Mil/År]]/Table1[[#This Row],[Tur/ÅR]]))</f>
        <v/>
      </c>
      <c r="X22" s="519"/>
      <c r="Y22" s="519"/>
      <c r="Z22" s="519"/>
      <c r="AA22" s="592"/>
      <c r="AB22" s="592"/>
      <c r="AC22" s="592"/>
      <c r="AD22" s="592"/>
      <c r="AE22" s="519"/>
      <c r="AF22" s="519"/>
      <c r="AG22" s="519"/>
      <c r="AH22" s="519"/>
      <c r="AI22" s="519" t="str">
        <f>IFERROR(SUM(Table1[[#This Row],[SEK/Tur]]*Table1[[#This Row],[Tur/Vecka]]),"")</f>
        <v/>
      </c>
      <c r="AJ22" s="519" t="str">
        <f>IFERROR(SUM(Table1[[#This Row],[Tur/Vecka]]*Table1[[#This Row],[Tim/Tur]]),"")</f>
        <v/>
      </c>
      <c r="AK22" s="519" t="str">
        <f>IFERROR(SUM(Table1[[#This Row],[Tur/Vecka]]*Table1[[#This Row],[Mil/Tur]]),"")</f>
        <v/>
      </c>
      <c r="AL22" s="519"/>
    </row>
    <row r="23" spans="2:38" x14ac:dyDescent="0.25">
      <c r="B23" s="1004"/>
      <c r="C23" s="1004"/>
      <c r="D23" s="1004"/>
      <c r="J23" s="617"/>
      <c r="K23" s="783"/>
      <c r="L23" s="793"/>
      <c r="M23" s="793"/>
      <c r="N23" s="783"/>
      <c r="O23" s="783"/>
      <c r="P23" s="783"/>
      <c r="Q23" s="816"/>
      <c r="R23" s="816"/>
      <c r="S23" t="str">
        <f>IF(Table1[[#This Row],[Tur/ÅR]]="","",SUM(Table1[[#This Row],[Tur/ÅR]]/52))</f>
        <v/>
      </c>
      <c r="T23" t="str">
        <f>IF(Table1[[#This Row],[Tim/År]]="","",SUM(Table1[[#This Row],[Tim/År]]/Table1[[#This Row],[Tur/ÅR]]))</f>
        <v/>
      </c>
      <c r="U23" t="str">
        <f>IF(Table1[[#This Row],[Mil/År]]="","",SUM(Table1[[#This Row],[Mil/År]]/Table1[[#This Row],[Tur/ÅR]]))</f>
        <v/>
      </c>
      <c r="X23" s="519"/>
      <c r="Y23" s="519"/>
      <c r="Z23" s="519"/>
      <c r="AA23" s="592"/>
      <c r="AB23" s="592"/>
      <c r="AC23" s="592"/>
      <c r="AD23" s="592"/>
      <c r="AE23" s="519"/>
      <c r="AF23" s="519"/>
      <c r="AG23" s="519"/>
      <c r="AH23" s="519"/>
      <c r="AI23" s="519" t="str">
        <f>IFERROR(SUM(Table1[[#This Row],[SEK/Tur]]*Table1[[#This Row],[Tur/Vecka]]),"")</f>
        <v/>
      </c>
      <c r="AJ23" s="519" t="str">
        <f>IFERROR(SUM(Table1[[#This Row],[Tur/Vecka]]*Table1[[#This Row],[Tim/Tur]]),"")</f>
        <v/>
      </c>
      <c r="AK23" s="519" t="str">
        <f>IFERROR(SUM(Table1[[#This Row],[Tur/Vecka]]*Table1[[#This Row],[Mil/Tur]]),"")</f>
        <v/>
      </c>
      <c r="AL23" s="519"/>
    </row>
    <row r="24" spans="2:38" x14ac:dyDescent="0.25">
      <c r="B24" s="1004"/>
      <c r="C24" s="1004"/>
      <c r="D24" s="1004"/>
      <c r="K24" s="783"/>
      <c r="L24" s="793"/>
      <c r="M24" s="793"/>
      <c r="N24" s="783"/>
      <c r="O24" s="783"/>
      <c r="P24" s="783"/>
      <c r="Q24" s="816"/>
      <c r="R24" s="816"/>
      <c r="S24" t="str">
        <f>IF(Table1[[#This Row],[Tur/ÅR]]="","",SUM(Table1[[#This Row],[Tur/ÅR]]/52))</f>
        <v/>
      </c>
      <c r="T24" t="str">
        <f>IF(Table1[[#This Row],[Tim/År]]="","",SUM(Table1[[#This Row],[Tim/År]]/Table1[[#This Row],[Tur/ÅR]]))</f>
        <v/>
      </c>
      <c r="U24" t="str">
        <f>IF(Table1[[#This Row],[Mil/År]]="","",SUM(Table1[[#This Row],[Mil/År]]/Table1[[#This Row],[Tur/ÅR]]))</f>
        <v/>
      </c>
      <c r="X24" s="519"/>
      <c r="Y24" s="519"/>
      <c r="Z24" s="519"/>
      <c r="AA24" s="592"/>
      <c r="AB24" s="592"/>
      <c r="AC24" s="592"/>
      <c r="AD24" s="592"/>
      <c r="AE24" s="519"/>
      <c r="AF24" s="519"/>
      <c r="AG24" s="519"/>
      <c r="AH24" s="519"/>
      <c r="AI24" s="519" t="str">
        <f>IFERROR(SUM(Table1[[#This Row],[SEK/Tur]]*Table1[[#This Row],[Tur/Vecka]]),"")</f>
        <v/>
      </c>
      <c r="AJ24" s="519" t="str">
        <f>IFERROR(SUM(Table1[[#This Row],[Tur/Vecka]]*Table1[[#This Row],[Tim/Tur]]),"")</f>
        <v/>
      </c>
      <c r="AK24" s="519" t="str">
        <f>IFERROR(SUM(Table1[[#This Row],[Tur/Vecka]]*Table1[[#This Row],[Mil/Tur]]),"")</f>
        <v/>
      </c>
      <c r="AL24" s="519"/>
    </row>
    <row r="25" spans="2:38" x14ac:dyDescent="0.25">
      <c r="B25" s="1004"/>
      <c r="C25" s="1004"/>
      <c r="D25" s="1004"/>
      <c r="K25" s="783"/>
      <c r="L25" s="793"/>
      <c r="M25" s="793"/>
      <c r="N25" s="783"/>
      <c r="O25" s="783"/>
      <c r="P25" s="783"/>
      <c r="Q25" s="816"/>
      <c r="R25" s="816"/>
      <c r="S25" t="str">
        <f>IF(Table1[[#This Row],[Tur/ÅR]]="","",SUM(Table1[[#This Row],[Tur/ÅR]]/52))</f>
        <v/>
      </c>
      <c r="T25" t="str">
        <f>IF(Table1[[#This Row],[Tim/År]]="","",SUM(Table1[[#This Row],[Tim/År]]/Table1[[#This Row],[Tur/ÅR]]))</f>
        <v/>
      </c>
      <c r="U25" t="str">
        <f>IF(Table1[[#This Row],[Mil/År]]="","",SUM(Table1[[#This Row],[Mil/År]]/Table1[[#This Row],[Tur/ÅR]]))</f>
        <v/>
      </c>
      <c r="X25" s="519"/>
      <c r="Y25" s="519"/>
      <c r="Z25" s="519"/>
      <c r="AA25" s="592"/>
      <c r="AB25" s="592"/>
      <c r="AC25" s="592"/>
      <c r="AD25" s="592"/>
      <c r="AE25" s="519"/>
      <c r="AF25" s="519"/>
      <c r="AG25" s="519"/>
      <c r="AH25" s="519"/>
      <c r="AI25" s="519" t="str">
        <f>IFERROR(SUM(Table1[[#This Row],[SEK/Tur]]*Table1[[#This Row],[Tur/Vecka]]),"")</f>
        <v/>
      </c>
      <c r="AJ25" s="519" t="str">
        <f>IFERROR(SUM(Table1[[#This Row],[Tur/Vecka]]*Table1[[#This Row],[Tim/Tur]]),"")</f>
        <v/>
      </c>
      <c r="AK25" s="519" t="str">
        <f>IFERROR(SUM(Table1[[#This Row],[Tur/Vecka]]*Table1[[#This Row],[Mil/Tur]]),"")</f>
        <v/>
      </c>
      <c r="AL25" s="519"/>
    </row>
    <row r="26" spans="2:38" x14ac:dyDescent="0.25">
      <c r="B26" s="1004"/>
      <c r="C26" s="1004"/>
      <c r="D26" s="1004"/>
      <c r="K26" s="783"/>
      <c r="L26" s="793"/>
      <c r="M26" s="793"/>
      <c r="N26" s="783"/>
      <c r="O26" s="783"/>
      <c r="P26" s="783"/>
      <c r="Q26" s="816"/>
      <c r="R26" s="816"/>
      <c r="X26" s="519"/>
      <c r="Y26" s="519"/>
      <c r="Z26" s="519"/>
      <c r="AA26" s="592"/>
      <c r="AB26" s="592"/>
      <c r="AC26" s="592"/>
      <c r="AD26" s="592"/>
      <c r="AE26" s="519"/>
      <c r="AF26" s="519"/>
      <c r="AG26" s="519"/>
      <c r="AH26" s="519"/>
      <c r="AI26" s="519"/>
      <c r="AJ26" s="519"/>
      <c r="AK26" s="519"/>
      <c r="AL26" s="519"/>
    </row>
    <row r="27" spans="2:38" x14ac:dyDescent="0.25">
      <c r="B27" s="1004"/>
      <c r="C27" s="1004"/>
      <c r="D27" s="1004"/>
      <c r="K27" s="783"/>
      <c r="L27" s="793"/>
      <c r="M27" s="793"/>
      <c r="N27" s="783"/>
      <c r="O27" s="783"/>
      <c r="P27" s="783"/>
      <c r="Q27" s="816"/>
      <c r="R27" s="816"/>
      <c r="W27" s="519"/>
      <c r="X27" s="519"/>
      <c r="Y27" s="519"/>
      <c r="Z27" s="616"/>
      <c r="AA27" s="592"/>
      <c r="AB27" s="592"/>
      <c r="AC27" s="592"/>
      <c r="AD27" s="592"/>
      <c r="AE27" s="519"/>
      <c r="AF27" s="519"/>
      <c r="AG27" s="519"/>
      <c r="AH27" s="519"/>
      <c r="AI27" s="519"/>
      <c r="AJ27" s="519"/>
      <c r="AK27" s="519"/>
      <c r="AL27" s="519"/>
    </row>
    <row r="28" spans="2:38" x14ac:dyDescent="0.25">
      <c r="B28" s="1004"/>
      <c r="C28" s="1004"/>
      <c r="D28" s="1004"/>
      <c r="K28" s="783"/>
      <c r="L28" s="793"/>
      <c r="M28" s="793"/>
      <c r="N28" s="783"/>
      <c r="O28" s="783"/>
      <c r="P28" s="783"/>
      <c r="Q28" s="816"/>
      <c r="R28" s="816"/>
      <c r="W28" s="519"/>
      <c r="X28" s="519"/>
      <c r="Y28" s="519"/>
      <c r="Z28" s="616"/>
      <c r="AA28" s="592"/>
      <c r="AB28" s="592"/>
      <c r="AC28" s="592"/>
      <c r="AD28" s="592"/>
      <c r="AE28" s="519"/>
      <c r="AF28" s="519"/>
      <c r="AG28" s="519"/>
      <c r="AH28" s="519"/>
      <c r="AI28" s="519"/>
      <c r="AJ28" s="519"/>
      <c r="AK28" s="519"/>
      <c r="AL28" s="519"/>
    </row>
    <row r="29" spans="2:38" x14ac:dyDescent="0.25">
      <c r="B29" s="1004"/>
      <c r="C29" s="1004"/>
      <c r="D29" s="1004"/>
      <c r="K29" s="783"/>
      <c r="L29" s="793"/>
      <c r="M29" s="793"/>
      <c r="N29" s="783"/>
      <c r="O29" s="783"/>
      <c r="P29" s="783"/>
      <c r="Q29" s="816"/>
      <c r="R29" s="816"/>
      <c r="X29" s="519"/>
      <c r="Y29" s="519"/>
      <c r="Z29" s="519"/>
      <c r="AA29" s="592"/>
      <c r="AB29" s="592"/>
      <c r="AC29" s="592"/>
      <c r="AD29" s="592"/>
      <c r="AE29" s="519"/>
      <c r="AF29" s="519"/>
      <c r="AG29" s="519"/>
      <c r="AH29" s="519"/>
      <c r="AI29" s="519"/>
      <c r="AJ29" s="519"/>
      <c r="AK29" s="519"/>
      <c r="AL29" s="519"/>
    </row>
    <row r="30" spans="2:38" x14ac:dyDescent="0.25">
      <c r="B30" s="1004"/>
      <c r="C30" s="1004"/>
      <c r="D30" s="1004"/>
      <c r="K30" s="783"/>
      <c r="L30" s="793"/>
      <c r="M30" s="793"/>
      <c r="N30" s="783"/>
      <c r="O30" s="783"/>
      <c r="P30" s="783"/>
      <c r="Q30" s="816"/>
      <c r="R30" s="816"/>
      <c r="X30" s="519"/>
      <c r="Y30" s="519"/>
      <c r="Z30" s="519"/>
      <c r="AA30" s="592"/>
      <c r="AB30" s="592"/>
      <c r="AC30" s="592"/>
      <c r="AD30" s="592"/>
      <c r="AE30" s="519"/>
      <c r="AF30" s="519"/>
      <c r="AG30" s="519"/>
      <c r="AH30" s="519"/>
      <c r="AI30" s="519"/>
      <c r="AJ30" s="519"/>
      <c r="AK30" s="519"/>
      <c r="AL30" s="519"/>
    </row>
    <row r="31" spans="2:38" x14ac:dyDescent="0.25">
      <c r="B31" s="1004"/>
      <c r="C31" s="1004"/>
      <c r="D31" s="1004"/>
      <c r="K31" s="783"/>
      <c r="L31" s="793"/>
      <c r="M31" s="793"/>
      <c r="N31" s="783"/>
      <c r="O31" s="783"/>
      <c r="P31" s="783"/>
      <c r="Q31" s="816"/>
      <c r="R31" s="816"/>
      <c r="X31" s="519"/>
      <c r="Y31" s="519"/>
      <c r="Z31" s="519"/>
      <c r="AA31" s="592"/>
      <c r="AB31" s="592"/>
      <c r="AC31" s="592"/>
      <c r="AD31" s="592"/>
      <c r="AE31" s="519"/>
      <c r="AF31" s="519"/>
      <c r="AG31" s="519"/>
      <c r="AH31" s="519"/>
      <c r="AI31" s="519"/>
      <c r="AJ31" s="519"/>
      <c r="AK31" s="519"/>
      <c r="AL31" s="519"/>
    </row>
    <row r="32" spans="2:38" x14ac:dyDescent="0.25">
      <c r="B32" s="1004"/>
      <c r="C32" s="1004"/>
      <c r="D32" s="1004"/>
      <c r="K32" s="783"/>
      <c r="L32" s="793"/>
      <c r="M32" s="793"/>
      <c r="N32" s="783"/>
      <c r="O32" s="783"/>
      <c r="P32" s="783"/>
      <c r="Q32" s="816"/>
      <c r="R32" s="816"/>
      <c r="W32" s="519"/>
      <c r="X32" s="519"/>
      <c r="Y32" s="519"/>
      <c r="Z32" s="616"/>
      <c r="AA32" s="592"/>
      <c r="AB32" s="592"/>
      <c r="AC32" s="592"/>
      <c r="AD32" s="592"/>
      <c r="AE32" s="519"/>
      <c r="AF32" s="519"/>
      <c r="AG32" s="519"/>
      <c r="AH32" s="519"/>
      <c r="AI32" s="519"/>
      <c r="AJ32" s="519"/>
      <c r="AK32" s="519"/>
      <c r="AL32" s="519"/>
    </row>
    <row r="33" spans="2:38" x14ac:dyDescent="0.25">
      <c r="B33" s="1004"/>
      <c r="C33" s="1004"/>
      <c r="D33" s="1004"/>
      <c r="K33" s="783"/>
      <c r="L33" s="793"/>
      <c r="M33" s="793"/>
      <c r="N33" s="783"/>
      <c r="O33" s="783"/>
      <c r="P33" s="783"/>
      <c r="Q33" s="816"/>
      <c r="R33" s="816"/>
      <c r="W33" s="519"/>
      <c r="X33" s="519"/>
      <c r="Y33" s="519"/>
      <c r="Z33" s="616"/>
      <c r="AA33" s="592"/>
      <c r="AB33" s="592"/>
      <c r="AC33" s="592"/>
      <c r="AD33" s="592"/>
      <c r="AE33" s="519"/>
      <c r="AF33" s="519"/>
      <c r="AG33" s="519"/>
      <c r="AH33" s="519"/>
      <c r="AI33" s="519"/>
      <c r="AJ33" s="519"/>
      <c r="AK33" s="519"/>
      <c r="AL33" s="519"/>
    </row>
    <row r="34" spans="2:38" x14ac:dyDescent="0.25">
      <c r="B34" s="1004"/>
      <c r="C34" s="1004"/>
      <c r="D34" s="1004"/>
      <c r="K34" s="783"/>
      <c r="L34" s="793"/>
      <c r="M34" s="793"/>
      <c r="N34" s="783"/>
      <c r="O34" s="783"/>
      <c r="P34" s="783"/>
      <c r="Q34" s="816"/>
      <c r="R34" s="816"/>
      <c r="X34" s="519"/>
      <c r="Y34" s="519"/>
      <c r="Z34" s="519"/>
      <c r="AA34" s="592"/>
      <c r="AB34" s="592"/>
      <c r="AC34" s="592"/>
      <c r="AD34" s="592"/>
      <c r="AE34" s="519"/>
      <c r="AF34" s="519"/>
      <c r="AG34" s="519"/>
      <c r="AH34" s="519"/>
      <c r="AI34" s="519"/>
      <c r="AJ34" s="519"/>
      <c r="AK34" s="519"/>
      <c r="AL34" s="519"/>
    </row>
    <row r="35" spans="2:38" x14ac:dyDescent="0.25">
      <c r="B35" s="1004"/>
      <c r="C35" s="1004"/>
      <c r="D35" s="1004"/>
      <c r="K35" s="783"/>
      <c r="L35" s="793"/>
      <c r="M35" s="793"/>
      <c r="N35" s="783"/>
      <c r="O35" s="783"/>
      <c r="P35" s="783"/>
      <c r="Q35" s="816"/>
      <c r="R35" s="816"/>
      <c r="U35" s="778"/>
      <c r="X35" s="519"/>
      <c r="Y35" s="519"/>
      <c r="Z35" s="519"/>
      <c r="AA35" s="592"/>
      <c r="AB35" s="592"/>
      <c r="AC35" s="592"/>
      <c r="AD35" s="592"/>
      <c r="AE35" s="519"/>
      <c r="AF35" s="519"/>
      <c r="AG35" s="519"/>
      <c r="AH35" s="519"/>
      <c r="AI35" s="519"/>
      <c r="AJ35" s="519"/>
      <c r="AK35" s="519"/>
      <c r="AL35" s="519"/>
    </row>
    <row r="36" spans="2:38" x14ac:dyDescent="0.25">
      <c r="B36" s="1004"/>
      <c r="C36" s="1004"/>
      <c r="D36" s="1004"/>
      <c r="K36" s="783"/>
      <c r="L36" s="793"/>
      <c r="M36" s="793"/>
      <c r="N36" s="783"/>
      <c r="O36" s="783"/>
      <c r="P36" s="783"/>
      <c r="Q36" s="816"/>
      <c r="R36" s="816"/>
      <c r="U36" s="778"/>
      <c r="X36" s="519"/>
      <c r="Y36" s="519"/>
      <c r="Z36" s="519"/>
      <c r="AA36" s="592"/>
      <c r="AB36" s="592"/>
      <c r="AC36" s="592"/>
      <c r="AD36" s="592"/>
      <c r="AE36" s="519"/>
      <c r="AF36" s="519"/>
      <c r="AG36" s="519"/>
      <c r="AH36" s="519"/>
      <c r="AI36" s="519"/>
      <c r="AJ36" s="519"/>
      <c r="AK36" s="519"/>
      <c r="AL36" s="519"/>
    </row>
    <row r="37" spans="2:38" x14ac:dyDescent="0.25">
      <c r="B37" s="1004"/>
      <c r="C37" s="1004"/>
      <c r="D37" s="1004"/>
      <c r="K37" s="783"/>
      <c r="L37" s="793"/>
      <c r="M37" s="793"/>
      <c r="N37" s="783"/>
      <c r="O37" s="783"/>
      <c r="P37" s="783"/>
      <c r="Q37" s="816"/>
      <c r="R37" s="816"/>
      <c r="U37" s="778"/>
      <c r="X37" s="519"/>
      <c r="Y37" s="519"/>
      <c r="Z37" s="519"/>
      <c r="AA37" s="592"/>
      <c r="AB37" s="592"/>
      <c r="AC37" s="592"/>
      <c r="AD37" s="592"/>
      <c r="AE37" s="519"/>
      <c r="AF37" s="519"/>
      <c r="AG37" s="519"/>
      <c r="AH37" s="519"/>
      <c r="AI37" s="519"/>
      <c r="AJ37" s="519"/>
      <c r="AK37" s="519"/>
      <c r="AL37" s="519"/>
    </row>
    <row r="38" spans="2:38" x14ac:dyDescent="0.25">
      <c r="B38" s="1004"/>
      <c r="C38" s="1004"/>
      <c r="D38" s="1004"/>
      <c r="K38" s="783"/>
      <c r="L38" s="793"/>
      <c r="M38" s="793"/>
      <c r="N38" s="783"/>
      <c r="O38" s="783"/>
      <c r="P38" s="783"/>
      <c r="Q38" s="816"/>
      <c r="R38" s="816"/>
      <c r="X38" s="519"/>
      <c r="Y38" s="519"/>
      <c r="Z38" s="519"/>
      <c r="AA38" s="592"/>
      <c r="AB38" s="592"/>
      <c r="AC38" s="592"/>
      <c r="AD38" s="592"/>
      <c r="AE38" s="519"/>
      <c r="AF38" s="519"/>
      <c r="AG38" s="519"/>
      <c r="AH38" s="519"/>
      <c r="AI38" s="519"/>
      <c r="AJ38" s="519"/>
      <c r="AK38" s="519"/>
      <c r="AL38" s="519"/>
    </row>
    <row r="39" spans="2:38" x14ac:dyDescent="0.25">
      <c r="B39" s="1004"/>
      <c r="C39" s="1004"/>
      <c r="D39" s="1004"/>
      <c r="K39" s="783"/>
      <c r="L39" s="793"/>
      <c r="M39" s="793"/>
      <c r="N39" s="783"/>
      <c r="O39" s="783"/>
      <c r="P39" s="783"/>
      <c r="Q39" s="816"/>
      <c r="R39" s="816"/>
      <c r="X39" s="519"/>
      <c r="Y39" s="519"/>
      <c r="Z39" s="519"/>
      <c r="AA39" s="592"/>
      <c r="AB39" s="592"/>
      <c r="AC39" s="592"/>
      <c r="AD39" s="592"/>
      <c r="AE39" s="519"/>
      <c r="AF39" s="519"/>
      <c r="AG39" s="519"/>
      <c r="AH39" s="519"/>
      <c r="AI39" s="519"/>
      <c r="AJ39" s="519"/>
      <c r="AK39" s="519"/>
      <c r="AL39" s="519"/>
    </row>
    <row r="40" spans="2:38" x14ac:dyDescent="0.25">
      <c r="B40" s="1004"/>
      <c r="C40" s="1004"/>
      <c r="D40" s="1004"/>
      <c r="K40" s="783"/>
      <c r="L40" s="793"/>
      <c r="M40" s="793"/>
      <c r="N40" s="783"/>
      <c r="O40" s="783"/>
      <c r="P40" s="783"/>
      <c r="Q40" s="816"/>
      <c r="R40" s="816"/>
      <c r="X40" s="519"/>
      <c r="Y40" s="519"/>
      <c r="Z40" s="519"/>
      <c r="AA40" s="592"/>
      <c r="AB40" s="592"/>
      <c r="AC40" s="592"/>
      <c r="AD40" s="592"/>
      <c r="AE40" s="519"/>
      <c r="AF40" s="519"/>
      <c r="AG40" s="519"/>
      <c r="AH40" s="519"/>
      <c r="AI40" s="519"/>
      <c r="AJ40" s="519"/>
      <c r="AK40" s="519"/>
      <c r="AL40" s="519"/>
    </row>
    <row r="41" spans="2:38" x14ac:dyDescent="0.25">
      <c r="B41" s="1004"/>
      <c r="C41" s="1004"/>
      <c r="D41" s="1004"/>
      <c r="K41" s="783"/>
      <c r="L41" s="793"/>
      <c r="M41" s="793"/>
      <c r="N41" s="783"/>
      <c r="O41" s="783"/>
      <c r="P41" s="783"/>
      <c r="Q41" s="816"/>
      <c r="R41" s="816"/>
      <c r="X41" s="519"/>
      <c r="Y41" s="519"/>
      <c r="Z41" s="519"/>
      <c r="AA41" s="592"/>
      <c r="AB41" s="592"/>
      <c r="AC41" s="592"/>
      <c r="AD41" s="592"/>
      <c r="AE41" s="519"/>
      <c r="AF41" s="519"/>
      <c r="AG41" s="519"/>
      <c r="AH41" s="519"/>
      <c r="AI41" s="519"/>
      <c r="AJ41" s="519"/>
      <c r="AK41" s="519"/>
      <c r="AL41" s="519"/>
    </row>
    <row r="42" spans="2:38" x14ac:dyDescent="0.25">
      <c r="B42" s="1004"/>
      <c r="C42" s="1004"/>
      <c r="D42" s="1004"/>
      <c r="K42" s="783"/>
      <c r="L42" s="793"/>
      <c r="M42" s="793"/>
      <c r="N42" s="783"/>
      <c r="O42" s="783"/>
      <c r="P42" s="783"/>
      <c r="Q42" s="816"/>
      <c r="R42" s="816"/>
      <c r="X42" s="519"/>
      <c r="Y42" s="519"/>
      <c r="Z42" s="519"/>
      <c r="AA42" s="592"/>
      <c r="AB42" s="592"/>
      <c r="AC42" s="592"/>
      <c r="AD42" s="592"/>
      <c r="AE42" s="519"/>
      <c r="AF42" s="519"/>
      <c r="AG42" s="519"/>
      <c r="AH42" s="519"/>
      <c r="AI42" s="519"/>
      <c r="AJ42" s="519"/>
      <c r="AK42" s="519"/>
      <c r="AL42" s="519"/>
    </row>
    <row r="43" spans="2:38" x14ac:dyDescent="0.25">
      <c r="B43" s="1004"/>
      <c r="C43" s="1004"/>
      <c r="D43" s="1004"/>
      <c r="K43" s="783"/>
      <c r="L43" s="793"/>
      <c r="M43" s="793"/>
      <c r="N43" s="783"/>
      <c r="O43" s="783"/>
      <c r="P43" s="783"/>
      <c r="Q43" s="816"/>
      <c r="R43" s="816"/>
      <c r="X43" s="519"/>
      <c r="Y43" s="519"/>
      <c r="Z43" s="519"/>
      <c r="AA43" s="592"/>
      <c r="AB43" s="592"/>
      <c r="AC43" s="592"/>
      <c r="AD43" s="592"/>
      <c r="AE43" s="519"/>
      <c r="AF43" s="519"/>
      <c r="AG43" s="519"/>
      <c r="AH43" s="519"/>
      <c r="AI43" s="519"/>
      <c r="AJ43" s="519"/>
      <c r="AK43" s="519"/>
      <c r="AL43" s="519"/>
    </row>
    <row r="44" spans="2:38" x14ac:dyDescent="0.25">
      <c r="B44" s="1004"/>
      <c r="C44" s="1004"/>
      <c r="D44" s="1004"/>
      <c r="K44" s="783"/>
      <c r="L44" s="793"/>
      <c r="M44" s="793"/>
      <c r="N44" s="783"/>
      <c r="O44" s="783"/>
      <c r="P44" s="783"/>
      <c r="Q44" s="816"/>
      <c r="R44" s="816"/>
      <c r="X44" s="519"/>
      <c r="Y44" s="519"/>
      <c r="Z44" s="519"/>
      <c r="AA44" s="592"/>
      <c r="AB44" s="592"/>
      <c r="AC44" s="592"/>
      <c r="AD44" s="592"/>
      <c r="AE44" s="519"/>
      <c r="AF44" s="519"/>
      <c r="AG44" s="519"/>
      <c r="AH44" s="519"/>
      <c r="AI44" s="519"/>
      <c r="AJ44" s="519"/>
      <c r="AK44" s="519"/>
      <c r="AL44" s="519"/>
    </row>
    <row r="45" spans="2:38" x14ac:dyDescent="0.25">
      <c r="B45" s="1004"/>
      <c r="C45" s="1004"/>
      <c r="D45" s="1004"/>
      <c r="K45" s="783"/>
      <c r="L45" s="793"/>
      <c r="M45" s="793"/>
      <c r="N45" s="783"/>
      <c r="O45" s="783"/>
      <c r="P45" s="783"/>
      <c r="Q45" s="816"/>
      <c r="R45" s="816"/>
      <c r="X45" s="519"/>
      <c r="Y45" s="519"/>
      <c r="Z45" s="519"/>
      <c r="AA45" s="592"/>
      <c r="AB45" s="592"/>
      <c r="AC45" s="592"/>
      <c r="AD45" s="592"/>
      <c r="AE45" s="519"/>
      <c r="AF45" s="519"/>
      <c r="AG45" s="519"/>
      <c r="AH45" s="519"/>
      <c r="AI45" s="519"/>
      <c r="AJ45" s="519"/>
      <c r="AK45" s="519"/>
      <c r="AL45" s="519"/>
    </row>
    <row r="46" spans="2:38" x14ac:dyDescent="0.25">
      <c r="B46" s="1004"/>
      <c r="C46" s="1004"/>
      <c r="D46" s="1004"/>
      <c r="K46" s="783"/>
      <c r="L46" s="793"/>
      <c r="M46" s="793"/>
      <c r="N46" s="783"/>
      <c r="O46" s="783"/>
      <c r="P46" s="783"/>
      <c r="Q46" s="816"/>
      <c r="R46" s="816"/>
      <c r="W46" s="519"/>
      <c r="X46" s="519"/>
      <c r="Y46" s="519"/>
      <c r="Z46" s="616"/>
      <c r="AA46" s="592"/>
      <c r="AB46" s="592"/>
      <c r="AC46" s="592"/>
      <c r="AD46" s="592"/>
      <c r="AE46" s="519"/>
      <c r="AF46" s="519"/>
      <c r="AG46" s="519"/>
      <c r="AH46" s="519"/>
      <c r="AI46" s="519"/>
      <c r="AJ46" s="519"/>
      <c r="AK46" s="519"/>
      <c r="AL46" s="519"/>
    </row>
    <row r="47" spans="2:38" x14ac:dyDescent="0.25">
      <c r="B47" s="1004"/>
      <c r="C47" s="1004"/>
      <c r="D47" s="1004"/>
      <c r="K47" s="783"/>
      <c r="L47" s="793"/>
      <c r="M47" s="793"/>
      <c r="N47" s="783"/>
      <c r="O47" s="783"/>
      <c r="P47" s="783"/>
      <c r="Q47" s="816"/>
      <c r="R47" s="816"/>
      <c r="X47" s="519"/>
      <c r="Y47" s="519"/>
      <c r="Z47" s="519"/>
      <c r="AA47" s="592"/>
      <c r="AB47" s="592"/>
      <c r="AC47" s="592"/>
      <c r="AD47" s="592"/>
      <c r="AE47" s="519"/>
      <c r="AF47" s="519"/>
      <c r="AG47" s="519"/>
      <c r="AH47" s="519"/>
      <c r="AI47" s="519"/>
      <c r="AJ47" s="519"/>
      <c r="AK47" s="519"/>
      <c r="AL47" s="519"/>
    </row>
    <row r="48" spans="2:38" x14ac:dyDescent="0.25">
      <c r="B48" s="1004"/>
      <c r="C48" s="1004"/>
      <c r="D48" s="1004"/>
      <c r="K48" s="783"/>
      <c r="L48" s="793"/>
      <c r="M48" s="793"/>
      <c r="N48" s="783"/>
      <c r="O48" s="783"/>
      <c r="P48" s="783"/>
      <c r="Q48" s="816"/>
      <c r="R48" s="816"/>
      <c r="X48" s="519"/>
      <c r="Y48" s="519"/>
      <c r="Z48" s="519"/>
      <c r="AA48" s="592"/>
      <c r="AB48" s="592"/>
      <c r="AC48" s="592"/>
      <c r="AD48" s="592"/>
      <c r="AE48" s="519"/>
      <c r="AF48" s="519"/>
      <c r="AG48" s="519"/>
      <c r="AH48" s="519"/>
      <c r="AI48" s="519"/>
      <c r="AJ48" s="519"/>
      <c r="AK48" s="519"/>
      <c r="AL48" s="519"/>
    </row>
    <row r="49" spans="2:38" x14ac:dyDescent="0.25">
      <c r="B49" s="1004"/>
      <c r="C49" s="1004"/>
      <c r="D49" s="1004"/>
      <c r="K49" s="783"/>
      <c r="L49" s="793"/>
      <c r="M49" s="793"/>
      <c r="N49" s="783"/>
      <c r="O49" s="783"/>
      <c r="P49" s="783"/>
      <c r="Q49" s="816"/>
      <c r="R49" s="816"/>
      <c r="S49" t="str">
        <f>IF(Table1[[#This Row],[Tur/ÅR]]="","",SUM(Table1[[#This Row],[Tur/ÅR]]/52))</f>
        <v/>
      </c>
      <c r="T49" t="str">
        <f>IF(Table1[[#This Row],[Tim/År]]="","",SUM(Table1[[#This Row],[Tim/År]]/Table1[[#This Row],[Tur/ÅR]]))</f>
        <v/>
      </c>
      <c r="U49" t="str">
        <f>IF(Table1[[#This Row],[Mil/År]]="","",SUM(Table1[[#This Row],[Mil/År]]/Table1[[#This Row],[Tur/ÅR]]))</f>
        <v/>
      </c>
      <c r="X49" s="519"/>
      <c r="Y49" s="519"/>
      <c r="Z49" s="519"/>
      <c r="AA49" s="592"/>
      <c r="AB49" s="592"/>
      <c r="AC49" s="592"/>
      <c r="AD49" s="592"/>
      <c r="AE49" s="519"/>
      <c r="AF49" s="519"/>
      <c r="AG49" s="519"/>
      <c r="AH49" s="519"/>
      <c r="AI49" s="519" t="str">
        <f>IFERROR(SUM(Table1[[#This Row],[SEK/Tur]]*Table1[[#This Row],[Tur/Vecka]]),"")</f>
        <v/>
      </c>
      <c r="AJ49" s="519" t="str">
        <f>IFERROR(SUM(Table1[[#This Row],[Tur/Vecka]]*Table1[[#This Row],[Tim/Tur]]),"")</f>
        <v/>
      </c>
      <c r="AK49" s="519" t="str">
        <f>IFERROR(SUM(Table1[[#This Row],[Tur/Vecka]]*Table1[[#This Row],[Mil/Tur]]),"")</f>
        <v/>
      </c>
      <c r="AL49" s="519"/>
    </row>
    <row r="50" spans="2:38" x14ac:dyDescent="0.25">
      <c r="B50" s="1004"/>
      <c r="C50" s="1004"/>
      <c r="D50" s="1004"/>
      <c r="K50" s="783"/>
      <c r="L50" s="793"/>
      <c r="M50" s="793"/>
      <c r="N50" s="783"/>
      <c r="O50" s="783"/>
      <c r="P50" s="783"/>
      <c r="Q50" s="816"/>
      <c r="R50" s="816"/>
      <c r="S50" t="str">
        <f>IF(Table1[[#This Row],[Tur/ÅR]]="","",SUM(Table1[[#This Row],[Tur/ÅR]]/52))</f>
        <v/>
      </c>
      <c r="T50" t="str">
        <f>IF(Table1[[#This Row],[Tim/År]]="","",SUM(Table1[[#This Row],[Tim/År]]/Table1[[#This Row],[Tur/ÅR]]))</f>
        <v/>
      </c>
      <c r="U50" t="str">
        <f>IF(Table1[[#This Row],[Mil/År]]="","",SUM(Table1[[#This Row],[Mil/År]]/Table1[[#This Row],[Tur/ÅR]]))</f>
        <v/>
      </c>
      <c r="X50" s="519"/>
      <c r="Y50" s="519"/>
      <c r="Z50" s="519"/>
      <c r="AA50" s="592"/>
      <c r="AB50" s="592"/>
      <c r="AC50" s="592"/>
      <c r="AD50" s="592"/>
      <c r="AE50" s="519"/>
      <c r="AF50" s="519"/>
      <c r="AG50" s="519"/>
      <c r="AH50" s="519"/>
      <c r="AI50" s="519" t="str">
        <f>IFERROR(SUM(Table1[[#This Row],[SEK/Tur]]*Table1[[#This Row],[Tur/Vecka]]),"")</f>
        <v/>
      </c>
      <c r="AJ50" s="519" t="str">
        <f>IFERROR(SUM(Table1[[#This Row],[Tur/Vecka]]*Table1[[#This Row],[Tim/Tur]]),"")</f>
        <v/>
      </c>
      <c r="AK50" s="519" t="str">
        <f>IFERROR(SUM(Table1[[#This Row],[Tur/Vecka]]*Table1[[#This Row],[Mil/Tur]]),"")</f>
        <v/>
      </c>
      <c r="AL50" s="519"/>
    </row>
    <row r="51" spans="2:38" x14ac:dyDescent="0.25">
      <c r="B51" s="1004"/>
      <c r="C51" s="1004"/>
      <c r="D51" s="1004"/>
      <c r="K51" s="783"/>
      <c r="L51" s="793"/>
      <c r="M51" s="793"/>
      <c r="N51" s="783"/>
      <c r="O51" s="783"/>
      <c r="P51" s="783"/>
      <c r="Q51" s="816"/>
      <c r="R51" s="816"/>
      <c r="S51" t="str">
        <f>IF(Table1[[#This Row],[Tur/ÅR]]="","",SUM(Table1[[#This Row],[Tur/ÅR]]/52))</f>
        <v/>
      </c>
      <c r="T51" t="str">
        <f>IF(Table1[[#This Row],[Tim/År]]="","",SUM(Table1[[#This Row],[Tim/År]]/Table1[[#This Row],[Tur/ÅR]]))</f>
        <v/>
      </c>
      <c r="U51" t="str">
        <f>IF(Table1[[#This Row],[Mil/År]]="","",SUM(Table1[[#This Row],[Mil/År]]/Table1[[#This Row],[Tur/ÅR]]))</f>
        <v/>
      </c>
      <c r="X51" s="519"/>
      <c r="Y51" s="519"/>
      <c r="Z51" s="519"/>
      <c r="AA51" s="592"/>
      <c r="AB51" s="592"/>
      <c r="AC51" s="592"/>
      <c r="AD51" s="592"/>
      <c r="AE51" s="519"/>
      <c r="AF51" s="519"/>
      <c r="AG51" s="519"/>
      <c r="AH51" s="519"/>
      <c r="AI51" s="519" t="str">
        <f>IFERROR(SUM(Table1[[#This Row],[SEK/Tur]]*Table1[[#This Row],[Tur/Vecka]]),"")</f>
        <v/>
      </c>
      <c r="AJ51" s="519" t="str">
        <f>IFERROR(SUM(Table1[[#This Row],[Tur/Vecka]]*Table1[[#This Row],[Tim/Tur]]),"")</f>
        <v/>
      </c>
      <c r="AK51" s="519" t="str">
        <f>IFERROR(SUM(Table1[[#This Row],[Tur/Vecka]]*Table1[[#This Row],[Mil/Tur]]),"")</f>
        <v/>
      </c>
      <c r="AL51" s="519"/>
    </row>
    <row r="52" spans="2:38" x14ac:dyDescent="0.25">
      <c r="B52" s="1004"/>
      <c r="C52" s="1004"/>
      <c r="D52" s="1004"/>
      <c r="K52" s="783"/>
      <c r="L52" s="793"/>
      <c r="M52" s="793"/>
      <c r="N52" s="783"/>
      <c r="O52" s="783"/>
      <c r="P52" s="783"/>
      <c r="Q52" s="816"/>
      <c r="R52" s="816"/>
      <c r="S52" t="str">
        <f>IF(Table1[[#This Row],[Tur/ÅR]]="","",SUM(Table1[[#This Row],[Tur/ÅR]]/52))</f>
        <v/>
      </c>
      <c r="T52" t="str">
        <f>IF(Table1[[#This Row],[Tim/År]]="","",SUM(Table1[[#This Row],[Tim/År]]/Table1[[#This Row],[Tur/ÅR]]))</f>
        <v/>
      </c>
      <c r="U52" t="str">
        <f>IF(Table1[[#This Row],[Mil/År]]="","",SUM(Table1[[#This Row],[Mil/År]]/Table1[[#This Row],[Tur/ÅR]]))</f>
        <v/>
      </c>
      <c r="X52" s="519"/>
      <c r="Y52" s="519"/>
      <c r="Z52" s="519"/>
      <c r="AA52" s="592"/>
      <c r="AB52" s="592"/>
      <c r="AC52" s="592"/>
      <c r="AD52" s="592"/>
      <c r="AE52" s="519"/>
      <c r="AF52" s="519"/>
      <c r="AG52" s="519"/>
      <c r="AH52" s="519"/>
      <c r="AI52" s="519" t="str">
        <f>IFERROR(SUM(Table1[[#This Row],[SEK/Tur]]*Table1[[#This Row],[Tur/Vecka]]),"")</f>
        <v/>
      </c>
      <c r="AJ52" s="519" t="str">
        <f>IFERROR(SUM(Table1[[#This Row],[Tur/Vecka]]*Table1[[#This Row],[Tim/Tur]]),"")</f>
        <v/>
      </c>
      <c r="AK52" s="519" t="str">
        <f>IFERROR(SUM(Table1[[#This Row],[Tur/Vecka]]*Table1[[#This Row],[Mil/Tur]]),"")</f>
        <v/>
      </c>
      <c r="AL52" s="519"/>
    </row>
    <row r="53" spans="2:38" x14ac:dyDescent="0.25">
      <c r="B53" s="1004"/>
      <c r="C53" s="1004"/>
      <c r="D53" s="1004"/>
      <c r="K53" s="783"/>
      <c r="L53" s="783"/>
      <c r="M53" s="792"/>
      <c r="N53" s="783"/>
      <c r="O53" s="783"/>
      <c r="P53" s="783"/>
      <c r="Q53" s="783"/>
      <c r="R53" s="783"/>
      <c r="X53" s="519"/>
      <c r="Y53" s="519"/>
      <c r="Z53" s="519"/>
      <c r="AA53" s="592"/>
      <c r="AB53" s="592"/>
      <c r="AC53" s="592"/>
      <c r="AD53" s="592"/>
      <c r="AE53" s="519"/>
      <c r="AF53" s="519"/>
      <c r="AG53" s="519"/>
      <c r="AH53" s="519"/>
      <c r="AI53" s="519"/>
      <c r="AJ53" s="519"/>
      <c r="AK53" s="519"/>
      <c r="AL53" s="519"/>
    </row>
    <row r="54" spans="2:38" ht="23.25" x14ac:dyDescent="0.35">
      <c r="B54" s="1004"/>
      <c r="C54" s="1004"/>
      <c r="D54" s="1004"/>
      <c r="K54" s="783"/>
      <c r="L54" s="783"/>
      <c r="M54" s="792"/>
      <c r="N54" s="783"/>
      <c r="O54" s="783"/>
      <c r="P54" s="783"/>
      <c r="Q54" s="799" t="s">
        <v>553</v>
      </c>
      <c r="R54" s="783"/>
      <c r="X54" s="519"/>
      <c r="Y54" s="519"/>
      <c r="Z54" s="519"/>
      <c r="AA54" s="592"/>
      <c r="AB54" s="592"/>
      <c r="AC54" s="592"/>
      <c r="AD54" s="592"/>
      <c r="AE54" s="519"/>
      <c r="AF54" s="519"/>
      <c r="AG54" s="519"/>
      <c r="AH54" s="519"/>
      <c r="AI54" s="798" t="s">
        <v>555</v>
      </c>
      <c r="AJ54" s="519"/>
      <c r="AK54" s="519" t="s">
        <v>557</v>
      </c>
      <c r="AL54" s="519"/>
    </row>
    <row r="55" spans="2:38" ht="23.25" x14ac:dyDescent="0.35">
      <c r="B55" s="1004"/>
      <c r="C55" s="1004"/>
      <c r="D55" s="1004"/>
      <c r="Q55" s="797">
        <f>+Q26+Q27+Q28+Q29+Q30+Q31+Q32+Q33+Q34+Q36+Q40+Q41+Q42+Q43+Q44+Q46</f>
        <v>0</v>
      </c>
      <c r="R55" t="s">
        <v>554</v>
      </c>
      <c r="AI55" s="797">
        <f>SUM(AI26:AI53)</f>
        <v>0</v>
      </c>
      <c r="AK55" s="800">
        <f>+AI55-Q55</f>
        <v>0</v>
      </c>
    </row>
    <row r="56" spans="2:38" x14ac:dyDescent="0.25">
      <c r="AI56">
        <v>4.2</v>
      </c>
    </row>
    <row r="57" spans="2:38" ht="21" x14ac:dyDescent="0.35">
      <c r="P57" t="s">
        <v>559</v>
      </c>
      <c r="Q57" s="781">
        <f>+Q35+Q37+Q38+Q39+Q45+Q47+Q48</f>
        <v>0</v>
      </c>
      <c r="AH57" t="s">
        <v>558</v>
      </c>
      <c r="AI57" s="800">
        <f>+AI55*AI56</f>
        <v>0</v>
      </c>
      <c r="AK57" s="800">
        <f>+AK55*AI56</f>
        <v>0</v>
      </c>
    </row>
    <row r="58" spans="2:38" x14ac:dyDescent="0.25">
      <c r="Q58" s="781"/>
    </row>
    <row r="59" spans="2:38" x14ac:dyDescent="0.25">
      <c r="Q59" s="781"/>
      <c r="AI59" t="s">
        <v>563</v>
      </c>
      <c r="AJ59" t="s">
        <v>558</v>
      </c>
      <c r="AK59" s="519" t="s">
        <v>557</v>
      </c>
      <c r="AL59" t="s">
        <v>562</v>
      </c>
    </row>
    <row r="60" spans="2:38" ht="23.25" x14ac:dyDescent="0.35">
      <c r="P60" t="s">
        <v>560</v>
      </c>
      <c r="Q60" s="797">
        <f>+Q26+Q27+Q28+Q29+Q32+Q33+Q34+Q36+Q43+Q44+Q46+Q30</f>
        <v>0</v>
      </c>
      <c r="AI60" s="797">
        <f>+AI26+AI27+AI28+AI29+AI32+AI33+AI34+AI36+AI43+AI44+AI46+AI30</f>
        <v>0</v>
      </c>
      <c r="AJ60" s="800">
        <f>+AI60*4.2</f>
        <v>0</v>
      </c>
      <c r="AK60" s="800">
        <f>+AI60-Q60</f>
        <v>0</v>
      </c>
      <c r="AL60" s="800">
        <f>+AK60*4.2</f>
        <v>0</v>
      </c>
    </row>
    <row r="61" spans="2:38" ht="23.25" x14ac:dyDescent="0.35">
      <c r="P61" t="s">
        <v>561</v>
      </c>
      <c r="Q61" s="797">
        <f>+Q31+Q40+Q41+Q42</f>
        <v>0</v>
      </c>
      <c r="AI61" s="797">
        <f>+AI31+AI40+AI41+AI42</f>
        <v>0</v>
      </c>
      <c r="AJ61" s="800">
        <f>+AI61*4.2</f>
        <v>0</v>
      </c>
      <c r="AK61" s="800">
        <f>+AI61-Q61</f>
        <v>0</v>
      </c>
      <c r="AL61" s="800">
        <f>+AK61*4.2</f>
        <v>0</v>
      </c>
    </row>
    <row r="62" spans="2:38" x14ac:dyDescent="0.25">
      <c r="Q62" s="781"/>
    </row>
    <row r="63" spans="2:38" x14ac:dyDescent="0.25">
      <c r="Q63" s="781"/>
    </row>
    <row r="65" spans="2:24" ht="31.5" x14ac:dyDescent="0.5">
      <c r="F65" s="784" t="s">
        <v>589</v>
      </c>
      <c r="G65" s="785"/>
      <c r="H65" s="785"/>
      <c r="I65" s="785"/>
      <c r="J65" s="785"/>
      <c r="K65" s="785"/>
      <c r="L65" s="785"/>
      <c r="M65" s="785"/>
      <c r="N65" s="785"/>
      <c r="O65" s="785"/>
      <c r="P65" s="785"/>
      <c r="Q65" s="785"/>
      <c r="R65" s="785"/>
      <c r="S65" s="785"/>
      <c r="T65" s="785"/>
      <c r="U65" s="785"/>
      <c r="V65" s="785"/>
      <c r="W65" s="785"/>
      <c r="X65" s="785"/>
    </row>
    <row r="66" spans="2:24" ht="21" x14ac:dyDescent="0.35">
      <c r="F66" s="782" t="s">
        <v>498</v>
      </c>
      <c r="H66" t="s">
        <v>499</v>
      </c>
    </row>
    <row r="67" spans="2:24" x14ac:dyDescent="0.25">
      <c r="H67" t="s">
        <v>504</v>
      </c>
      <c r="U67" t="s">
        <v>517</v>
      </c>
    </row>
    <row r="68" spans="2:24" ht="28.5" customHeight="1" x14ac:dyDescent="0.25">
      <c r="B68" s="1005" t="s">
        <v>590</v>
      </c>
      <c r="C68" s="1005"/>
      <c r="D68" s="1005"/>
      <c r="H68" t="s">
        <v>500</v>
      </c>
      <c r="I68" t="s">
        <v>501</v>
      </c>
      <c r="J68" t="s">
        <v>47</v>
      </c>
      <c r="S68" t="s">
        <v>503</v>
      </c>
    </row>
    <row r="69" spans="2:24" ht="21" customHeight="1" x14ac:dyDescent="0.25">
      <c r="B69" s="1005"/>
      <c r="C69" s="1005"/>
      <c r="D69" s="1005"/>
      <c r="J69" t="s">
        <v>502</v>
      </c>
      <c r="S69" t="s">
        <v>503</v>
      </c>
    </row>
    <row r="70" spans="2:24" ht="34.5" customHeight="1" x14ac:dyDescent="0.25">
      <c r="B70" s="1005"/>
      <c r="C70" s="1005"/>
      <c r="D70" s="1005"/>
      <c r="I70" t="s">
        <v>514</v>
      </c>
      <c r="S70" t="s">
        <v>503</v>
      </c>
    </row>
    <row r="71" spans="2:24" ht="24.75" customHeight="1" x14ac:dyDescent="0.25">
      <c r="B71" s="1005"/>
      <c r="C71" s="1005"/>
      <c r="D71" s="1005"/>
      <c r="I71" t="s">
        <v>516</v>
      </c>
    </row>
    <row r="72" spans="2:24" ht="15" customHeight="1" x14ac:dyDescent="0.25">
      <c r="B72" s="1005"/>
      <c r="C72" s="1005"/>
      <c r="D72" s="1005"/>
    </row>
    <row r="73" spans="2:24" ht="15" customHeight="1" x14ac:dyDescent="0.35">
      <c r="B73" s="1005"/>
      <c r="C73" s="1005"/>
      <c r="D73" s="1005"/>
      <c r="F73" s="782" t="s">
        <v>506</v>
      </c>
      <c r="H73" t="s">
        <v>505</v>
      </c>
      <c r="J73" t="s">
        <v>47</v>
      </c>
      <c r="S73" t="s">
        <v>503</v>
      </c>
    </row>
    <row r="74" spans="2:24" ht="15" customHeight="1" x14ac:dyDescent="0.25">
      <c r="B74" s="1005"/>
      <c r="C74" s="1005"/>
      <c r="D74" s="1005"/>
      <c r="I74" t="s">
        <v>507</v>
      </c>
      <c r="J74" t="s">
        <v>502</v>
      </c>
      <c r="S74" t="s">
        <v>503</v>
      </c>
    </row>
    <row r="75" spans="2:24" ht="15" customHeight="1" x14ac:dyDescent="0.25">
      <c r="B75" s="1005"/>
      <c r="C75" s="1005"/>
      <c r="D75" s="1005"/>
    </row>
    <row r="76" spans="2:24" ht="21" customHeight="1" x14ac:dyDescent="0.25">
      <c r="B76" s="1005"/>
      <c r="C76" s="1005"/>
      <c r="D76" s="1005"/>
      <c r="H76" t="s">
        <v>509</v>
      </c>
      <c r="S76" t="s">
        <v>503</v>
      </c>
    </row>
    <row r="77" spans="2:24" ht="15" customHeight="1" x14ac:dyDescent="0.25">
      <c r="B77" s="1005"/>
      <c r="C77" s="1005"/>
      <c r="D77" s="1005"/>
      <c r="S77" t="s">
        <v>503</v>
      </c>
    </row>
    <row r="78" spans="2:24" ht="15" customHeight="1" x14ac:dyDescent="0.25">
      <c r="B78" s="1005"/>
      <c r="C78" s="1005"/>
      <c r="D78" s="1005"/>
      <c r="S78" t="s">
        <v>508</v>
      </c>
    </row>
    <row r="79" spans="2:24" ht="15" customHeight="1" x14ac:dyDescent="0.25">
      <c r="B79" s="1005"/>
      <c r="C79" s="1005"/>
      <c r="D79" s="1005"/>
    </row>
    <row r="80" spans="2:24" ht="15" customHeight="1" x14ac:dyDescent="0.25">
      <c r="B80" s="1005"/>
      <c r="C80" s="1005"/>
      <c r="D80" s="1005"/>
    </row>
    <row r="81" spans="2:19" ht="15" customHeight="1" x14ac:dyDescent="0.25">
      <c r="B81" s="1005"/>
      <c r="C81" s="1005"/>
      <c r="D81" s="1005"/>
    </row>
    <row r="82" spans="2:19" ht="15" customHeight="1" x14ac:dyDescent="0.35">
      <c r="B82" s="1005"/>
      <c r="C82" s="1005"/>
      <c r="D82" s="1005"/>
      <c r="F82" s="782" t="s">
        <v>510</v>
      </c>
      <c r="H82" t="s">
        <v>543</v>
      </c>
      <c r="I82" t="s">
        <v>282</v>
      </c>
      <c r="J82" t="s">
        <v>544</v>
      </c>
    </row>
    <row r="83" spans="2:19" ht="15" customHeight="1" x14ac:dyDescent="0.25">
      <c r="B83" s="1005"/>
      <c r="C83" s="1005"/>
      <c r="D83" s="1005"/>
      <c r="H83" s="777"/>
      <c r="I83" s="777"/>
      <c r="J83" s="777"/>
      <c r="K83" s="777"/>
      <c r="S83" t="s">
        <v>512</v>
      </c>
    </row>
    <row r="84" spans="2:19" ht="15" customHeight="1" x14ac:dyDescent="0.25">
      <c r="B84" s="1005"/>
      <c r="C84" s="1005"/>
      <c r="D84" s="1005"/>
      <c r="H84" s="777"/>
      <c r="I84" s="777"/>
      <c r="J84" s="777"/>
      <c r="K84" s="777"/>
    </row>
    <row r="85" spans="2:19" ht="21" customHeight="1" x14ac:dyDescent="0.25">
      <c r="B85" s="1005"/>
      <c r="C85" s="1005"/>
      <c r="D85" s="1005"/>
      <c r="H85" s="777"/>
      <c r="I85" s="777"/>
      <c r="J85" s="777"/>
      <c r="K85" s="777"/>
    </row>
    <row r="86" spans="2:19" ht="15" customHeight="1" x14ac:dyDescent="0.25">
      <c r="B86" s="1005"/>
      <c r="C86" s="1005"/>
      <c r="D86" s="1005"/>
      <c r="H86" s="777"/>
      <c r="I86" s="777"/>
      <c r="J86" s="777"/>
      <c r="K86" s="777"/>
    </row>
    <row r="87" spans="2:19" ht="15" customHeight="1" x14ac:dyDescent="0.25">
      <c r="B87" s="1005"/>
      <c r="C87" s="1005"/>
      <c r="D87" s="1005"/>
      <c r="H87" s="777"/>
      <c r="I87" s="777"/>
      <c r="J87" s="777"/>
      <c r="K87" s="777"/>
    </row>
    <row r="88" spans="2:19" ht="15" customHeight="1" x14ac:dyDescent="0.25">
      <c r="B88" s="1005"/>
      <c r="C88" s="1005"/>
      <c r="D88" s="1005"/>
    </row>
    <row r="89" spans="2:19" ht="15" customHeight="1" x14ac:dyDescent="0.25">
      <c r="B89" s="1005"/>
      <c r="C89" s="1005"/>
      <c r="D89" s="1005"/>
    </row>
    <row r="90" spans="2:19" ht="15" customHeight="1" x14ac:dyDescent="0.25">
      <c r="B90" s="1005"/>
      <c r="C90" s="1005"/>
      <c r="D90" s="1005"/>
    </row>
    <row r="91" spans="2:19" ht="15" customHeight="1" x14ac:dyDescent="0.25">
      <c r="B91" s="1005"/>
      <c r="C91" s="1005"/>
      <c r="D91" s="1005"/>
    </row>
    <row r="92" spans="2:19" ht="15" customHeight="1" x14ac:dyDescent="0.25">
      <c r="B92" s="1005"/>
      <c r="C92" s="1005"/>
      <c r="D92" s="1005"/>
    </row>
    <row r="93" spans="2:19" ht="15" customHeight="1" x14ac:dyDescent="0.25">
      <c r="B93" s="1005"/>
      <c r="C93" s="1005"/>
      <c r="D93" s="1005"/>
      <c r="F93" t="s">
        <v>513</v>
      </c>
    </row>
    <row r="94" spans="2:19" ht="15" customHeight="1" x14ac:dyDescent="0.25">
      <c r="B94" s="1005"/>
      <c r="C94" s="1005"/>
      <c r="D94" s="1005"/>
      <c r="F94" t="s">
        <v>592</v>
      </c>
    </row>
    <row r="95" spans="2:19" ht="15" customHeight="1" x14ac:dyDescent="0.25">
      <c r="B95" s="1005"/>
      <c r="C95" s="1005"/>
      <c r="D95" s="1005"/>
      <c r="F95" t="s">
        <v>515</v>
      </c>
    </row>
    <row r="96" spans="2:19" ht="15" customHeight="1" x14ac:dyDescent="0.25">
      <c r="B96" s="1005"/>
      <c r="C96" s="1005"/>
      <c r="D96" s="1005"/>
      <c r="F96" t="s">
        <v>593</v>
      </c>
    </row>
    <row r="97" spans="2:6" ht="15" customHeight="1" x14ac:dyDescent="0.25">
      <c r="B97" s="1005"/>
      <c r="C97" s="1005"/>
      <c r="D97" s="1005"/>
      <c r="F97" t="s">
        <v>594</v>
      </c>
    </row>
    <row r="98" spans="2:6" ht="15" customHeight="1" x14ac:dyDescent="0.25">
      <c r="B98" s="1005"/>
      <c r="C98" s="1005"/>
      <c r="D98" s="1005"/>
    </row>
    <row r="99" spans="2:6" ht="15" customHeight="1" x14ac:dyDescent="0.25">
      <c r="B99" s="1005"/>
      <c r="C99" s="1005"/>
      <c r="D99" s="1005"/>
    </row>
    <row r="100" spans="2:6" ht="15" customHeight="1" x14ac:dyDescent="0.25">
      <c r="B100" s="1005"/>
      <c r="C100" s="1005"/>
      <c r="D100" s="1005"/>
    </row>
    <row r="101" spans="2:6" ht="15" customHeight="1" x14ac:dyDescent="0.25">
      <c r="B101" s="1005"/>
      <c r="C101" s="1005"/>
      <c r="D101" s="1005"/>
    </row>
    <row r="102" spans="2:6" ht="15" customHeight="1" x14ac:dyDescent="0.25">
      <c r="B102" s="1005"/>
      <c r="C102" s="1005"/>
      <c r="D102" s="1005"/>
    </row>
  </sheetData>
  <mergeCells count="4">
    <mergeCell ref="G4:U4"/>
    <mergeCell ref="G6:U6"/>
    <mergeCell ref="B9:D55"/>
    <mergeCell ref="B68:D102"/>
  </mergeCells>
  <phoneticPr fontId="68" type="noConversion"/>
  <conditionalFormatting sqref="AN1:AN3 AL4:AL7 AQ14 AK8 AL9 AP10:AP13 AN29:AN1048576 AR15:AR28">
    <cfRule type="containsText" dxfId="16" priority="1" operator="containsText" text="Saknas">
      <formula>NOT(ISERROR(SEARCH("Saknas",AK1)))</formula>
    </cfRule>
    <cfRule type="containsText" dxfId="15" priority="2" operator="containsText" text="Träff">
      <formula>NOT(ISERROR(SEARCH("Träff",AK1)))</formula>
    </cfRule>
  </conditionalFormatting>
  <pageMargins left="0.70866141732283472" right="0.70866141732283472" top="0.74803149606299213" bottom="0.74803149606299213" header="0.31496062992125984" footer="0.31496062992125984"/>
  <pageSetup paperSize="9" scale="10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DB287-2F18-46BC-919B-4F339DAE457C}">
  <sheetPr codeName="Sheet2">
    <tabColor theme="8" tint="-0.249977111117893"/>
  </sheetPr>
  <dimension ref="A1:BH48"/>
  <sheetViews>
    <sheetView showGridLines="0" workbookViewId="0">
      <selection activeCell="U38" sqref="U38"/>
    </sheetView>
  </sheetViews>
  <sheetFormatPr defaultRowHeight="15" x14ac:dyDescent="0.25"/>
  <cols>
    <col min="4" max="4" width="3.7109375" customWidth="1"/>
    <col min="5" max="5" width="5.42578125" customWidth="1"/>
    <col min="6" max="6" width="10.5703125" customWidth="1"/>
    <col min="7" max="7" width="2" customWidth="1"/>
    <col min="8" max="8" width="2.28515625" customWidth="1"/>
    <col min="11" max="11" width="14.5703125" customWidth="1"/>
    <col min="12" max="12" width="6.7109375" customWidth="1"/>
    <col min="13" max="13" width="2.28515625" customWidth="1"/>
    <col min="15" max="15" width="5" customWidth="1"/>
    <col min="18" max="18" width="8.85546875" bestFit="1" customWidth="1"/>
    <col min="19" max="19" width="3.7109375" customWidth="1"/>
    <col min="25" max="25" width="3.7109375" customWidth="1"/>
    <col min="30" max="30" width="5.7109375" customWidth="1"/>
    <col min="31" max="31" width="3.7109375" customWidth="1"/>
    <col min="37" max="37" width="3.7109375" customWidth="1"/>
    <col min="43" max="43" width="3.7109375" customWidth="1"/>
    <col min="44" max="44" width="16.5703125" customWidth="1"/>
    <col min="45" max="45" width="7.28515625" customWidth="1"/>
    <col min="46" max="48" width="6.7109375" customWidth="1"/>
    <col min="49" max="49" width="3.7109375" customWidth="1"/>
    <col min="51" max="51" width="5" customWidth="1"/>
    <col min="55" max="55" width="3.7109375" customWidth="1"/>
    <col min="61" max="61" width="3.7109375" customWidth="1"/>
  </cols>
  <sheetData>
    <row r="1" spans="1:60" ht="15.75" x14ac:dyDescent="0.25">
      <c r="A1" s="520" t="s">
        <v>235</v>
      </c>
    </row>
    <row r="2" spans="1:60" ht="18.75" x14ac:dyDescent="0.3">
      <c r="A2" s="568" t="s">
        <v>263</v>
      </c>
      <c r="B2" s="567"/>
      <c r="C2" s="568" t="str" cm="1">
        <f t="array" ref="C2:F2">+'Registrering &amp; Resultat'!G4:J4</f>
        <v>Kalkylbil 2022</v>
      </c>
      <c r="D2" s="567">
        <v>0</v>
      </c>
      <c r="E2" s="569">
        <v>0</v>
      </c>
      <c r="F2" s="567">
        <v>0</v>
      </c>
      <c r="G2" s="567"/>
      <c r="Q2" s="860" t="s">
        <v>647</v>
      </c>
      <c r="R2" s="859"/>
      <c r="S2" s="859"/>
      <c r="T2" s="859"/>
      <c r="U2" s="859"/>
    </row>
    <row r="3" spans="1:60" ht="15.75" thickBot="1" x14ac:dyDescent="0.3"/>
    <row r="4" spans="1:60" ht="16.5" thickTop="1" x14ac:dyDescent="0.25">
      <c r="A4" s="1" t="s">
        <v>0</v>
      </c>
      <c r="B4" s="2"/>
      <c r="C4" s="2"/>
      <c r="D4" s="3"/>
      <c r="E4" s="3"/>
      <c r="F4" s="3"/>
      <c r="G4" s="4"/>
      <c r="H4" s="5"/>
      <c r="I4" s="6" t="s">
        <v>1</v>
      </c>
      <c r="K4" s="7"/>
      <c r="N4" s="8" t="s">
        <v>2</v>
      </c>
      <c r="O4" s="9"/>
      <c r="P4" s="9"/>
      <c r="Q4" s="9"/>
      <c r="R4" s="10"/>
      <c r="T4" s="11" t="s">
        <v>3</v>
      </c>
      <c r="U4" s="12"/>
      <c r="V4" s="12"/>
      <c r="W4" s="12"/>
      <c r="X4" s="13"/>
      <c r="Z4" s="14" t="s">
        <v>4</v>
      </c>
      <c r="AA4" s="15"/>
      <c r="AB4" s="15"/>
      <c r="AC4" s="15"/>
      <c r="AD4" s="16"/>
      <c r="AF4" s="17" t="s">
        <v>5</v>
      </c>
      <c r="AG4" s="18"/>
      <c r="AH4" s="18"/>
      <c r="AI4" s="18"/>
      <c r="AJ4" s="19"/>
      <c r="AL4" s="20" t="s">
        <v>6</v>
      </c>
      <c r="AM4" s="21"/>
      <c r="AN4" s="21"/>
      <c r="AO4" s="21"/>
      <c r="AP4" s="22"/>
      <c r="AR4" s="23" t="s">
        <v>7</v>
      </c>
      <c r="AS4" s="24"/>
      <c r="AT4" s="24"/>
      <c r="AU4" s="24"/>
      <c r="AV4" s="25"/>
      <c r="AX4" s="26" t="s">
        <v>8</v>
      </c>
      <c r="AY4" s="27"/>
      <c r="AZ4" s="27"/>
      <c r="BA4" s="27"/>
      <c r="BB4" s="28"/>
      <c r="BD4" s="29" t="s">
        <v>9</v>
      </c>
      <c r="BE4" s="30"/>
      <c r="BF4" s="30"/>
      <c r="BG4" s="30"/>
      <c r="BH4" s="31"/>
    </row>
    <row r="5" spans="1:60" ht="15.75" thickBot="1" x14ac:dyDescent="0.3">
      <c r="A5" s="32"/>
      <c r="B5" s="33"/>
      <c r="C5" s="33"/>
      <c r="D5" s="33"/>
      <c r="E5" s="33"/>
      <c r="F5" s="33"/>
      <c r="G5" s="34"/>
      <c r="H5" s="35"/>
      <c r="I5" s="33"/>
      <c r="J5" s="33"/>
      <c r="K5" s="33"/>
      <c r="N5" s="36" t="s">
        <v>10</v>
      </c>
      <c r="O5" s="37"/>
      <c r="P5" s="37"/>
      <c r="Q5" s="37"/>
      <c r="R5" s="38"/>
      <c r="T5" s="39" t="s">
        <v>11</v>
      </c>
      <c r="U5" s="40" t="s">
        <v>12</v>
      </c>
      <c r="V5" s="41"/>
      <c r="W5" s="41"/>
      <c r="X5" s="42"/>
      <c r="Z5" s="43" t="s">
        <v>13</v>
      </c>
      <c r="AA5" s="44"/>
      <c r="AB5" s="44"/>
      <c r="AC5" s="44"/>
      <c r="AD5" s="45"/>
      <c r="AF5" s="46"/>
      <c r="AG5" s="47"/>
      <c r="AH5" s="47"/>
      <c r="AI5" s="47"/>
      <c r="AJ5" s="48"/>
      <c r="AL5" s="49"/>
      <c r="AM5" s="50"/>
      <c r="AN5" s="50"/>
      <c r="AO5" s="50"/>
      <c r="AP5" s="51"/>
      <c r="AR5" s="52"/>
      <c r="AS5" s="53" t="s">
        <v>14</v>
      </c>
      <c r="AT5" s="54" t="s">
        <v>15</v>
      </c>
      <c r="AU5" s="54" t="s">
        <v>16</v>
      </c>
      <c r="AV5" s="55" t="s">
        <v>17</v>
      </c>
      <c r="AX5" s="56" t="s">
        <v>11</v>
      </c>
      <c r="AY5" s="57" t="s">
        <v>18</v>
      </c>
      <c r="AZ5" s="57"/>
      <c r="BA5" s="57"/>
      <c r="BB5" s="58"/>
      <c r="BD5" s="59" t="s">
        <v>19</v>
      </c>
      <c r="BE5" s="60"/>
      <c r="BF5" s="60"/>
      <c r="BG5" s="60"/>
      <c r="BH5" s="61"/>
    </row>
    <row r="6" spans="1:60" ht="15.75" thickBot="1" x14ac:dyDescent="0.3">
      <c r="A6" s="62" t="s">
        <v>20</v>
      </c>
      <c r="B6" s="63"/>
      <c r="C6" s="63"/>
      <c r="D6" s="63"/>
      <c r="E6" s="63"/>
      <c r="F6" s="64"/>
      <c r="G6" s="34"/>
      <c r="H6" s="35"/>
      <c r="I6" s="65" t="s">
        <v>21</v>
      </c>
      <c r="J6" s="66"/>
      <c r="K6" s="67" t="s">
        <v>22</v>
      </c>
      <c r="N6" s="68" t="s">
        <v>23</v>
      </c>
      <c r="O6" s="69"/>
      <c r="P6" s="69"/>
      <c r="Q6" s="69"/>
      <c r="R6" s="70"/>
      <c r="T6" s="39"/>
      <c r="U6" s="71" t="s">
        <v>24</v>
      </c>
      <c r="V6" s="41"/>
      <c r="W6" s="41"/>
      <c r="X6" s="42"/>
      <c r="Z6" s="72"/>
      <c r="AA6" s="73"/>
      <c r="AB6" s="73"/>
      <c r="AC6" s="73"/>
      <c r="AD6" s="74"/>
      <c r="AF6" s="75" t="s">
        <v>25</v>
      </c>
      <c r="AG6" s="76"/>
      <c r="AH6" s="76"/>
      <c r="AI6" s="76"/>
      <c r="AJ6" s="77" t="s">
        <v>26</v>
      </c>
      <c r="AL6" s="78" t="s">
        <v>27</v>
      </c>
      <c r="AM6" s="79"/>
      <c r="AN6" s="79"/>
      <c r="AO6" s="79"/>
      <c r="AP6" s="80" t="s">
        <v>28</v>
      </c>
      <c r="AR6" s="81" t="s">
        <v>29</v>
      </c>
      <c r="AS6" s="82" t="s">
        <v>30</v>
      </c>
      <c r="AT6" s="82" t="s">
        <v>31</v>
      </c>
      <c r="AU6" s="82" t="s">
        <v>32</v>
      </c>
      <c r="AV6" s="83" t="s">
        <v>33</v>
      </c>
      <c r="AX6" s="84" t="s">
        <v>34</v>
      </c>
      <c r="AY6" s="85"/>
      <c r="AZ6" s="85"/>
      <c r="BA6" s="86"/>
      <c r="BB6" s="87"/>
      <c r="BD6" s="88"/>
      <c r="BE6" s="89"/>
      <c r="BF6" s="89"/>
      <c r="BG6" s="89"/>
      <c r="BH6" s="90"/>
    </row>
    <row r="7" spans="1:60" ht="15.75" thickBot="1" x14ac:dyDescent="0.3">
      <c r="A7" s="91" t="s">
        <v>35</v>
      </c>
      <c r="B7" s="92"/>
      <c r="C7" s="92"/>
      <c r="D7" s="92"/>
      <c r="E7" s="92"/>
      <c r="F7" s="553">
        <f>'Registrering &amp; Resultat'!K33</f>
        <v>2500</v>
      </c>
      <c r="G7" s="34"/>
      <c r="H7" s="35"/>
      <c r="I7" s="93" t="s">
        <v>36</v>
      </c>
      <c r="J7" s="94"/>
      <c r="K7" s="95">
        <f>IF(F13=0,0,(F12-F14)*F15/F13)</f>
        <v>122857.14285714286</v>
      </c>
      <c r="N7" s="96" t="s">
        <v>37</v>
      </c>
      <c r="O7" s="85"/>
      <c r="P7" s="85"/>
      <c r="Q7" s="85"/>
      <c r="R7" s="97" t="s">
        <v>38</v>
      </c>
      <c r="T7" s="98" t="s">
        <v>39</v>
      </c>
      <c r="U7" s="99"/>
      <c r="V7" s="99"/>
      <c r="W7" s="41"/>
      <c r="X7" s="42"/>
      <c r="Z7" s="1006" t="s">
        <v>40</v>
      </c>
      <c r="AA7" s="1007"/>
      <c r="AB7" s="1012" t="s">
        <v>41</v>
      </c>
      <c r="AC7" s="1013"/>
      <c r="AD7" s="100"/>
      <c r="AF7" s="101" t="s">
        <v>42</v>
      </c>
      <c r="AG7" s="102"/>
      <c r="AH7" s="102"/>
      <c r="AI7" s="103"/>
      <c r="AJ7" s="104"/>
      <c r="AL7" s="105" t="s">
        <v>43</v>
      </c>
      <c r="AM7" s="106"/>
      <c r="AN7" s="106" t="s">
        <v>266</v>
      </c>
      <c r="AO7" s="107"/>
      <c r="AP7" s="108">
        <v>26000</v>
      </c>
      <c r="AR7" s="109" t="s">
        <v>44</v>
      </c>
      <c r="AS7" s="110">
        <v>2</v>
      </c>
      <c r="AT7" s="110">
        <v>4</v>
      </c>
      <c r="AU7" s="110">
        <v>0</v>
      </c>
      <c r="AV7" s="111">
        <v>0</v>
      </c>
      <c r="AX7" s="84" t="s">
        <v>45</v>
      </c>
      <c r="AY7" s="85"/>
      <c r="AZ7" s="85"/>
      <c r="BA7" s="112"/>
      <c r="BB7" s="113"/>
      <c r="BD7" s="114" t="s">
        <v>46</v>
      </c>
      <c r="BE7" s="114"/>
      <c r="BF7" s="114"/>
      <c r="BG7" s="115" t="s">
        <v>47</v>
      </c>
      <c r="BH7" s="116" t="s">
        <v>33</v>
      </c>
    </row>
    <row r="8" spans="1:60" ht="15.75" thickBot="1" x14ac:dyDescent="0.3">
      <c r="A8" s="117" t="s">
        <v>48</v>
      </c>
      <c r="B8" s="118"/>
      <c r="C8" s="118"/>
      <c r="D8" s="118"/>
      <c r="E8" s="118"/>
      <c r="F8" s="554">
        <f>+'Registrering &amp; Resultat'!K34</f>
        <v>5000</v>
      </c>
      <c r="G8" s="34"/>
      <c r="H8" s="35"/>
      <c r="I8" s="119" t="s">
        <v>49</v>
      </c>
      <c r="J8" s="120"/>
      <c r="K8" s="121">
        <f>IF(F13=0,0,(F12+F14)/2*F16)</f>
        <v>35475</v>
      </c>
      <c r="N8" s="558" t="str">
        <f>'Registrering &amp; Resultat'!G11</f>
        <v>Distributionsbil</v>
      </c>
      <c r="O8" s="559"/>
      <c r="P8" s="559" t="s">
        <v>566</v>
      </c>
      <c r="Q8" s="559"/>
      <c r="R8" s="560">
        <f>'Registrering &amp; Resultat'!J11</f>
        <v>2150000</v>
      </c>
      <c r="T8" s="125" t="s">
        <v>50</v>
      </c>
      <c r="U8" s="126"/>
      <c r="V8" s="126"/>
      <c r="W8" s="127" t="s">
        <v>51</v>
      </c>
      <c r="X8" s="128" t="s">
        <v>52</v>
      </c>
      <c r="Z8" s="1006" t="s">
        <v>53</v>
      </c>
      <c r="AA8" s="1007"/>
      <c r="AB8" s="1014">
        <v>27000</v>
      </c>
      <c r="AC8" s="1009"/>
      <c r="AD8" s="100" t="s">
        <v>54</v>
      </c>
      <c r="AF8" s="129" t="s">
        <v>55</v>
      </c>
      <c r="AG8" s="130"/>
      <c r="AH8" s="130"/>
      <c r="AI8" s="131"/>
      <c r="AJ8" s="132">
        <v>15000</v>
      </c>
      <c r="AL8" s="133" t="s">
        <v>56</v>
      </c>
      <c r="AM8" s="134"/>
      <c r="AN8" s="134"/>
      <c r="AO8" s="135"/>
      <c r="AP8" s="136">
        <v>12000</v>
      </c>
      <c r="AR8" s="137" t="s">
        <v>57</v>
      </c>
      <c r="AS8" s="138" t="s">
        <v>262</v>
      </c>
      <c r="AT8" s="138"/>
      <c r="AU8" s="138"/>
      <c r="AV8" s="139">
        <f>IF(SUMPRODUCT(AS7:AV7,AS9:AV9)=0,"",SUMPRODUCT(AS7:AV7,AS9:AV9))</f>
        <v>31200</v>
      </c>
      <c r="AX8" s="140"/>
      <c r="AY8" s="141"/>
      <c r="AZ8" s="141"/>
      <c r="BA8" s="142"/>
      <c r="BB8" s="143"/>
      <c r="BD8" s="144" t="s">
        <v>58</v>
      </c>
      <c r="BE8" s="145"/>
      <c r="BF8" s="145"/>
      <c r="BG8" s="145"/>
      <c r="BH8" s="146"/>
    </row>
    <row r="9" spans="1:60" ht="15.75" thickBot="1" x14ac:dyDescent="0.3">
      <c r="A9" s="117" t="s">
        <v>244</v>
      </c>
      <c r="B9" s="118"/>
      <c r="C9" s="570">
        <f>'Registrering &amp; Resultat'!H35</f>
        <v>5</v>
      </c>
      <c r="D9" s="118" t="s">
        <v>245</v>
      </c>
      <c r="E9" s="118"/>
      <c r="F9" s="571">
        <f>'Registrering &amp; Resultat'!K35</f>
        <v>250</v>
      </c>
      <c r="G9" s="34"/>
      <c r="H9" s="35"/>
      <c r="I9" s="119" t="s">
        <v>59</v>
      </c>
      <c r="J9" s="120"/>
      <c r="K9" s="121">
        <f>+AC22</f>
        <v>14005</v>
      </c>
      <c r="N9" s="558">
        <f>'Registrering &amp; Resultat'!G12</f>
        <v>0</v>
      </c>
      <c r="O9" s="559"/>
      <c r="P9" s="559" t="s">
        <v>565</v>
      </c>
      <c r="Q9" s="559"/>
      <c r="R9" s="560" t="str">
        <f>'Registrering &amp; Resultat'!J12</f>
        <v>inkl ovan</v>
      </c>
      <c r="T9" s="149" t="s">
        <v>60</v>
      </c>
      <c r="U9" s="150"/>
      <c r="V9" s="151"/>
      <c r="W9" s="152"/>
      <c r="X9" s="153"/>
      <c r="Z9" s="1006" t="s">
        <v>61</v>
      </c>
      <c r="AA9" s="1007"/>
      <c r="AB9" s="1015" t="s">
        <v>568</v>
      </c>
      <c r="AC9" s="1016"/>
      <c r="AD9" s="100"/>
      <c r="AF9" s="129"/>
      <c r="AG9" s="130"/>
      <c r="AH9" s="130"/>
      <c r="AI9" s="131"/>
      <c r="AJ9" s="132"/>
      <c r="AL9" s="133" t="s">
        <v>63</v>
      </c>
      <c r="AM9" s="134"/>
      <c r="AN9" s="134"/>
      <c r="AO9" s="135"/>
      <c r="AP9" s="136">
        <v>0</v>
      </c>
      <c r="AR9" s="154" t="s">
        <v>64</v>
      </c>
      <c r="AS9" s="155">
        <v>5200</v>
      </c>
      <c r="AT9" s="155">
        <v>5200</v>
      </c>
      <c r="AU9" s="155">
        <v>3700</v>
      </c>
      <c r="AV9" s="156"/>
      <c r="AX9" s="84" t="s">
        <v>65</v>
      </c>
      <c r="AY9" s="85"/>
      <c r="AZ9" s="85"/>
      <c r="BA9" s="112" t="s">
        <v>66</v>
      </c>
      <c r="BB9" s="113" t="s">
        <v>67</v>
      </c>
      <c r="BD9" s="157" t="s">
        <v>68</v>
      </c>
      <c r="BE9" s="158"/>
      <c r="BF9" s="158"/>
      <c r="BG9" s="159"/>
      <c r="BH9" s="160"/>
    </row>
    <row r="10" spans="1:60" ht="15.75" thickBot="1" x14ac:dyDescent="0.3">
      <c r="A10" s="147"/>
      <c r="B10" s="147"/>
      <c r="C10" s="147"/>
      <c r="D10" s="147"/>
      <c r="E10" s="147"/>
      <c r="F10" s="147"/>
      <c r="G10" s="34"/>
      <c r="H10" s="35"/>
      <c r="I10" s="119" t="s">
        <v>70</v>
      </c>
      <c r="J10" s="120"/>
      <c r="K10" s="121">
        <f>F24</f>
        <v>24000</v>
      </c>
      <c r="N10" s="558">
        <f>'Registrering &amp; Resultat'!G13</f>
        <v>0</v>
      </c>
      <c r="O10" s="559"/>
      <c r="P10" s="559" t="str">
        <f>'Registrering &amp; Resultat'!H13</f>
        <v>Bakgavellift</v>
      </c>
      <c r="Q10" s="559"/>
      <c r="R10" s="560" t="str">
        <f>'Registrering &amp; Resultat'!J13</f>
        <v>inkl ovan</v>
      </c>
      <c r="T10" s="167" t="s">
        <v>71</v>
      </c>
      <c r="U10" s="168"/>
      <c r="V10" s="169"/>
      <c r="W10" s="170">
        <v>1</v>
      </c>
      <c r="X10" s="846">
        <f>'Registrering &amp; Resultat'!G29</f>
        <v>3.6</v>
      </c>
      <c r="Z10" s="1006" t="s">
        <v>72</v>
      </c>
      <c r="AA10" s="1007"/>
      <c r="AB10" s="1008">
        <v>2</v>
      </c>
      <c r="AC10" s="1009"/>
      <c r="AD10" s="100" t="s">
        <v>73</v>
      </c>
      <c r="AF10" s="129" t="s">
        <v>74</v>
      </c>
      <c r="AG10" s="130"/>
      <c r="AH10" s="130"/>
      <c r="AI10" s="131"/>
      <c r="AJ10" s="132">
        <v>4000</v>
      </c>
      <c r="AL10" s="133"/>
      <c r="AM10" s="134"/>
      <c r="AN10" s="134"/>
      <c r="AO10" s="135"/>
      <c r="AP10" s="136"/>
      <c r="AR10" s="172" t="s">
        <v>75</v>
      </c>
      <c r="AS10" s="110"/>
      <c r="AT10" s="110">
        <v>4100</v>
      </c>
      <c r="AU10" s="110">
        <v>4100</v>
      </c>
      <c r="AV10" s="111"/>
      <c r="AX10" s="173" t="s">
        <v>76</v>
      </c>
      <c r="AY10" s="174"/>
      <c r="AZ10" s="174"/>
      <c r="BA10" s="175"/>
      <c r="BB10" s="176"/>
      <c r="BD10" s="157" t="s">
        <v>77</v>
      </c>
      <c r="BE10" s="158"/>
      <c r="BF10" s="158"/>
      <c r="BG10" s="159"/>
      <c r="BH10" s="177">
        <f>BG10</f>
        <v>0</v>
      </c>
    </row>
    <row r="11" spans="1:60" ht="15.75" thickBot="1" x14ac:dyDescent="0.3">
      <c r="A11" s="161" t="s">
        <v>69</v>
      </c>
      <c r="B11" s="162"/>
      <c r="C11" s="162"/>
      <c r="D11" s="162"/>
      <c r="E11" s="162"/>
      <c r="F11" s="163"/>
      <c r="G11" s="34"/>
      <c r="H11" s="35"/>
      <c r="I11" s="180" t="s">
        <v>79</v>
      </c>
      <c r="J11" s="120"/>
      <c r="K11" s="121">
        <f>F25</f>
        <v>47100</v>
      </c>
      <c r="N11" s="558">
        <f>'Registrering &amp; Resultat'!G14</f>
        <v>0</v>
      </c>
      <c r="O11" s="561"/>
      <c r="P11" s="559">
        <f>'Registrering &amp; Resultat'!H14</f>
        <v>0</v>
      </c>
      <c r="Q11" s="561"/>
      <c r="R11" s="560">
        <f>'Registrering &amp; Resultat'!J14</f>
        <v>0</v>
      </c>
      <c r="T11" s="167" t="s">
        <v>80</v>
      </c>
      <c r="U11" s="168"/>
      <c r="V11" s="169"/>
      <c r="W11" s="170">
        <v>0</v>
      </c>
      <c r="X11" s="171">
        <f>+X10</f>
        <v>3.6</v>
      </c>
      <c r="Z11" s="1010" t="s">
        <v>81</v>
      </c>
      <c r="AA11" s="1011"/>
      <c r="AB11" s="1008" t="s">
        <v>82</v>
      </c>
      <c r="AC11" s="1009"/>
      <c r="AD11" s="100"/>
      <c r="AF11" s="129"/>
      <c r="AG11" s="130"/>
      <c r="AH11" s="130"/>
      <c r="AI11" s="131"/>
      <c r="AJ11" s="132"/>
      <c r="AL11" s="133"/>
      <c r="AM11" s="134"/>
      <c r="AN11" s="134"/>
      <c r="AO11" s="135"/>
      <c r="AP11" s="136">
        <v>0</v>
      </c>
      <c r="AR11" s="172" t="s">
        <v>84</v>
      </c>
      <c r="AS11" s="110">
        <v>500</v>
      </c>
      <c r="AT11" s="110">
        <v>400</v>
      </c>
      <c r="AU11" s="110">
        <v>400</v>
      </c>
      <c r="AV11" s="111"/>
      <c r="AX11" s="181" t="s">
        <v>85</v>
      </c>
      <c r="AY11" s="182"/>
      <c r="AZ11" s="182"/>
      <c r="BA11" s="183">
        <v>4.2</v>
      </c>
      <c r="BB11" s="184"/>
      <c r="BD11" s="157" t="s">
        <v>86</v>
      </c>
      <c r="BE11" s="158"/>
      <c r="BF11" s="158"/>
      <c r="BG11" s="185">
        <f>BG9*BG10</f>
        <v>0</v>
      </c>
      <c r="BH11" s="186">
        <f>BH9*BH10</f>
        <v>0</v>
      </c>
    </row>
    <row r="12" spans="1:60" ht="15.75" thickTop="1" x14ac:dyDescent="0.25">
      <c r="A12" s="178" t="s">
        <v>247</v>
      </c>
      <c r="B12" s="179"/>
      <c r="C12" s="179"/>
      <c r="D12" s="179"/>
      <c r="E12" s="179"/>
      <c r="F12" s="543">
        <f>$R$15</f>
        <v>2150000</v>
      </c>
      <c r="G12" s="34"/>
      <c r="H12" s="35"/>
      <c r="I12" s="180" t="s">
        <v>88</v>
      </c>
      <c r="J12" s="120"/>
      <c r="K12" s="188"/>
      <c r="N12" s="558">
        <f>'Registrering &amp; Resultat'!G15</f>
        <v>0</v>
      </c>
      <c r="O12" s="561"/>
      <c r="P12" s="559">
        <f>'Registrering &amp; Resultat'!H15</f>
        <v>0</v>
      </c>
      <c r="Q12" s="561"/>
      <c r="R12" s="560">
        <f>'Registrering &amp; Resultat'!J15</f>
        <v>0</v>
      </c>
      <c r="T12" s="167" t="s">
        <v>89</v>
      </c>
      <c r="U12" s="168"/>
      <c r="V12" s="169"/>
      <c r="W12" s="170"/>
      <c r="X12" s="171"/>
      <c r="Z12" s="189"/>
      <c r="AA12" s="190"/>
      <c r="AB12" s="190"/>
      <c r="AC12" s="190"/>
      <c r="AD12" s="191"/>
      <c r="AF12" s="129" t="s">
        <v>90</v>
      </c>
      <c r="AG12" s="130"/>
      <c r="AH12" s="130"/>
      <c r="AI12" s="131"/>
      <c r="AJ12" s="132">
        <v>5000</v>
      </c>
      <c r="AL12" s="133" t="s">
        <v>239</v>
      </c>
      <c r="AM12" s="134"/>
      <c r="AN12" s="134"/>
      <c r="AO12" s="518">
        <v>6000</v>
      </c>
      <c r="AP12" s="136">
        <v>3600</v>
      </c>
      <c r="AR12" s="137" t="s">
        <v>91</v>
      </c>
      <c r="AS12" s="138"/>
      <c r="AT12" s="138"/>
      <c r="AU12" s="138"/>
      <c r="AV12" s="192"/>
      <c r="AX12" s="181" t="s">
        <v>92</v>
      </c>
      <c r="AY12" s="182"/>
      <c r="AZ12" s="182"/>
      <c r="BA12" s="183"/>
      <c r="BB12" s="184"/>
      <c r="BD12" s="193"/>
      <c r="BE12" s="194"/>
      <c r="BF12" s="194"/>
      <c r="BG12" s="195"/>
      <c r="BH12" s="196"/>
    </row>
    <row r="13" spans="1:60" ht="15.75" thickBot="1" x14ac:dyDescent="0.3">
      <c r="A13" s="187" t="s">
        <v>87</v>
      </c>
      <c r="B13" s="120"/>
      <c r="C13" s="120"/>
      <c r="D13" s="120"/>
      <c r="E13" s="120"/>
      <c r="F13" s="544">
        <f>$R$17</f>
        <v>7</v>
      </c>
      <c r="G13" s="34"/>
      <c r="H13" s="35"/>
      <c r="I13" s="197"/>
      <c r="J13" s="148"/>
      <c r="K13" s="198"/>
      <c r="N13" s="558" t="str">
        <f>'Registrering &amp; Resultat'!G16</f>
        <v>Bidrag (Miljö)</v>
      </c>
      <c r="O13" s="562"/>
      <c r="P13" s="559" t="str">
        <f>'Registrering &amp; Resultat'!H16</f>
        <v>Minuspost</v>
      </c>
      <c r="Q13" s="562"/>
      <c r="R13" s="560">
        <f>'Registrering &amp; Resultat'!J16</f>
        <v>0</v>
      </c>
      <c r="T13" s="201" t="s">
        <v>94</v>
      </c>
      <c r="U13" s="202"/>
      <c r="V13" s="203"/>
      <c r="W13" s="204"/>
      <c r="X13" s="205"/>
      <c r="Z13" s="206" t="s">
        <v>95</v>
      </c>
      <c r="AA13" s="190"/>
      <c r="AB13" s="207"/>
      <c r="AC13" s="208"/>
      <c r="AD13" s="209"/>
      <c r="AF13" s="129" t="s">
        <v>265</v>
      </c>
      <c r="AG13" s="130"/>
      <c r="AH13" s="130"/>
      <c r="AI13" s="131"/>
      <c r="AJ13" s="132"/>
      <c r="AL13" s="133" t="s">
        <v>567</v>
      </c>
      <c r="AM13" s="134"/>
      <c r="AN13" s="134"/>
      <c r="AO13" s="518"/>
      <c r="AP13" s="136"/>
      <c r="AR13" s="154" t="s">
        <v>96</v>
      </c>
      <c r="AS13" s="155">
        <v>15000</v>
      </c>
      <c r="AT13" s="155">
        <v>15000</v>
      </c>
      <c r="AU13" s="155">
        <v>15000</v>
      </c>
      <c r="AV13" s="156"/>
      <c r="AX13" s="181" t="s">
        <v>97</v>
      </c>
      <c r="AY13" s="182"/>
      <c r="AZ13" s="182"/>
      <c r="BA13" s="183">
        <v>0</v>
      </c>
      <c r="BB13" s="184"/>
      <c r="BD13" s="210" t="s">
        <v>98</v>
      </c>
      <c r="BE13" s="210"/>
      <c r="BF13" s="210"/>
      <c r="BG13" s="211" t="s">
        <v>47</v>
      </c>
      <c r="BH13" s="212" t="s">
        <v>33</v>
      </c>
    </row>
    <row r="14" spans="1:60" ht="15.75" thickBot="1" x14ac:dyDescent="0.3">
      <c r="A14" s="187" t="s">
        <v>93</v>
      </c>
      <c r="B14" s="120"/>
      <c r="C14" s="120"/>
      <c r="D14" s="120"/>
      <c r="E14" s="120"/>
      <c r="F14" s="545">
        <f>$R$26</f>
        <v>430000</v>
      </c>
      <c r="G14" s="34"/>
      <c r="H14" s="35"/>
      <c r="I14" s="213" t="s">
        <v>100</v>
      </c>
      <c r="J14" s="214"/>
      <c r="K14" s="215">
        <f>SUM(K7:K13)</f>
        <v>243437.14285714284</v>
      </c>
      <c r="N14" s="199" t="s">
        <v>101</v>
      </c>
      <c r="O14" s="200"/>
      <c r="P14" s="200"/>
      <c r="Q14" s="200"/>
      <c r="R14" s="216"/>
      <c r="T14" s="217" t="s">
        <v>102</v>
      </c>
      <c r="U14" s="218"/>
      <c r="V14" s="218"/>
      <c r="W14" s="219">
        <f>1-SUM(W9:W13)</f>
        <v>0</v>
      </c>
      <c r="X14" s="220"/>
      <c r="Z14" s="221" t="s">
        <v>59</v>
      </c>
      <c r="AA14" s="222"/>
      <c r="AB14" s="223"/>
      <c r="AC14" s="224">
        <v>565</v>
      </c>
      <c r="AD14" s="225"/>
      <c r="AF14" s="129"/>
      <c r="AG14" s="130"/>
      <c r="AH14" s="130"/>
      <c r="AI14" s="131"/>
      <c r="AJ14" s="132"/>
      <c r="AL14" s="133" t="s">
        <v>240</v>
      </c>
      <c r="AM14" s="134"/>
      <c r="AN14" s="134"/>
      <c r="AO14" s="518">
        <v>1500</v>
      </c>
      <c r="AP14" s="136"/>
      <c r="AR14" s="172" t="s">
        <v>103</v>
      </c>
      <c r="AS14" s="110"/>
      <c r="AT14" s="110">
        <v>11000</v>
      </c>
      <c r="AU14" s="110">
        <v>13000</v>
      </c>
      <c r="AV14" s="111"/>
      <c r="AX14" s="181"/>
      <c r="AY14" s="182"/>
      <c r="AZ14" s="182"/>
      <c r="BA14" s="183"/>
      <c r="BB14" s="184"/>
      <c r="BD14" s="157" t="s">
        <v>104</v>
      </c>
      <c r="BE14" s="158"/>
      <c r="BF14" s="226" t="s">
        <v>105</v>
      </c>
      <c r="BG14" s="227"/>
      <c r="BH14" s="228"/>
    </row>
    <row r="15" spans="1:60" x14ac:dyDescent="0.25">
      <c r="A15" s="187" t="s">
        <v>99</v>
      </c>
      <c r="B15" s="120"/>
      <c r="C15" s="120"/>
      <c r="D15" s="120"/>
      <c r="E15" s="120"/>
      <c r="F15" s="546">
        <f>$Q$29</f>
        <v>0.5</v>
      </c>
      <c r="G15" s="34"/>
      <c r="H15" s="35"/>
      <c r="I15" s="148"/>
      <c r="J15" s="148"/>
      <c r="K15" s="229"/>
      <c r="N15" s="230" t="s">
        <v>107</v>
      </c>
      <c r="O15" s="231"/>
      <c r="P15" s="231"/>
      <c r="Q15" s="231"/>
      <c r="R15" s="232">
        <f>SUM(R7:R14)</f>
        <v>2150000</v>
      </c>
      <c r="T15" s="233" t="s">
        <v>108</v>
      </c>
      <c r="U15" s="234"/>
      <c r="V15" s="234"/>
      <c r="W15" s="235">
        <f>SUM(W9:W14)</f>
        <v>1</v>
      </c>
      <c r="X15" s="236">
        <f>ROUND(SUMPRODUCT(W9:W14,X9:X14),2)</f>
        <v>3.6</v>
      </c>
      <c r="Z15" s="221" t="s">
        <v>109</v>
      </c>
      <c r="AA15" s="222"/>
      <c r="AB15" s="223"/>
      <c r="AC15" s="237">
        <v>12912</v>
      </c>
      <c r="AD15" s="225"/>
      <c r="AF15" s="129"/>
      <c r="AG15" s="130"/>
      <c r="AH15" s="130"/>
      <c r="AI15" s="131"/>
      <c r="AJ15" s="132"/>
      <c r="AL15" s="133" t="s">
        <v>267</v>
      </c>
      <c r="AM15" s="134"/>
      <c r="AN15" s="134"/>
      <c r="AO15" s="518">
        <v>16994</v>
      </c>
      <c r="AP15" s="136"/>
      <c r="AR15" s="238"/>
      <c r="AS15" s="190"/>
      <c r="AT15" s="190"/>
      <c r="AU15" s="190"/>
      <c r="AV15" s="239"/>
      <c r="AX15" s="181" t="s">
        <v>110</v>
      </c>
      <c r="AY15" s="182"/>
      <c r="AZ15" s="182"/>
      <c r="BA15" s="183"/>
      <c r="BB15" s="184"/>
      <c r="BD15" s="157" t="s">
        <v>111</v>
      </c>
      <c r="BE15" s="158"/>
      <c r="BF15" s="226" t="s">
        <v>105</v>
      </c>
      <c r="BG15" s="227"/>
      <c r="BH15" s="240"/>
    </row>
    <row r="16" spans="1:60" ht="15.75" thickBot="1" x14ac:dyDescent="0.3">
      <c r="A16" s="117" t="s">
        <v>106</v>
      </c>
      <c r="B16" s="118"/>
      <c r="C16" s="118"/>
      <c r="D16" s="118"/>
      <c r="E16" s="118"/>
      <c r="F16" s="555">
        <f>+'Registrering &amp; Resultat'!G22</f>
        <v>2.75E-2</v>
      </c>
      <c r="G16" s="34"/>
      <c r="H16" s="35"/>
      <c r="I16" s="148"/>
      <c r="J16" s="148"/>
      <c r="K16" s="229"/>
      <c r="N16" s="241"/>
      <c r="O16" s="242"/>
      <c r="P16" s="242"/>
      <c r="Q16" s="242"/>
      <c r="R16" s="243"/>
      <c r="T16" s="244"/>
      <c r="U16" s="245"/>
      <c r="V16" s="245"/>
      <c r="W16" s="245"/>
      <c r="X16" s="246"/>
      <c r="Z16" s="247"/>
      <c r="AA16" s="248"/>
      <c r="AB16" s="248"/>
      <c r="AC16" s="249"/>
      <c r="AD16" s="225"/>
      <c r="AF16" s="129"/>
      <c r="AG16" s="130"/>
      <c r="AH16" s="130"/>
      <c r="AI16" s="131"/>
      <c r="AJ16" s="132"/>
      <c r="AL16" s="133" t="s">
        <v>620</v>
      </c>
      <c r="AM16" s="134"/>
      <c r="AN16" s="134"/>
      <c r="AO16" s="135"/>
      <c r="AP16" s="136">
        <f>550*10</f>
        <v>5500</v>
      </c>
      <c r="AR16" s="137" t="s">
        <v>112</v>
      </c>
      <c r="AS16" s="138"/>
      <c r="AT16" s="138"/>
      <c r="AU16" s="138"/>
      <c r="AV16" s="192"/>
      <c r="AX16" s="181" t="s">
        <v>113</v>
      </c>
      <c r="AY16" s="182"/>
      <c r="AZ16" s="182"/>
      <c r="BA16" s="183"/>
      <c r="BB16" s="184">
        <v>12000</v>
      </c>
      <c r="BD16" s="157" t="s">
        <v>114</v>
      </c>
      <c r="BE16" s="158"/>
      <c r="BF16" s="226" t="s">
        <v>105</v>
      </c>
      <c r="BG16" s="227"/>
      <c r="BH16" s="228"/>
    </row>
    <row r="17" spans="1:60" ht="15.75" thickBot="1" x14ac:dyDescent="0.3">
      <c r="A17" s="147"/>
      <c r="B17" s="148"/>
      <c r="C17" s="148"/>
      <c r="D17" s="148"/>
      <c r="E17" s="148"/>
      <c r="F17" s="148"/>
      <c r="G17" s="34"/>
      <c r="H17" s="35"/>
      <c r="I17" s="252" t="s">
        <v>116</v>
      </c>
      <c r="J17" s="253"/>
      <c r="K17" s="254"/>
      <c r="N17" s="230" t="s">
        <v>117</v>
      </c>
      <c r="O17" s="231"/>
      <c r="P17" s="231"/>
      <c r="Q17" s="255" t="s">
        <v>118</v>
      </c>
      <c r="R17" s="563">
        <f>+'Registrering &amp; Resultat'!G20</f>
        <v>7</v>
      </c>
      <c r="T17" s="256" t="s">
        <v>119</v>
      </c>
      <c r="U17" s="257"/>
      <c r="V17" s="257"/>
      <c r="W17" s="257"/>
      <c r="X17" s="258"/>
      <c r="Z17" s="259" t="s">
        <v>120</v>
      </c>
      <c r="AA17" s="248"/>
      <c r="AB17" s="248"/>
      <c r="AC17" s="249">
        <v>528</v>
      </c>
      <c r="AD17" s="225"/>
      <c r="AF17" s="129"/>
      <c r="AG17" s="130"/>
      <c r="AH17" s="130"/>
      <c r="AI17" s="131"/>
      <c r="AJ17" s="132"/>
      <c r="AL17" s="133"/>
      <c r="AM17" s="134"/>
      <c r="AN17" s="134"/>
      <c r="AO17" s="135"/>
      <c r="AP17" s="136"/>
      <c r="AR17" s="154" t="s">
        <v>96</v>
      </c>
      <c r="AS17" s="260">
        <f>IF(AS13=0,0,(AS9+AS11)/AS13)</f>
        <v>0.38</v>
      </c>
      <c r="AT17" s="260">
        <f>IF(AT13=0,0,(AT9+AT11)/AT13)</f>
        <v>0.37333333333333335</v>
      </c>
      <c r="AU17" s="260">
        <f>IF(AU13=0,0,(AU9+AU11)/AU13)</f>
        <v>0.27333333333333332</v>
      </c>
      <c r="AV17" s="261">
        <f>IF(AV13=0,0,(AV9+AV11)/AV13)</f>
        <v>0</v>
      </c>
      <c r="AX17" s="181" t="s">
        <v>241</v>
      </c>
      <c r="AY17" s="182"/>
      <c r="AZ17" s="182"/>
      <c r="BA17" s="183"/>
      <c r="BB17" s="184"/>
      <c r="BD17" s="133"/>
      <c r="BE17" s="134"/>
      <c r="BF17" s="134"/>
      <c r="BG17" s="227"/>
      <c r="BH17" s="240"/>
    </row>
    <row r="18" spans="1:60" ht="15.75" thickBot="1" x14ac:dyDescent="0.3">
      <c r="A18" s="62" t="s">
        <v>115</v>
      </c>
      <c r="B18" s="250"/>
      <c r="C18" s="250"/>
      <c r="D18" s="250"/>
      <c r="E18" s="250"/>
      <c r="F18" s="251"/>
      <c r="G18" s="34"/>
      <c r="H18" s="35"/>
      <c r="I18" s="93" t="s">
        <v>123</v>
      </c>
      <c r="J18" s="94"/>
      <c r="K18" s="262">
        <f>IF(OR(F13=0,F8=0),0,(F12-F14)*(1-F15)/F13/F8)</f>
        <v>24.571428571428569</v>
      </c>
      <c r="N18" s="263"/>
      <c r="O18" s="264"/>
      <c r="P18" s="264"/>
      <c r="Q18" s="264"/>
      <c r="R18" s="265"/>
      <c r="T18" s="125" t="s">
        <v>58</v>
      </c>
      <c r="U18" s="126"/>
      <c r="V18" s="126"/>
      <c r="W18" s="126" t="s">
        <v>124</v>
      </c>
      <c r="X18" s="266" t="s">
        <v>749</v>
      </c>
      <c r="Z18" s="247"/>
      <c r="AA18" s="248"/>
      <c r="AB18" s="248"/>
      <c r="AC18" s="249"/>
      <c r="AD18" s="225"/>
      <c r="AF18" s="129"/>
      <c r="AG18" s="130"/>
      <c r="AH18" s="130"/>
      <c r="AI18" s="131"/>
      <c r="AJ18" s="132"/>
      <c r="AL18" s="133"/>
      <c r="AM18" s="134"/>
      <c r="AN18" s="134"/>
      <c r="AO18" s="135"/>
      <c r="AP18" s="136"/>
      <c r="AR18" s="172" t="s">
        <v>103</v>
      </c>
      <c r="AS18" s="267">
        <f>IF(AS14=0,0,(AS10+AS11)/AS14)</f>
        <v>0</v>
      </c>
      <c r="AT18" s="267">
        <f>IF(AT14=0,0,(AT10+AT11)/AT14)</f>
        <v>0.40909090909090912</v>
      </c>
      <c r="AU18" s="267">
        <f>IF(AU14=0,0,(AU10+AU11)/AU14)</f>
        <v>0.34615384615384615</v>
      </c>
      <c r="AV18" s="268">
        <f>IF(AV14=0,0,(AV10+AV11)/AV14)</f>
        <v>0</v>
      </c>
      <c r="AX18" s="181" t="s">
        <v>114</v>
      </c>
      <c r="AY18" s="182"/>
      <c r="AZ18" s="182"/>
      <c r="BA18" s="183"/>
      <c r="BB18" s="184">
        <v>2500</v>
      </c>
      <c r="BD18" s="133"/>
      <c r="BE18" s="134"/>
      <c r="BF18" s="134"/>
      <c r="BG18" s="227"/>
      <c r="BH18" s="240"/>
    </row>
    <row r="19" spans="1:60" ht="15.75" thickBot="1" x14ac:dyDescent="0.3">
      <c r="A19" s="91" t="s">
        <v>122</v>
      </c>
      <c r="B19" s="92"/>
      <c r="C19" s="92"/>
      <c r="D19" s="92"/>
      <c r="E19" s="92"/>
      <c r="F19" s="547">
        <f>$X$15</f>
        <v>3.6</v>
      </c>
      <c r="G19" s="34"/>
      <c r="H19" s="35"/>
      <c r="I19" s="119" t="s">
        <v>127</v>
      </c>
      <c r="J19" s="120"/>
      <c r="K19" s="269">
        <f>F28</f>
        <v>3.85</v>
      </c>
      <c r="N19" s="68" t="s">
        <v>128</v>
      </c>
      <c r="O19" s="270"/>
      <c r="P19" s="270"/>
      <c r="Q19" s="270"/>
      <c r="R19" s="271"/>
      <c r="T19" s="272"/>
      <c r="U19" s="273"/>
      <c r="V19" s="274"/>
      <c r="W19" s="152"/>
      <c r="X19" s="275"/>
      <c r="Z19" s="247"/>
      <c r="AA19" s="248"/>
      <c r="AB19" s="248"/>
      <c r="AC19" s="249"/>
      <c r="AD19" s="225"/>
      <c r="AF19" s="129"/>
      <c r="AG19" s="130"/>
      <c r="AH19" s="130"/>
      <c r="AI19" s="131"/>
      <c r="AJ19" s="132"/>
      <c r="AL19" s="133"/>
      <c r="AM19" s="134"/>
      <c r="AN19" s="134"/>
      <c r="AO19" s="135"/>
      <c r="AP19" s="136"/>
      <c r="AR19" s="238"/>
      <c r="AS19" s="190"/>
      <c r="AT19" s="190"/>
      <c r="AU19" s="190"/>
      <c r="AV19" s="239"/>
      <c r="AX19" s="181"/>
      <c r="AY19" s="182"/>
      <c r="AZ19" s="182"/>
      <c r="BA19" s="183"/>
      <c r="BB19" s="184"/>
      <c r="BD19" s="133"/>
      <c r="BE19" s="134"/>
      <c r="BF19" s="134"/>
      <c r="BG19" s="227"/>
      <c r="BH19" s="240"/>
    </row>
    <row r="20" spans="1:60" ht="16.5" thickTop="1" thickBot="1" x14ac:dyDescent="0.3">
      <c r="A20" s="117" t="s">
        <v>126</v>
      </c>
      <c r="B20" s="118"/>
      <c r="C20" s="118"/>
      <c r="D20" s="118"/>
      <c r="E20" s="118"/>
      <c r="F20" s="548">
        <f>$X$29</f>
        <v>25.2</v>
      </c>
      <c r="G20" s="34"/>
      <c r="H20" s="35"/>
      <c r="I20" s="119" t="s">
        <v>8</v>
      </c>
      <c r="J20" s="120"/>
      <c r="K20" s="269">
        <f>F29</f>
        <v>7.7</v>
      </c>
      <c r="N20" s="96" t="s">
        <v>37</v>
      </c>
      <c r="O20" s="277"/>
      <c r="P20" s="277"/>
      <c r="Q20" s="277"/>
      <c r="R20" s="97" t="s">
        <v>38</v>
      </c>
      <c r="T20" s="167" t="str">
        <f>+'Registrering &amp; Resultat'!H28</f>
        <v>Bränslepris</v>
      </c>
      <c r="U20" s="273"/>
      <c r="V20" s="169"/>
      <c r="W20" s="170">
        <v>1</v>
      </c>
      <c r="X20" s="847">
        <f>+'Registrering &amp; Resultat'!G28</f>
        <v>25.2</v>
      </c>
      <c r="Z20" s="247"/>
      <c r="AA20" s="248"/>
      <c r="AB20" s="248"/>
      <c r="AC20" s="249"/>
      <c r="AD20" s="225"/>
      <c r="AF20" s="129"/>
      <c r="AG20" s="130"/>
      <c r="AH20" s="130"/>
      <c r="AI20" s="131"/>
      <c r="AJ20" s="132"/>
      <c r="AL20" s="133"/>
      <c r="AM20" s="134"/>
      <c r="AN20" s="134"/>
      <c r="AO20" s="135"/>
      <c r="AP20" s="136"/>
      <c r="AR20" s="137" t="s">
        <v>130</v>
      </c>
      <c r="AS20" s="138"/>
      <c r="AT20" s="138"/>
      <c r="AU20" s="138"/>
      <c r="AV20" s="192"/>
      <c r="AX20" s="181" t="s">
        <v>131</v>
      </c>
      <c r="AY20" s="182"/>
      <c r="AZ20" s="182"/>
      <c r="BA20" s="183"/>
      <c r="BB20" s="184">
        <v>3000</v>
      </c>
      <c r="BD20" s="279" t="s">
        <v>132</v>
      </c>
      <c r="BE20" s="280"/>
      <c r="BF20" s="280"/>
      <c r="BG20" s="281">
        <f>SUM(BG14:BG19)</f>
        <v>0</v>
      </c>
      <c r="BH20" s="282">
        <f>SUM(BH14:BH19)</f>
        <v>0</v>
      </c>
    </row>
    <row r="21" spans="1:60" ht="15.75" thickBot="1" x14ac:dyDescent="0.3">
      <c r="A21" s="276"/>
      <c r="G21" s="34"/>
      <c r="H21" s="35"/>
      <c r="I21" s="119" t="s">
        <v>58</v>
      </c>
      <c r="J21" s="120"/>
      <c r="K21" s="269">
        <f>ROUND(F19*F20,2)</f>
        <v>90.72</v>
      </c>
      <c r="N21" s="122" t="s">
        <v>260</v>
      </c>
      <c r="O21" s="123"/>
      <c r="P21" s="123"/>
      <c r="Q21" s="564">
        <f>+'Registrering &amp; Resultat'!G21</f>
        <v>0.2</v>
      </c>
      <c r="R21" s="124">
        <f>+Q21*R15</f>
        <v>430000</v>
      </c>
      <c r="T21" s="521"/>
      <c r="U21" s="521" t="s">
        <v>614</v>
      </c>
      <c r="V21" s="521"/>
      <c r="W21" s="204"/>
      <c r="X21" s="287"/>
      <c r="Z21" s="288"/>
      <c r="AA21" s="289"/>
      <c r="AB21" s="289"/>
      <c r="AC21" s="290"/>
      <c r="AD21" s="291"/>
      <c r="AF21" s="292"/>
      <c r="AG21" s="293"/>
      <c r="AH21" s="293"/>
      <c r="AI21" s="294"/>
      <c r="AJ21" s="295"/>
      <c r="AL21" s="296"/>
      <c r="AM21" s="297"/>
      <c r="AN21" s="297"/>
      <c r="AO21" s="298"/>
      <c r="AP21" s="299"/>
      <c r="AR21" s="300" t="s">
        <v>135</v>
      </c>
      <c r="AS21" s="190"/>
      <c r="AT21" s="190"/>
      <c r="AU21" s="190"/>
      <c r="AV21" s="239"/>
      <c r="AX21" s="181"/>
      <c r="AY21" s="182"/>
      <c r="AZ21" s="182"/>
      <c r="BA21" s="183"/>
      <c r="BB21" s="184"/>
      <c r="BD21" s="157" t="s">
        <v>136</v>
      </c>
      <c r="BE21" s="158"/>
      <c r="BF21" s="226" t="s">
        <v>105</v>
      </c>
      <c r="BG21" s="301">
        <v>9</v>
      </c>
      <c r="BH21" s="302">
        <f>BG20+BH20</f>
        <v>0</v>
      </c>
    </row>
    <row r="22" spans="1:60" ht="15.75" thickBot="1" x14ac:dyDescent="0.3">
      <c r="A22" s="283" t="s">
        <v>133</v>
      </c>
      <c r="B22" s="284"/>
      <c r="C22" s="284"/>
      <c r="D22" s="284"/>
      <c r="E22" s="285" t="s">
        <v>134</v>
      </c>
      <c r="F22" s="286" t="s">
        <v>22</v>
      </c>
      <c r="G22" s="34"/>
      <c r="H22" s="35"/>
      <c r="I22" s="119" t="s">
        <v>138</v>
      </c>
      <c r="J22" s="120"/>
      <c r="K22" s="269">
        <f>F30</f>
        <v>0</v>
      </c>
      <c r="N22" s="164"/>
      <c r="O22" s="165"/>
      <c r="P22" s="165"/>
      <c r="Q22" s="165"/>
      <c r="R22" s="166"/>
      <c r="T22" s="303" t="s">
        <v>102</v>
      </c>
      <c r="U22" s="304"/>
      <c r="V22" s="305"/>
      <c r="W22" s="306">
        <f>1-SUM(W19:W21)</f>
        <v>0</v>
      </c>
      <c r="X22" s="307"/>
      <c r="Z22" s="308" t="s">
        <v>139</v>
      </c>
      <c r="AA22" s="309"/>
      <c r="AB22" s="309"/>
      <c r="AC22" s="310">
        <f>SUM(AC14:AC21)</f>
        <v>14005</v>
      </c>
      <c r="AD22" s="311"/>
      <c r="AF22" s="312" t="s">
        <v>139</v>
      </c>
      <c r="AG22" s="309"/>
      <c r="AH22" s="309"/>
      <c r="AI22" s="309"/>
      <c r="AJ22" s="313">
        <f>SUM(AJ7:AJ21)</f>
        <v>24000</v>
      </c>
      <c r="AL22" s="312" t="s">
        <v>139</v>
      </c>
      <c r="AM22" s="309"/>
      <c r="AN22" s="309"/>
      <c r="AO22" s="309"/>
      <c r="AP22" s="313">
        <f>SUM(AP7:AP21)</f>
        <v>47100</v>
      </c>
      <c r="AR22" s="238" t="s">
        <v>140</v>
      </c>
      <c r="AS22" s="314">
        <v>1</v>
      </c>
      <c r="AT22" s="314">
        <v>1</v>
      </c>
      <c r="AU22" s="314">
        <v>1</v>
      </c>
      <c r="AV22" s="315">
        <v>1</v>
      </c>
      <c r="AX22" s="181"/>
      <c r="AY22" s="182"/>
      <c r="AZ22" s="182"/>
      <c r="BA22" s="183"/>
      <c r="BB22" s="184"/>
      <c r="BD22" s="316" t="s">
        <v>141</v>
      </c>
      <c r="BE22" s="317"/>
      <c r="BF22" s="318"/>
      <c r="BG22" s="319"/>
      <c r="BH22" s="240">
        <f>+F7</f>
        <v>2500</v>
      </c>
    </row>
    <row r="23" spans="1:60" ht="15.75" thickBot="1" x14ac:dyDescent="0.3">
      <c r="A23" s="91" t="s">
        <v>137</v>
      </c>
      <c r="B23" s="92"/>
      <c r="C23" s="92"/>
      <c r="D23" s="92"/>
      <c r="E23" s="92"/>
      <c r="F23" s="549">
        <f>$AC$22</f>
        <v>14005</v>
      </c>
      <c r="G23" s="34"/>
      <c r="H23" s="35"/>
      <c r="I23" s="197"/>
      <c r="J23" s="148"/>
      <c r="K23" s="320"/>
      <c r="N23" s="164"/>
      <c r="O23" s="165"/>
      <c r="P23" s="165"/>
      <c r="Q23" s="165"/>
      <c r="R23" s="166"/>
      <c r="T23" s="321" t="s">
        <v>142</v>
      </c>
      <c r="U23" s="322"/>
      <c r="V23" s="323"/>
      <c r="W23" s="324">
        <f>SUM(W19:W22)</f>
        <v>1</v>
      </c>
      <c r="X23" s="325">
        <f>ROUND(SUMPRODUCT(W19:W22,X19:X22),2)</f>
        <v>25.2</v>
      </c>
      <c r="Z23" s="326"/>
      <c r="AA23" s="327"/>
      <c r="AB23" s="327"/>
      <c r="AC23" s="327"/>
      <c r="AD23" s="328"/>
      <c r="AF23" s="75"/>
      <c r="AG23" s="76"/>
      <c r="AH23" s="76"/>
      <c r="AI23" s="76"/>
      <c r="AJ23" s="329"/>
      <c r="AL23" s="78"/>
      <c r="AM23" s="79"/>
      <c r="AN23" s="79"/>
      <c r="AO23" s="79"/>
      <c r="AP23" s="330"/>
      <c r="AR23" s="238" t="s">
        <v>143</v>
      </c>
      <c r="AS23" s="314"/>
      <c r="AT23" s="314">
        <v>1</v>
      </c>
      <c r="AU23" s="314">
        <v>1</v>
      </c>
      <c r="AV23" s="315">
        <v>1</v>
      </c>
      <c r="AX23" s="331"/>
      <c r="AY23" s="332"/>
      <c r="AZ23" s="332"/>
      <c r="BA23" s="333"/>
      <c r="BB23" s="334"/>
      <c r="BD23" s="335" t="s">
        <v>144</v>
      </c>
      <c r="BE23" s="336"/>
      <c r="BF23" s="337"/>
      <c r="BG23" s="338" t="s">
        <v>145</v>
      </c>
      <c r="BH23" s="339">
        <f>IF(BH22=0,0,BH21/BH22)</f>
        <v>0</v>
      </c>
    </row>
    <row r="24" spans="1:60" ht="16.5" thickTop="1" thickBot="1" x14ac:dyDescent="0.3">
      <c r="A24" s="187" t="s">
        <v>70</v>
      </c>
      <c r="B24" s="120"/>
      <c r="C24" s="120"/>
      <c r="D24" s="120"/>
      <c r="E24" s="120"/>
      <c r="F24" s="545">
        <f>$AJ$22</f>
        <v>24000</v>
      </c>
      <c r="G24" s="34"/>
      <c r="H24" s="35"/>
      <c r="I24" s="340" t="s">
        <v>146</v>
      </c>
      <c r="J24" s="341"/>
      <c r="K24" s="342">
        <f>SUM(K18:K23)</f>
        <v>126.84142857142857</v>
      </c>
      <c r="N24" s="164"/>
      <c r="O24" s="165"/>
      <c r="P24" s="165"/>
      <c r="Q24" s="165"/>
      <c r="R24" s="166"/>
      <c r="T24" s="343" t="s">
        <v>147</v>
      </c>
      <c r="U24" s="344"/>
      <c r="V24" s="344"/>
      <c r="W24" s="344"/>
      <c r="X24" s="345"/>
      <c r="Z24" s="206" t="s">
        <v>148</v>
      </c>
      <c r="AA24" s="257"/>
      <c r="AB24" s="257"/>
      <c r="AC24" s="257"/>
      <c r="AD24" s="209"/>
      <c r="AF24" s="346" t="s">
        <v>149</v>
      </c>
      <c r="AG24" s="347"/>
      <c r="AH24" s="347"/>
      <c r="AI24" s="347"/>
      <c r="AJ24" s="348"/>
      <c r="AL24" s="96" t="s">
        <v>149</v>
      </c>
      <c r="AM24" s="277"/>
      <c r="AN24" s="277"/>
      <c r="AO24" s="277"/>
      <c r="AP24" s="97"/>
      <c r="AR24" s="238"/>
      <c r="AS24" s="190"/>
      <c r="AT24" s="190"/>
      <c r="AU24" s="190"/>
      <c r="AV24" s="239"/>
      <c r="AX24" s="349" t="s">
        <v>150</v>
      </c>
      <c r="AY24" s="350"/>
      <c r="AZ24" s="350"/>
      <c r="BA24" s="351">
        <f>SUM(BA8:BA23)</f>
        <v>4.2</v>
      </c>
      <c r="BB24" s="352">
        <f>SUM(BB8:BB23)</f>
        <v>17500</v>
      </c>
      <c r="BD24" s="353"/>
      <c r="BE24" s="354"/>
      <c r="BF24" s="355"/>
      <c r="BG24" s="356"/>
      <c r="BH24" s="357"/>
    </row>
    <row r="25" spans="1:60" ht="15.75" thickBot="1" x14ac:dyDescent="0.3">
      <c r="A25" s="117" t="s">
        <v>79</v>
      </c>
      <c r="B25" s="118"/>
      <c r="C25" s="118"/>
      <c r="D25" s="118"/>
      <c r="E25" s="118"/>
      <c r="F25" s="550">
        <f>$AP$22</f>
        <v>47100</v>
      </c>
      <c r="G25" s="34"/>
      <c r="H25" s="35"/>
      <c r="I25" s="148"/>
      <c r="J25" s="148"/>
      <c r="K25" s="229"/>
      <c r="N25" s="358"/>
      <c r="O25" s="359"/>
      <c r="P25" s="359"/>
      <c r="Q25" s="359"/>
      <c r="R25" s="216"/>
      <c r="T25" s="360" t="s">
        <v>151</v>
      </c>
      <c r="U25" s="361"/>
      <c r="V25" s="361"/>
      <c r="W25" s="362" t="s">
        <v>152</v>
      </c>
      <c r="X25" s="363">
        <f>0.05*3.6</f>
        <v>0.18000000000000002</v>
      </c>
      <c r="Z25" s="364"/>
      <c r="AA25" s="365"/>
      <c r="AB25" s="365"/>
      <c r="AC25" s="365"/>
      <c r="AD25" s="366"/>
      <c r="AF25" s="367"/>
      <c r="AG25" s="368"/>
      <c r="AH25" s="368"/>
      <c r="AI25" s="368"/>
      <c r="AJ25" s="369"/>
      <c r="AL25" s="367"/>
      <c r="AM25" s="368"/>
      <c r="AN25" s="368"/>
      <c r="AO25" s="368"/>
      <c r="AP25" s="369"/>
      <c r="AR25" s="137" t="s">
        <v>153</v>
      </c>
      <c r="AS25" s="370"/>
      <c r="AT25" s="370"/>
      <c r="AU25" s="370"/>
      <c r="AV25" s="192"/>
      <c r="AX25" s="371" t="s">
        <v>154</v>
      </c>
      <c r="AY25" s="372"/>
      <c r="AZ25" s="372"/>
      <c r="BA25" s="373"/>
      <c r="BB25" s="374">
        <f>$F$8</f>
        <v>5000</v>
      </c>
      <c r="BD25" s="375" t="s">
        <v>155</v>
      </c>
      <c r="BE25" s="376"/>
      <c r="BF25" s="377"/>
      <c r="BG25" s="378"/>
      <c r="BH25" s="379"/>
    </row>
    <row r="26" spans="1:60" ht="15.75" thickBot="1" x14ac:dyDescent="0.3">
      <c r="A26" s="147"/>
      <c r="B26" s="148"/>
      <c r="C26" s="148"/>
      <c r="D26" s="148"/>
      <c r="E26" s="148"/>
      <c r="F26" s="148"/>
      <c r="G26" s="34"/>
      <c r="H26" s="35"/>
      <c r="I26" s="252" t="s">
        <v>158</v>
      </c>
      <c r="J26" s="253"/>
      <c r="K26" s="254"/>
      <c r="N26" s="230" t="s">
        <v>159</v>
      </c>
      <c r="O26" s="380"/>
      <c r="P26" s="380"/>
      <c r="Q26" s="380"/>
      <c r="R26" s="232">
        <f>SUM(R21:R25)</f>
        <v>430000</v>
      </c>
      <c r="T26" s="381" t="s">
        <v>160</v>
      </c>
      <c r="U26" s="382"/>
      <c r="V26" s="382"/>
      <c r="W26" s="383" t="s">
        <v>161</v>
      </c>
      <c r="X26" s="384"/>
      <c r="Z26" s="385"/>
      <c r="AA26" s="386"/>
      <c r="AB26" s="386"/>
      <c r="AC26" s="386"/>
      <c r="AD26" s="387"/>
      <c r="AF26" s="388"/>
      <c r="AG26" s="389"/>
      <c r="AH26" s="389"/>
      <c r="AI26" s="389"/>
      <c r="AJ26" s="390"/>
      <c r="AL26" s="388"/>
      <c r="AM26" s="389"/>
      <c r="AN26" s="389"/>
      <c r="AO26" s="389"/>
      <c r="AP26" s="390"/>
      <c r="AR26" s="81" t="s">
        <v>162</v>
      </c>
      <c r="AS26" s="257"/>
      <c r="AT26" s="257"/>
      <c r="AU26" s="257"/>
      <c r="AV26" s="239"/>
      <c r="AX26" s="391"/>
      <c r="AY26" s="392"/>
      <c r="AZ26" s="393"/>
      <c r="BA26" s="373"/>
      <c r="BB26" s="394">
        <f>IF(BB25=0,0,BB24/BB25)</f>
        <v>3.5</v>
      </c>
      <c r="BD26" s="395" t="s">
        <v>58</v>
      </c>
      <c r="BE26" s="396"/>
      <c r="BF26" s="396" t="s">
        <v>163</v>
      </c>
      <c r="BG26" s="396"/>
      <c r="BH26" s="397">
        <f>BG11</f>
        <v>0</v>
      </c>
    </row>
    <row r="27" spans="1:60" ht="15.75" thickBot="1" x14ac:dyDescent="0.3">
      <c r="A27" s="283" t="s">
        <v>156</v>
      </c>
      <c r="B27" s="284"/>
      <c r="C27" s="284"/>
      <c r="D27" s="284"/>
      <c r="E27" s="285" t="s">
        <v>134</v>
      </c>
      <c r="F27" s="286" t="s">
        <v>157</v>
      </c>
      <c r="G27" s="34"/>
      <c r="H27" s="35"/>
      <c r="I27" s="398"/>
      <c r="J27" s="399"/>
      <c r="K27" s="400">
        <f>F33</f>
        <v>0</v>
      </c>
      <c r="N27" s="401"/>
      <c r="O27" s="402"/>
      <c r="P27" s="402"/>
      <c r="Q27" s="402"/>
      <c r="R27" s="403"/>
      <c r="T27" s="404" t="s">
        <v>164</v>
      </c>
      <c r="U27" s="405"/>
      <c r="V27" s="405"/>
      <c r="W27" s="406" t="s">
        <v>161</v>
      </c>
      <c r="X27" s="407">
        <f>ROUND(X25*X26,2)</f>
        <v>0</v>
      </c>
      <c r="Z27" s="385"/>
      <c r="AA27" s="386"/>
      <c r="AB27" s="386"/>
      <c r="AC27" s="386"/>
      <c r="AD27" s="387"/>
      <c r="AF27" s="388"/>
      <c r="AG27" s="389"/>
      <c r="AH27" s="389"/>
      <c r="AI27" s="389"/>
      <c r="AJ27" s="390"/>
      <c r="AL27" s="388"/>
      <c r="AM27" s="389"/>
      <c r="AN27" s="389"/>
      <c r="AO27" s="389"/>
      <c r="AP27" s="390"/>
      <c r="AR27" s="81" t="s">
        <v>165</v>
      </c>
      <c r="AS27" s="110">
        <v>10000</v>
      </c>
      <c r="AT27" s="110">
        <v>10000</v>
      </c>
      <c r="AU27" s="110">
        <v>10000</v>
      </c>
      <c r="AV27" s="111"/>
      <c r="AX27" s="408"/>
      <c r="AY27" s="409"/>
      <c r="AZ27" s="409"/>
      <c r="BA27" s="410">
        <f>BB26</f>
        <v>3.5</v>
      </c>
      <c r="BB27" s="411">
        <v>8</v>
      </c>
      <c r="BD27" s="412"/>
      <c r="BE27" s="413"/>
      <c r="BF27" s="413" t="s">
        <v>166</v>
      </c>
      <c r="BG27" s="413"/>
      <c r="BH27" s="414">
        <f>BH11</f>
        <v>0</v>
      </c>
    </row>
    <row r="28" spans="1:60" ht="15.75" thickBot="1" x14ac:dyDescent="0.3">
      <c r="A28" s="91" t="s">
        <v>127</v>
      </c>
      <c r="B28" s="92"/>
      <c r="C28" s="92"/>
      <c r="D28" s="92"/>
      <c r="E28" s="92"/>
      <c r="F28" s="547">
        <f>$AU$32</f>
        <v>3.85</v>
      </c>
      <c r="G28" s="34"/>
      <c r="H28" s="35"/>
      <c r="K28" s="415"/>
      <c r="N28" s="416" t="s">
        <v>167</v>
      </c>
      <c r="O28" s="69"/>
      <c r="P28" s="69"/>
      <c r="Q28" s="69"/>
      <c r="R28" s="70"/>
      <c r="T28" s="417"/>
      <c r="U28" s="418"/>
      <c r="V28" s="418"/>
      <c r="W28" s="419"/>
      <c r="X28" s="420"/>
      <c r="Z28" s="385"/>
      <c r="AA28" s="386"/>
      <c r="AB28" s="386"/>
      <c r="AC28" s="386"/>
      <c r="AD28" s="387"/>
      <c r="AF28" s="388"/>
      <c r="AG28" s="389"/>
      <c r="AH28" s="389"/>
      <c r="AI28" s="389"/>
      <c r="AJ28" s="390"/>
      <c r="AL28" s="388"/>
      <c r="AM28" s="389"/>
      <c r="AN28" s="389"/>
      <c r="AO28" s="389"/>
      <c r="AP28" s="390"/>
      <c r="AR28" s="81" t="s">
        <v>168</v>
      </c>
      <c r="AS28" s="267">
        <f>IF(AS27=0,0,ROUND((AS9+AS11)/AS27,2))</f>
        <v>0.56999999999999995</v>
      </c>
      <c r="AT28" s="267">
        <f>IF(AT27=0,0,ROUND((AT9+AT11)/AT27,2))</f>
        <v>0.56000000000000005</v>
      </c>
      <c r="AU28" s="267">
        <f>IF(AU27=0,0,ROUND((AU9+AU11)/AU27,2))</f>
        <v>0.41</v>
      </c>
      <c r="AV28" s="268">
        <f>IF(AV27=0,0,ROUND((AV9+AV11)/AV27,2))</f>
        <v>0</v>
      </c>
      <c r="AX28" s="421" t="s">
        <v>169</v>
      </c>
      <c r="AY28" s="392"/>
      <c r="AZ28" s="392"/>
      <c r="BA28" s="422">
        <f>BA24+BA27</f>
        <v>7.7</v>
      </c>
      <c r="BB28" s="423"/>
      <c r="BD28" s="412" t="s">
        <v>170</v>
      </c>
      <c r="BE28" s="413"/>
      <c r="BF28" s="413"/>
      <c r="BG28" s="413"/>
      <c r="BH28" s="414">
        <f>BH23</f>
        <v>0</v>
      </c>
    </row>
    <row r="29" spans="1:60" ht="15.75" thickBot="1" x14ac:dyDescent="0.3">
      <c r="A29" s="187" t="s">
        <v>8</v>
      </c>
      <c r="B29" s="120"/>
      <c r="C29" s="120"/>
      <c r="D29" s="120"/>
      <c r="E29" s="120"/>
      <c r="F29" s="551">
        <f>$BA$28</f>
        <v>7.7</v>
      </c>
      <c r="G29" s="34"/>
      <c r="H29" s="35"/>
      <c r="I29" s="425" t="s">
        <v>171</v>
      </c>
      <c r="J29" s="426"/>
      <c r="K29" s="427" t="s">
        <v>161</v>
      </c>
      <c r="N29" s="428" t="s">
        <v>172</v>
      </c>
      <c r="O29" s="402"/>
      <c r="P29" s="402"/>
      <c r="Q29" s="575">
        <f>+'Registrering &amp; Resultat'!G23</f>
        <v>0.5</v>
      </c>
      <c r="R29" s="403"/>
      <c r="T29" s="404" t="s">
        <v>173</v>
      </c>
      <c r="U29" s="405"/>
      <c r="V29" s="405"/>
      <c r="W29" s="406" t="s">
        <v>161</v>
      </c>
      <c r="X29" s="429">
        <f>X23+X27</f>
        <v>25.2</v>
      </c>
      <c r="Z29" s="385"/>
      <c r="AA29" s="386"/>
      <c r="AB29" s="386"/>
      <c r="AC29" s="386"/>
      <c r="AD29" s="387"/>
      <c r="AF29" s="388"/>
      <c r="AG29" s="389"/>
      <c r="AH29" s="389"/>
      <c r="AI29" s="389"/>
      <c r="AJ29" s="390"/>
      <c r="AL29" s="388"/>
      <c r="AM29" s="389"/>
      <c r="AN29" s="389"/>
      <c r="AO29" s="389"/>
      <c r="AP29" s="390"/>
      <c r="AR29" s="238"/>
      <c r="AS29" s="190"/>
      <c r="AT29" s="190"/>
      <c r="AU29" s="190"/>
      <c r="AV29" s="239"/>
      <c r="AX29" s="84"/>
      <c r="AY29" s="85"/>
      <c r="AZ29" s="85"/>
      <c r="BA29" s="85"/>
      <c r="BB29" s="430"/>
      <c r="BD29" s="431"/>
      <c r="BE29" s="432"/>
      <c r="BF29" s="432"/>
      <c r="BG29" s="432"/>
      <c r="BH29" s="433">
        <f>SUM(BH26:BH28)</f>
        <v>0</v>
      </c>
    </row>
    <row r="30" spans="1:60" ht="15.75" thickBot="1" x14ac:dyDescent="0.3">
      <c r="A30" s="117" t="s">
        <v>138</v>
      </c>
      <c r="B30" s="118"/>
      <c r="C30" s="118"/>
      <c r="D30" s="118"/>
      <c r="E30" s="118"/>
      <c r="F30" s="424"/>
      <c r="G30" s="34"/>
      <c r="H30" s="35"/>
      <c r="I30" s="434" t="s">
        <v>174</v>
      </c>
      <c r="J30" s="92"/>
      <c r="K30" s="435">
        <f>K14</f>
        <v>243437.14285714284</v>
      </c>
      <c r="N30" s="428" t="s">
        <v>175</v>
      </c>
      <c r="O30" s="402"/>
      <c r="P30" s="402"/>
      <c r="Q30" s="436">
        <f>1-Q29</f>
        <v>0.5</v>
      </c>
      <c r="R30" s="403"/>
      <c r="T30" s="438"/>
      <c r="U30" s="438"/>
      <c r="V30" s="438"/>
      <c r="W30" s="438"/>
      <c r="X30" s="439"/>
      <c r="Z30" s="385"/>
      <c r="AA30" s="386"/>
      <c r="AB30" s="386"/>
      <c r="AC30" s="386"/>
      <c r="AD30" s="387"/>
      <c r="AF30" s="388"/>
      <c r="AG30" s="389"/>
      <c r="AH30" s="389"/>
      <c r="AI30" s="389"/>
      <c r="AJ30" s="390"/>
      <c r="AL30" s="388"/>
      <c r="AM30" s="389"/>
      <c r="AN30" s="389"/>
      <c r="AO30" s="389"/>
      <c r="AP30" s="390"/>
      <c r="AR30" s="440" t="s">
        <v>176</v>
      </c>
      <c r="AS30" s="441"/>
      <c r="AT30" s="441"/>
      <c r="AU30" s="441"/>
      <c r="AV30" s="442"/>
      <c r="AX30" s="140"/>
      <c r="AY30" s="141"/>
      <c r="AZ30" s="141"/>
      <c r="BA30" s="141"/>
      <c r="BB30" s="443"/>
      <c r="BD30" s="164"/>
      <c r="BE30" s="165"/>
      <c r="BF30" s="165"/>
      <c r="BG30" s="165"/>
      <c r="BH30" s="444"/>
    </row>
    <row r="31" spans="1:60" ht="15.75" thickBot="1" x14ac:dyDescent="0.3">
      <c r="A31" s="147"/>
      <c r="B31" s="148"/>
      <c r="C31" s="148"/>
      <c r="D31" s="148"/>
      <c r="E31" s="148"/>
      <c r="F31" s="148"/>
      <c r="G31" s="34"/>
      <c r="H31" s="35"/>
      <c r="I31" s="447" t="s">
        <v>179</v>
      </c>
      <c r="J31" s="448"/>
      <c r="K31" s="449">
        <f>K24*F8</f>
        <v>634207.14285714284</v>
      </c>
      <c r="N31" s="401"/>
      <c r="O31" s="402"/>
      <c r="P31" s="402"/>
      <c r="Q31" s="402"/>
      <c r="R31" s="403"/>
      <c r="T31" s="404" t="s">
        <v>168</v>
      </c>
      <c r="U31" s="405"/>
      <c r="V31" s="405"/>
      <c r="W31" s="405"/>
      <c r="X31" s="429">
        <f>ROUND(X15*X29,2)+X30</f>
        <v>90.72</v>
      </c>
      <c r="Z31" s="450"/>
      <c r="AA31" s="451"/>
      <c r="AB31" s="451"/>
      <c r="AC31" s="451"/>
      <c r="AD31" s="452"/>
      <c r="AF31" s="453"/>
      <c r="AG31" s="454"/>
      <c r="AH31" s="454"/>
      <c r="AI31" s="454"/>
      <c r="AJ31" s="455"/>
      <c r="AL31" s="453"/>
      <c r="AM31" s="454"/>
      <c r="AN31" s="454"/>
      <c r="AO31" s="454"/>
      <c r="AP31" s="455"/>
      <c r="AR31" s="81" t="s">
        <v>180</v>
      </c>
      <c r="AS31" s="267">
        <f>IF(AND(AS22*AS13=0,AS23*AS14=0),0,ROUND((AS7*((AS22*(AS9+AS11))+(AS23*(AS10+AS11))))/((AS22*AS13)+(AS23*AS14))+AS28,2))</f>
        <v>1.33</v>
      </c>
      <c r="AT31" s="267">
        <f>IF(AND(AT22*AT13=0,AT23*AT14=0),0,ROUND((AT7*((AT22*(AT9+AT11))+(AT23*(AT10+AT11))))/((AT22*AT13)+(AT23*AT14))+AT28,2))</f>
        <v>2.11</v>
      </c>
      <c r="AU31" s="267">
        <f>IF(AND(AU22*AU13=0,AU23*AU14=0),0,ROUND((AU7*((AU22*(AU9+AU11))+(AU23*(AU10+AU11))))/((AU22*AU13)+(AU23*AU14))+AU28,2))</f>
        <v>0.41</v>
      </c>
      <c r="AV31" s="268">
        <f>IF(AND(AV22*AV13=0,AV23*AV14=0),0,ROUND((AV7*((AV22*(AV9+AV11))+(AV23*(AV10+AV11))))/((AV22*AV13)+(AV23*AV14))+AV28,2))</f>
        <v>0</v>
      </c>
      <c r="AX31" s="456"/>
      <c r="AY31" s="457"/>
      <c r="AZ31" s="457"/>
      <c r="BA31" s="457"/>
      <c r="BB31" s="458"/>
      <c r="BD31" s="199" t="s">
        <v>181</v>
      </c>
      <c r="BE31" s="200"/>
      <c r="BF31" s="200"/>
      <c r="BG31" s="200"/>
      <c r="BH31" s="459"/>
    </row>
    <row r="32" spans="1:60" ht="15.75" thickBot="1" x14ac:dyDescent="0.3">
      <c r="A32" s="445" t="s">
        <v>177</v>
      </c>
      <c r="B32" s="446"/>
      <c r="C32" s="446"/>
      <c r="D32" s="446"/>
      <c r="E32" s="285" t="s">
        <v>134</v>
      </c>
      <c r="F32" s="286" t="s">
        <v>178</v>
      </c>
      <c r="G32" s="34"/>
      <c r="H32" s="35"/>
      <c r="I32" s="463" t="s">
        <v>182</v>
      </c>
      <c r="J32" s="464"/>
      <c r="K32" s="465">
        <f>K27*F7</f>
        <v>0</v>
      </c>
      <c r="N32" s="466"/>
      <c r="O32" s="467"/>
      <c r="P32" s="467"/>
      <c r="Q32" s="467"/>
      <c r="R32" s="468"/>
      <c r="T32" s="469"/>
      <c r="U32" s="470"/>
      <c r="V32" s="470"/>
      <c r="W32" s="470"/>
      <c r="X32" s="471"/>
      <c r="Z32" s="472"/>
      <c r="AA32" s="473"/>
      <c r="AB32" s="473"/>
      <c r="AC32" s="473"/>
      <c r="AD32" s="474"/>
      <c r="AF32" s="475"/>
      <c r="AG32" s="476"/>
      <c r="AH32" s="476"/>
      <c r="AI32" s="476"/>
      <c r="AJ32" s="477"/>
      <c r="AL32" s="472"/>
      <c r="AM32" s="473"/>
      <c r="AN32" s="473"/>
      <c r="AO32" s="473"/>
      <c r="AP32" s="474"/>
      <c r="AR32" s="478" t="s">
        <v>183</v>
      </c>
      <c r="AS32" s="479"/>
      <c r="AT32" s="479"/>
      <c r="AU32" s="480">
        <f>SUM(AS31:AV31)</f>
        <v>3.85</v>
      </c>
      <c r="AV32" s="481" t="s">
        <v>157</v>
      </c>
      <c r="AX32" s="482"/>
      <c r="AY32" s="483"/>
      <c r="AZ32" s="483"/>
      <c r="BA32" s="483"/>
      <c r="BB32" s="484"/>
      <c r="BD32" s="485"/>
      <c r="BE32" s="486"/>
      <c r="BF32" s="486"/>
      <c r="BG32" s="486"/>
      <c r="BH32" s="487"/>
    </row>
    <row r="33" spans="1:23" ht="15.75" thickBot="1" x14ac:dyDescent="0.3">
      <c r="A33" s="460" t="s">
        <v>248</v>
      </c>
      <c r="B33" s="461"/>
      <c r="C33" s="461"/>
      <c r="D33" s="461"/>
      <c r="E33" s="462"/>
      <c r="F33" s="552">
        <f>$BH$29</f>
        <v>0</v>
      </c>
      <c r="G33" s="489"/>
      <c r="H33" s="490"/>
      <c r="I33" s="491" t="s">
        <v>184</v>
      </c>
      <c r="J33" s="492"/>
      <c r="K33" s="493">
        <f>SUM(K30:K32)</f>
        <v>877644.28571428568</v>
      </c>
    </row>
    <row r="34" spans="1:23" x14ac:dyDescent="0.25">
      <c r="A34" s="488"/>
      <c r="B34" s="148"/>
      <c r="C34" s="148"/>
      <c r="D34" s="148"/>
      <c r="E34" s="148"/>
      <c r="F34" s="148"/>
      <c r="G34" s="489"/>
      <c r="H34" s="490"/>
    </row>
    <row r="35" spans="1:23" x14ac:dyDescent="0.25">
      <c r="A35" s="494"/>
      <c r="B35" s="148"/>
      <c r="C35" s="148"/>
      <c r="D35" s="148"/>
      <c r="E35" s="148"/>
      <c r="F35" s="148"/>
      <c r="G35" s="489"/>
      <c r="H35" s="490"/>
      <c r="U35" t="s">
        <v>607</v>
      </c>
      <c r="W35">
        <v>16.2</v>
      </c>
    </row>
    <row r="36" spans="1:23" x14ac:dyDescent="0.25">
      <c r="A36" s="488"/>
      <c r="B36" s="148"/>
      <c r="C36" s="148"/>
      <c r="D36" s="148"/>
      <c r="E36" s="148"/>
      <c r="F36" s="148"/>
      <c r="U36" s="836" t="s">
        <v>608</v>
      </c>
    </row>
    <row r="37" spans="1:23" x14ac:dyDescent="0.25">
      <c r="A37" s="148"/>
      <c r="B37" s="148"/>
      <c r="C37" s="148"/>
      <c r="D37" s="148"/>
      <c r="E37" s="148"/>
      <c r="F37" s="148"/>
      <c r="G37" s="498"/>
      <c r="I37" s="148"/>
      <c r="J37" s="148"/>
      <c r="K37" s="148"/>
      <c r="U37" t="s">
        <v>611</v>
      </c>
      <c r="W37" s="519"/>
    </row>
    <row r="38" spans="1:23" ht="15.75" thickBot="1" x14ac:dyDescent="0.3">
      <c r="A38" s="495" t="s">
        <v>185</v>
      </c>
      <c r="B38" s="496"/>
      <c r="C38" s="496"/>
      <c r="D38" s="496"/>
      <c r="E38" s="496"/>
      <c r="F38" s="497"/>
      <c r="G38" s="498"/>
      <c r="I38" s="148"/>
      <c r="J38" s="148"/>
      <c r="K38" s="148"/>
      <c r="U38" s="617" t="s">
        <v>610</v>
      </c>
    </row>
    <row r="39" spans="1:23" x14ac:dyDescent="0.25">
      <c r="A39" s="499" t="s">
        <v>186</v>
      </c>
      <c r="B39" s="500"/>
      <c r="C39" s="500"/>
      <c r="D39" s="500"/>
      <c r="E39" s="500"/>
      <c r="F39" s="501"/>
      <c r="G39" s="498"/>
      <c r="I39" s="148"/>
      <c r="J39" s="148"/>
      <c r="K39" s="148"/>
      <c r="L39" t="s">
        <v>489</v>
      </c>
      <c r="M39" t="s">
        <v>370</v>
      </c>
      <c r="N39" t="s">
        <v>374</v>
      </c>
      <c r="U39" t="s">
        <v>609</v>
      </c>
      <c r="W39">
        <v>15.51</v>
      </c>
    </row>
    <row r="40" spans="1:23" x14ac:dyDescent="0.25">
      <c r="A40" s="499" t="s">
        <v>187</v>
      </c>
      <c r="B40" s="500"/>
      <c r="C40" s="500"/>
      <c r="D40" s="500"/>
      <c r="E40" s="500"/>
      <c r="F40" s="501"/>
      <c r="G40" s="505" t="s">
        <v>189</v>
      </c>
      <c r="I40" s="148"/>
      <c r="J40" s="148"/>
      <c r="K40" s="148"/>
    </row>
    <row r="41" spans="1:23" x14ac:dyDescent="0.25">
      <c r="A41" s="502" t="s">
        <v>188</v>
      </c>
      <c r="B41" s="503"/>
      <c r="C41" s="503"/>
      <c r="D41" s="503"/>
      <c r="E41" s="503"/>
      <c r="F41" s="504">
        <f>K14</f>
        <v>243437.14285714284</v>
      </c>
      <c r="G41" s="505"/>
      <c r="I41" s="148"/>
      <c r="J41" s="148"/>
      <c r="K41" s="148"/>
    </row>
    <row r="42" spans="1:23" x14ac:dyDescent="0.25">
      <c r="A42" s="502"/>
      <c r="B42" s="503"/>
      <c r="C42" s="503"/>
      <c r="D42" s="503"/>
      <c r="E42" s="506" t="s">
        <v>190</v>
      </c>
      <c r="F42" s="507"/>
      <c r="G42" s="505" t="s">
        <v>192</v>
      </c>
      <c r="I42" s="148"/>
      <c r="J42" s="148"/>
      <c r="K42" s="148"/>
    </row>
    <row r="43" spans="1:23" x14ac:dyDescent="0.25">
      <c r="A43" s="502" t="s">
        <v>191</v>
      </c>
      <c r="B43" s="503"/>
      <c r="C43" s="503"/>
      <c r="D43" s="503"/>
      <c r="E43" s="508">
        <v>12</v>
      </c>
      <c r="F43" s="504">
        <f>IF(E43=0,0,$F$41/E43)</f>
        <v>20286.428571428569</v>
      </c>
      <c r="G43" s="505" t="s">
        <v>194</v>
      </c>
      <c r="I43" s="148"/>
      <c r="J43" s="148"/>
      <c r="K43" s="148"/>
    </row>
    <row r="44" spans="1:23" x14ac:dyDescent="0.25">
      <c r="A44" s="502" t="s">
        <v>193</v>
      </c>
      <c r="B44" s="503"/>
      <c r="C44" s="503"/>
      <c r="D44" s="503"/>
      <c r="E44" s="508">
        <v>50</v>
      </c>
      <c r="F44" s="504">
        <f>IF(E44=0,0,$F$41/E44)</f>
        <v>4868.7428571428572</v>
      </c>
      <c r="G44" s="505"/>
      <c r="I44" s="148"/>
      <c r="J44" s="148"/>
      <c r="K44" s="148"/>
    </row>
    <row r="45" spans="1:23" x14ac:dyDescent="0.25">
      <c r="A45" s="502"/>
      <c r="B45" s="503"/>
      <c r="C45" s="503"/>
      <c r="D45" s="503"/>
      <c r="E45" s="503"/>
      <c r="F45" s="509"/>
      <c r="G45" s="505"/>
      <c r="I45" s="148"/>
      <c r="J45" s="148"/>
      <c r="K45" s="148"/>
    </row>
    <row r="46" spans="1:23" x14ac:dyDescent="0.25">
      <c r="A46" s="502"/>
      <c r="B46" s="510"/>
      <c r="C46" s="510"/>
      <c r="D46" s="503"/>
      <c r="E46" s="506" t="s">
        <v>195</v>
      </c>
      <c r="F46" s="511"/>
      <c r="G46" s="505" t="s">
        <v>197</v>
      </c>
      <c r="I46" s="148"/>
      <c r="J46" s="148"/>
      <c r="K46" s="148"/>
    </row>
    <row r="47" spans="1:23" x14ac:dyDescent="0.25">
      <c r="A47" s="512" t="s">
        <v>196</v>
      </c>
      <c r="B47" s="513"/>
      <c r="C47" s="513"/>
      <c r="D47" s="514"/>
      <c r="E47" s="515">
        <v>5</v>
      </c>
      <c r="F47" s="516">
        <f>IF(E47=0,0,$F$44/E47)</f>
        <v>973.74857142857149</v>
      </c>
      <c r="I47" s="148"/>
      <c r="J47" s="148"/>
      <c r="K47" s="148"/>
    </row>
    <row r="48" spans="1:23" x14ac:dyDescent="0.25">
      <c r="A48" s="517" t="str">
        <f>IF(E44=0,"OBS! Kostnad per dag beräknas om ni även beräknar kostnad per vecka.","")</f>
        <v/>
      </c>
    </row>
  </sheetData>
  <mergeCells count="10">
    <mergeCell ref="Z10:AA10"/>
    <mergeCell ref="AB10:AC10"/>
    <mergeCell ref="Z11:AA11"/>
    <mergeCell ref="AB11:AC11"/>
    <mergeCell ref="Z7:AA7"/>
    <mergeCell ref="AB7:AC7"/>
    <mergeCell ref="Z8:AA8"/>
    <mergeCell ref="AB8:AC8"/>
    <mergeCell ref="Z9:AA9"/>
    <mergeCell ref="AB9:AC9"/>
  </mergeCells>
  <dataValidations count="4">
    <dataValidation type="list" allowBlank="1" showInputMessage="1" showErrorMessage="1" errorTitle="ScalcMini" error="Använd knappen till höger om cellen för att ange korrekt uppgift om draganordning." sqref="AB9:AC9" xr:uid="{78B50543-471F-42A1-ABB0-7B52E75C675C}">
      <formula1>"Anordning för påhängsvagn,Annan kopplingsanordning,Utan kopplingsanordning"</formula1>
    </dataValidation>
    <dataValidation type="whole" operator="greaterThanOrEqual" allowBlank="1" showInputMessage="1" showErrorMessage="1" errorTitle="Scalc Mini" error="Skattevikt anges i kg. Lägsta vikt som accepteras är 7000 kg." sqref="AB8:AC8" xr:uid="{6D721B5E-3E34-434D-A17B-920C17312B9F}">
      <formula1>7000</formula1>
    </dataValidation>
    <dataValidation type="whole" operator="greaterThan" allowBlank="1" showInputMessage="1" showErrorMessage="1" errorTitle="Scalc Mini" error="Endast heltal godtas i denna cell." sqref="AB10:AC10" xr:uid="{090C1536-5DF5-49B9-A03A-4AAA6DD7EC49}">
      <formula1>0</formula1>
    </dataValidation>
    <dataValidation type="list" errorStyle="warning" allowBlank="1" showInputMessage="1" showErrorMessage="1" errorTitle="SÅcalc 2006" error="Fordonets avgasklass anges som Euro 0, Euro 1 eller Euro 2-4._x000a_Använd pilen till höger om cellen för att visa en lista med värdena." sqref="AB11:AC11" xr:uid="{13C9B91C-222B-4813-8422-C85FC3468FB0}">
      <formula1>"Euro 0,Euro 1,Euro 2 eller renare"</formula1>
    </dataValidation>
  </dataValidations>
  <hyperlinks>
    <hyperlink ref="U38" r:id="rId1" xr:uid="{B7582507-DBB1-4161-835F-B093ECAA4CD4}"/>
    <hyperlink ref="U36" r:id="rId2" xr:uid="{16D54339-571C-4211-A363-43A1BEB15CBE}"/>
  </hyperlinks>
  <pageMargins left="0.7" right="0.7" top="0.75" bottom="0.75" header="0.3" footer="0.3"/>
  <pageSetup paperSize="9" orientation="portrait" horizontalDpi="0" verticalDpi="0" r:id="rId3"/>
  <ignoredErrors>
    <ignoredError sqref="N8:O8 N10:R13 N9:O9 Q9 Q8" unlockedFormula="1"/>
  </ignoredErrors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1B970-6650-4CFF-A11A-DECC327B6F34}">
  <sheetPr>
    <tabColor theme="8" tint="-0.249977111117893"/>
  </sheetPr>
  <dimension ref="C1:R42"/>
  <sheetViews>
    <sheetView showGridLines="0" showRowColHeaders="0" workbookViewId="0">
      <selection activeCell="E19" sqref="E19:P19"/>
    </sheetView>
  </sheetViews>
  <sheetFormatPr defaultRowHeight="15" x14ac:dyDescent="0.25"/>
  <cols>
    <col min="3" max="4" width="23" customWidth="1"/>
    <col min="5" max="16" width="14.140625" customWidth="1"/>
  </cols>
  <sheetData>
    <row r="1" spans="3:18" ht="15.75" thickBot="1" x14ac:dyDescent="0.3"/>
    <row r="2" spans="3:18" ht="21.75" thickTop="1" x14ac:dyDescent="0.35">
      <c r="E2" s="955"/>
      <c r="F2" s="956"/>
      <c r="G2" s="957"/>
      <c r="H2" s="963"/>
      <c r="I2" s="964"/>
      <c r="J2" s="965"/>
      <c r="K2" s="971"/>
      <c r="L2" s="972"/>
      <c r="M2" s="973"/>
      <c r="N2" s="979"/>
      <c r="O2" s="980"/>
      <c r="P2" s="981"/>
    </row>
    <row r="3" spans="3:18" ht="21" x14ac:dyDescent="0.35">
      <c r="E3" s="958" t="s">
        <v>762</v>
      </c>
      <c r="F3" s="951"/>
      <c r="G3" s="959"/>
      <c r="H3" s="966"/>
      <c r="I3" s="952"/>
      <c r="J3" s="967"/>
      <c r="K3" s="974"/>
      <c r="L3" s="953"/>
      <c r="M3" s="975"/>
      <c r="N3" s="982"/>
      <c r="O3" s="954"/>
      <c r="P3" s="983"/>
    </row>
    <row r="4" spans="3:18" ht="21.75" thickBot="1" x14ac:dyDescent="0.4">
      <c r="E4" s="960" t="s">
        <v>763</v>
      </c>
      <c r="F4" s="961"/>
      <c r="G4" s="962"/>
      <c r="H4" s="968" t="s">
        <v>777</v>
      </c>
      <c r="I4" s="969"/>
      <c r="J4" s="970"/>
      <c r="K4" s="976" t="s">
        <v>764</v>
      </c>
      <c r="L4" s="977"/>
      <c r="M4" s="978"/>
      <c r="N4" s="984" t="s">
        <v>765</v>
      </c>
      <c r="O4" s="985"/>
      <c r="P4" s="986"/>
    </row>
    <row r="5" spans="3:18" ht="15.75" thickTop="1" x14ac:dyDescent="0.25"/>
    <row r="6" spans="3:18" x14ac:dyDescent="0.25">
      <c r="D6" t="s">
        <v>750</v>
      </c>
      <c r="E6" s="777" t="s">
        <v>489</v>
      </c>
      <c r="F6" s="777" t="s">
        <v>370</v>
      </c>
      <c r="G6" s="942" t="s">
        <v>374</v>
      </c>
      <c r="H6" s="941" t="s">
        <v>489</v>
      </c>
      <c r="I6" s="777" t="s">
        <v>370</v>
      </c>
      <c r="J6" s="942" t="s">
        <v>374</v>
      </c>
      <c r="K6" s="941" t="s">
        <v>489</v>
      </c>
      <c r="L6" s="777" t="s">
        <v>370</v>
      </c>
      <c r="M6" s="942" t="s">
        <v>374</v>
      </c>
      <c r="N6" s="941" t="s">
        <v>489</v>
      </c>
      <c r="O6" s="777" t="s">
        <v>370</v>
      </c>
      <c r="P6" s="942" t="s">
        <v>374</v>
      </c>
    </row>
    <row r="7" spans="3:18" ht="36.75" x14ac:dyDescent="0.25">
      <c r="E7" s="944" t="s">
        <v>751</v>
      </c>
      <c r="F7" s="944" t="s">
        <v>752</v>
      </c>
      <c r="G7" s="945" t="s">
        <v>753</v>
      </c>
      <c r="H7" s="946" t="s">
        <v>751</v>
      </c>
      <c r="I7" s="944" t="s">
        <v>752</v>
      </c>
      <c r="J7" s="945" t="s">
        <v>753</v>
      </c>
      <c r="K7" s="946" t="s">
        <v>751</v>
      </c>
      <c r="L7" s="944" t="s">
        <v>752</v>
      </c>
      <c r="M7" s="945" t="s">
        <v>753</v>
      </c>
      <c r="N7" s="946" t="s">
        <v>751</v>
      </c>
      <c r="O7" s="944" t="s">
        <v>752</v>
      </c>
      <c r="P7" s="945" t="s">
        <v>753</v>
      </c>
    </row>
    <row r="8" spans="3:18" x14ac:dyDescent="0.25">
      <c r="C8" s="987" t="s">
        <v>757</v>
      </c>
      <c r="D8" s="987" t="s">
        <v>758</v>
      </c>
      <c r="G8" s="943"/>
      <c r="J8" s="943"/>
      <c r="M8" s="943"/>
      <c r="P8" s="943"/>
    </row>
    <row r="9" spans="3:18" x14ac:dyDescent="0.25">
      <c r="C9" s="880" t="s">
        <v>227</v>
      </c>
      <c r="D9" s="880" t="s">
        <v>756</v>
      </c>
      <c r="G9" s="943"/>
      <c r="J9" s="943"/>
      <c r="M9" s="943"/>
      <c r="P9" s="943"/>
      <c r="R9">
        <v>1</v>
      </c>
    </row>
    <row r="10" spans="3:18" x14ac:dyDescent="0.25">
      <c r="C10" s="777"/>
      <c r="D10" s="777" t="s">
        <v>754</v>
      </c>
      <c r="E10" s="1027">
        <v>1750000</v>
      </c>
      <c r="F10" s="1027">
        <v>2200000</v>
      </c>
      <c r="G10" s="1028">
        <v>3500000</v>
      </c>
      <c r="H10" s="1028">
        <f>+E10</f>
        <v>1750000</v>
      </c>
      <c r="I10" s="1028">
        <f t="shared" ref="I10:J10" si="0">+F10</f>
        <v>2200000</v>
      </c>
      <c r="J10" s="1028">
        <f t="shared" si="0"/>
        <v>3500000</v>
      </c>
      <c r="K10" s="1029">
        <f>+E10+250000</f>
        <v>2000000</v>
      </c>
      <c r="L10" s="1029">
        <f>+F10+250000</f>
        <v>2450000</v>
      </c>
      <c r="M10" s="1029">
        <f>+G10+250000</f>
        <v>3750000</v>
      </c>
      <c r="N10" s="1029">
        <v>3600000</v>
      </c>
      <c r="O10" s="1027">
        <v>4000000</v>
      </c>
      <c r="P10" s="1028">
        <v>5200000</v>
      </c>
      <c r="R10" s="1031">
        <v>2</v>
      </c>
    </row>
    <row r="11" spans="3:18" x14ac:dyDescent="0.25">
      <c r="C11" s="777" t="s">
        <v>123</v>
      </c>
      <c r="D11" s="777"/>
      <c r="E11" s="947">
        <v>5</v>
      </c>
      <c r="F11" s="947">
        <v>5</v>
      </c>
      <c r="G11" s="948">
        <v>5</v>
      </c>
      <c r="H11" s="949">
        <v>5</v>
      </c>
      <c r="I11" s="947">
        <v>5</v>
      </c>
      <c r="J11" s="948">
        <v>5</v>
      </c>
      <c r="K11" s="949">
        <v>5</v>
      </c>
      <c r="L11" s="947">
        <v>5</v>
      </c>
      <c r="M11" s="948">
        <v>5</v>
      </c>
      <c r="N11" s="949">
        <v>6</v>
      </c>
      <c r="O11" s="947">
        <v>6</v>
      </c>
      <c r="P11" s="948">
        <v>6</v>
      </c>
      <c r="R11" s="1030">
        <v>3</v>
      </c>
    </row>
    <row r="12" spans="3:18" x14ac:dyDescent="0.25">
      <c r="C12" s="777" t="s">
        <v>285</v>
      </c>
      <c r="D12" s="777" t="s">
        <v>755</v>
      </c>
      <c r="E12" s="950">
        <v>0.03</v>
      </c>
      <c r="F12" s="950">
        <v>0.03</v>
      </c>
      <c r="G12" s="950">
        <v>0.03</v>
      </c>
      <c r="H12" s="950">
        <v>0.03</v>
      </c>
      <c r="I12" s="950">
        <v>0.03</v>
      </c>
      <c r="J12" s="950">
        <v>0.03</v>
      </c>
      <c r="K12" s="950">
        <v>0.03</v>
      </c>
      <c r="L12" s="950">
        <v>0.03</v>
      </c>
      <c r="M12" s="950">
        <v>0.03</v>
      </c>
      <c r="N12" s="950">
        <v>0.03</v>
      </c>
      <c r="O12" s="950">
        <v>0.03</v>
      </c>
      <c r="P12" s="950">
        <v>0.03</v>
      </c>
    </row>
    <row r="13" spans="3:18" x14ac:dyDescent="0.25">
      <c r="C13" s="777"/>
      <c r="D13" s="777"/>
      <c r="E13" s="947"/>
      <c r="F13" s="947"/>
      <c r="G13" s="948"/>
      <c r="H13" s="949"/>
      <c r="I13" s="947"/>
      <c r="J13" s="948"/>
      <c r="K13" s="949"/>
      <c r="L13" s="947"/>
      <c r="M13" s="948"/>
      <c r="N13" s="949"/>
      <c r="O13" s="947"/>
      <c r="P13" s="948"/>
    </row>
    <row r="14" spans="3:18" x14ac:dyDescent="0.25">
      <c r="C14" s="777" t="s">
        <v>189</v>
      </c>
      <c r="D14" s="777"/>
      <c r="E14" s="947"/>
      <c r="F14" s="947"/>
      <c r="G14" s="948"/>
      <c r="H14" s="949"/>
      <c r="I14" s="947"/>
      <c r="J14" s="948"/>
      <c r="K14" s="949"/>
      <c r="L14" s="947"/>
      <c r="M14" s="948"/>
      <c r="N14" s="949"/>
      <c r="O14" s="947"/>
      <c r="P14" s="948"/>
    </row>
    <row r="15" spans="3:18" x14ac:dyDescent="0.25">
      <c r="C15" s="777" t="s">
        <v>775</v>
      </c>
      <c r="D15" s="777" t="s">
        <v>776</v>
      </c>
      <c r="E15" s="947">
        <v>6</v>
      </c>
      <c r="F15" s="947">
        <v>6</v>
      </c>
      <c r="G15" s="948">
        <v>6</v>
      </c>
      <c r="H15" s="949">
        <v>6</v>
      </c>
      <c r="I15" s="947">
        <v>6</v>
      </c>
      <c r="J15" s="948">
        <v>6</v>
      </c>
      <c r="K15" s="949">
        <v>6</v>
      </c>
      <c r="L15" s="947">
        <v>6</v>
      </c>
      <c r="M15" s="948">
        <v>6</v>
      </c>
      <c r="N15" s="949">
        <v>7</v>
      </c>
      <c r="O15" s="947">
        <v>7</v>
      </c>
      <c r="P15" s="948">
        <v>7</v>
      </c>
    </row>
    <row r="16" spans="3:18" x14ac:dyDescent="0.25">
      <c r="C16" s="777"/>
      <c r="D16" s="777"/>
      <c r="E16" s="947"/>
      <c r="F16" s="947"/>
      <c r="G16" s="948"/>
      <c r="H16" s="949"/>
      <c r="I16" s="947"/>
      <c r="J16" s="948"/>
      <c r="K16" s="949"/>
      <c r="L16" s="947"/>
      <c r="M16" s="948"/>
      <c r="N16" s="949"/>
      <c r="O16" s="947"/>
      <c r="P16" s="948"/>
    </row>
    <row r="17" spans="3:17" x14ac:dyDescent="0.25">
      <c r="C17" s="777"/>
      <c r="D17" s="777"/>
      <c r="E17" s="947"/>
      <c r="F17" s="947"/>
      <c r="G17" s="948"/>
      <c r="H17" s="949"/>
      <c r="I17" s="947"/>
      <c r="J17" s="948"/>
      <c r="K17" s="949"/>
      <c r="L17" s="947"/>
      <c r="M17" s="948"/>
      <c r="N17" s="949"/>
      <c r="O17" s="947"/>
      <c r="P17" s="948"/>
    </row>
    <row r="18" spans="3:17" x14ac:dyDescent="0.25">
      <c r="C18" s="777"/>
      <c r="D18" s="777"/>
      <c r="E18" s="947"/>
      <c r="F18" s="947"/>
      <c r="G18" s="948"/>
      <c r="H18" s="949"/>
      <c r="I18" s="947"/>
      <c r="J18" s="948"/>
      <c r="K18" s="949"/>
      <c r="L18" s="947"/>
      <c r="M18" s="948"/>
      <c r="N18" s="949"/>
      <c r="O18" s="947"/>
      <c r="P18" s="948"/>
    </row>
    <row r="19" spans="3:17" x14ac:dyDescent="0.25">
      <c r="C19" s="777"/>
      <c r="D19" s="777" t="s">
        <v>778</v>
      </c>
      <c r="E19" s="947"/>
      <c r="F19" s="947"/>
      <c r="G19" s="948"/>
      <c r="H19" s="949"/>
      <c r="I19" s="947"/>
      <c r="J19" s="948"/>
      <c r="K19" s="949"/>
      <c r="L19" s="947"/>
      <c r="M19" s="948"/>
      <c r="N19" s="949"/>
      <c r="O19" s="947"/>
      <c r="P19" s="948"/>
    </row>
    <row r="20" spans="3:17" x14ac:dyDescent="0.25">
      <c r="G20" s="943"/>
      <c r="J20" s="943"/>
      <c r="M20" s="943"/>
      <c r="P20" s="943"/>
    </row>
    <row r="21" spans="3:17" x14ac:dyDescent="0.25">
      <c r="C21" s="880" t="s">
        <v>759</v>
      </c>
      <c r="D21" s="880" t="s">
        <v>760</v>
      </c>
      <c r="G21" s="943"/>
      <c r="J21" s="943"/>
      <c r="M21" s="943"/>
      <c r="P21" s="943"/>
    </row>
    <row r="22" spans="3:17" x14ac:dyDescent="0.25">
      <c r="C22" s="777"/>
      <c r="D22" s="777"/>
      <c r="E22" s="947"/>
      <c r="F22" s="947"/>
      <c r="G22" s="948"/>
      <c r="H22" s="949"/>
      <c r="I22" s="947"/>
      <c r="J22" s="948"/>
      <c r="K22" s="949"/>
      <c r="L22" s="947"/>
      <c r="M22" s="948"/>
      <c r="N22" s="949"/>
      <c r="O22" s="947"/>
      <c r="P22" s="948"/>
    </row>
    <row r="23" spans="3:17" x14ac:dyDescent="0.25">
      <c r="C23" s="777"/>
      <c r="D23" s="777" t="s">
        <v>761</v>
      </c>
      <c r="E23" s="947">
        <v>3.6</v>
      </c>
      <c r="F23" s="947"/>
      <c r="G23" s="948"/>
      <c r="H23" s="949"/>
      <c r="I23" s="947"/>
      <c r="J23" s="948"/>
      <c r="K23" s="949"/>
      <c r="L23" s="947"/>
      <c r="M23" s="948"/>
      <c r="N23" s="949"/>
      <c r="O23" s="947"/>
      <c r="P23" s="948"/>
    </row>
    <row r="24" spans="3:17" x14ac:dyDescent="0.25">
      <c r="C24" s="777"/>
      <c r="D24" s="777" t="s">
        <v>768</v>
      </c>
      <c r="E24" s="947"/>
      <c r="F24" s="947"/>
      <c r="G24" s="948"/>
      <c r="H24" s="949"/>
      <c r="I24" s="947"/>
      <c r="J24" s="948"/>
      <c r="K24" s="949"/>
      <c r="L24" s="947"/>
      <c r="M24" s="948"/>
      <c r="N24" s="949"/>
      <c r="O24" s="947"/>
      <c r="P24" s="948"/>
    </row>
    <row r="25" spans="3:17" x14ac:dyDescent="0.25">
      <c r="C25" s="777"/>
      <c r="D25" s="777" t="s">
        <v>769</v>
      </c>
      <c r="E25" s="947"/>
      <c r="F25" s="947"/>
      <c r="G25" s="948"/>
      <c r="H25" s="949"/>
      <c r="I25" s="947"/>
      <c r="J25" s="948"/>
      <c r="K25" s="949"/>
      <c r="L25" s="947"/>
      <c r="M25" s="948"/>
      <c r="N25" s="949"/>
      <c r="O25" s="947"/>
      <c r="P25" s="948"/>
      <c r="Q25" t="s">
        <v>770</v>
      </c>
    </row>
    <row r="26" spans="3:17" x14ac:dyDescent="0.25">
      <c r="C26" s="777" t="s">
        <v>773</v>
      </c>
      <c r="D26" s="777"/>
      <c r="E26" s="947"/>
      <c r="F26" s="947"/>
      <c r="G26" s="948"/>
      <c r="H26" s="949"/>
      <c r="I26" s="947"/>
      <c r="J26" s="948"/>
      <c r="K26" s="949"/>
      <c r="L26" s="947"/>
      <c r="M26" s="948"/>
      <c r="N26" s="949"/>
      <c r="O26" s="947"/>
      <c r="P26" s="948"/>
      <c r="Q26" t="s">
        <v>774</v>
      </c>
    </row>
    <row r="27" spans="3:17" x14ac:dyDescent="0.25">
      <c r="C27" s="777"/>
      <c r="D27" s="777"/>
      <c r="E27" s="947"/>
      <c r="F27" s="947"/>
      <c r="G27" s="948"/>
      <c r="H27" s="949"/>
      <c r="I27" s="947"/>
      <c r="J27" s="948"/>
      <c r="K27" s="949"/>
      <c r="L27" s="947"/>
      <c r="M27" s="948"/>
      <c r="N27" s="949"/>
      <c r="O27" s="947"/>
      <c r="P27" s="948"/>
    </row>
    <row r="28" spans="3:17" x14ac:dyDescent="0.25">
      <c r="C28" s="777"/>
      <c r="D28" s="777" t="s">
        <v>771</v>
      </c>
      <c r="E28" s="947"/>
      <c r="F28" s="947"/>
      <c r="G28" s="948"/>
      <c r="H28" s="949"/>
      <c r="I28" s="947"/>
      <c r="J28" s="948"/>
      <c r="K28" s="949"/>
      <c r="L28" s="947"/>
      <c r="M28" s="948"/>
      <c r="N28" s="949"/>
      <c r="O28" s="947"/>
      <c r="P28" s="948"/>
    </row>
    <row r="29" spans="3:17" x14ac:dyDescent="0.25">
      <c r="C29" s="777"/>
      <c r="D29" s="777"/>
      <c r="E29" s="947"/>
      <c r="F29" s="947"/>
      <c r="G29" s="948"/>
      <c r="H29" s="949"/>
      <c r="I29" s="947"/>
      <c r="J29" s="948"/>
      <c r="K29" s="949"/>
      <c r="L29" s="947"/>
      <c r="M29" s="948"/>
      <c r="N29" s="949"/>
      <c r="O29" s="947"/>
      <c r="P29" s="948"/>
    </row>
    <row r="31" spans="3:17" x14ac:dyDescent="0.25">
      <c r="C31" s="880" t="s">
        <v>766</v>
      </c>
      <c r="D31" s="880" t="s">
        <v>767</v>
      </c>
      <c r="G31" s="943"/>
      <c r="J31" s="943"/>
      <c r="M31" s="943"/>
      <c r="P31" s="943"/>
    </row>
    <row r="32" spans="3:17" x14ac:dyDescent="0.25">
      <c r="E32" s="947"/>
      <c r="F32" s="947"/>
      <c r="G32" s="948"/>
      <c r="H32" s="949"/>
      <c r="I32" s="947"/>
      <c r="J32" s="948"/>
      <c r="K32" s="949"/>
      <c r="L32" s="947"/>
      <c r="M32" s="948"/>
      <c r="N32" s="949"/>
      <c r="O32" s="947"/>
      <c r="P32" s="948"/>
    </row>
    <row r="33" spans="4:16" x14ac:dyDescent="0.25">
      <c r="E33" s="947"/>
      <c r="F33" s="947"/>
      <c r="G33" s="948"/>
      <c r="H33" s="949"/>
      <c r="I33" s="947"/>
      <c r="J33" s="948"/>
      <c r="K33" s="949"/>
      <c r="L33" s="947"/>
      <c r="M33" s="948"/>
      <c r="N33" s="949"/>
      <c r="O33" s="947"/>
      <c r="P33" s="948"/>
    </row>
    <row r="34" spans="4:16" x14ac:dyDescent="0.25">
      <c r="E34" s="947"/>
      <c r="F34" s="947"/>
      <c r="G34" s="948"/>
      <c r="H34" s="949"/>
      <c r="I34" s="947"/>
      <c r="J34" s="948"/>
      <c r="K34" s="949"/>
      <c r="L34" s="947"/>
      <c r="M34" s="948"/>
      <c r="N34" s="949"/>
      <c r="O34" s="947"/>
      <c r="P34" s="948"/>
    </row>
    <row r="35" spans="4:16" x14ac:dyDescent="0.25">
      <c r="E35" s="947"/>
      <c r="F35" s="947"/>
      <c r="G35" s="948"/>
      <c r="H35" s="949"/>
      <c r="I35" s="947"/>
      <c r="J35" s="948"/>
      <c r="K35" s="949"/>
      <c r="L35" s="947"/>
      <c r="M35" s="948"/>
      <c r="N35" s="949"/>
      <c r="O35" s="947"/>
      <c r="P35" s="948"/>
    </row>
    <row r="36" spans="4:16" x14ac:dyDescent="0.25">
      <c r="E36" s="947"/>
      <c r="F36" s="947"/>
      <c r="G36" s="948"/>
      <c r="H36" s="949"/>
      <c r="I36" s="947"/>
      <c r="J36" s="948"/>
      <c r="K36" s="949"/>
      <c r="L36" s="947"/>
      <c r="M36" s="948"/>
      <c r="N36" s="949"/>
      <c r="O36" s="947"/>
      <c r="P36" s="948"/>
    </row>
    <row r="37" spans="4:16" x14ac:dyDescent="0.25">
      <c r="E37" s="947"/>
      <c r="F37" s="947"/>
      <c r="G37" s="948"/>
      <c r="H37" s="949"/>
      <c r="I37" s="947"/>
      <c r="J37" s="948"/>
      <c r="K37" s="949"/>
      <c r="L37" s="947"/>
      <c r="M37" s="948"/>
      <c r="N37" s="949"/>
      <c r="O37" s="947"/>
      <c r="P37" s="948"/>
    </row>
    <row r="38" spans="4:16" x14ac:dyDescent="0.25">
      <c r="E38" s="947"/>
      <c r="F38" s="947"/>
      <c r="G38" s="948"/>
      <c r="H38" s="949"/>
      <c r="I38" s="947"/>
      <c r="J38" s="948"/>
      <c r="K38" s="949"/>
      <c r="L38" s="947"/>
      <c r="M38" s="948"/>
      <c r="N38" s="949"/>
      <c r="O38" s="947"/>
      <c r="P38" s="948"/>
    </row>
    <row r="39" spans="4:16" x14ac:dyDescent="0.25">
      <c r="E39" s="947"/>
      <c r="F39" s="947"/>
      <c r="G39" s="948"/>
      <c r="H39" s="949"/>
      <c r="I39" s="947"/>
      <c r="J39" s="948"/>
      <c r="K39" s="949"/>
      <c r="L39" s="947"/>
      <c r="M39" s="948"/>
      <c r="N39" s="949"/>
      <c r="O39" s="947"/>
      <c r="P39" s="948"/>
    </row>
    <row r="40" spans="4:16" x14ac:dyDescent="0.25">
      <c r="E40" s="947"/>
      <c r="F40" s="947"/>
      <c r="G40" s="948"/>
      <c r="H40" s="949"/>
      <c r="I40" s="947"/>
      <c r="J40" s="948"/>
      <c r="K40" s="949"/>
      <c r="L40" s="947"/>
      <c r="M40" s="948"/>
      <c r="N40" s="949"/>
      <c r="O40" s="947"/>
      <c r="P40" s="948"/>
    </row>
    <row r="41" spans="4:16" x14ac:dyDescent="0.25">
      <c r="E41" s="947"/>
      <c r="F41" s="947"/>
      <c r="G41" s="948"/>
      <c r="H41" s="949"/>
      <c r="I41" s="947"/>
      <c r="J41" s="948"/>
      <c r="K41" s="949"/>
      <c r="L41" s="947"/>
      <c r="M41" s="948"/>
      <c r="N41" s="949"/>
      <c r="O41" s="947"/>
      <c r="P41" s="948"/>
    </row>
    <row r="42" spans="4:16" x14ac:dyDescent="0.25">
      <c r="D42" t="s">
        <v>772</v>
      </c>
      <c r="E42" s="947"/>
      <c r="F42" s="947"/>
      <c r="G42" s="948"/>
      <c r="H42" s="949"/>
      <c r="I42" s="947"/>
      <c r="J42" s="948"/>
      <c r="K42" s="949"/>
      <c r="L42" s="947"/>
      <c r="M42" s="948"/>
      <c r="N42" s="949"/>
      <c r="O42" s="947"/>
      <c r="P42" s="948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CCD26-F090-462C-BCBB-ADBCDBD1A705}">
  <sheetPr codeName="Sheet3">
    <tabColor theme="8" tint="-0.249977111117893"/>
  </sheetPr>
  <dimension ref="A1:BH48"/>
  <sheetViews>
    <sheetView showGridLines="0" workbookViewId="0">
      <selection activeCell="BH10" sqref="BH10"/>
    </sheetView>
  </sheetViews>
  <sheetFormatPr defaultRowHeight="15" x14ac:dyDescent="0.25"/>
  <cols>
    <col min="4" max="4" width="3.7109375" customWidth="1"/>
    <col min="5" max="5" width="5.42578125" customWidth="1"/>
    <col min="6" max="6" width="10.5703125" customWidth="1"/>
    <col min="7" max="7" width="2" customWidth="1"/>
    <col min="8" max="8" width="2.28515625" customWidth="1"/>
    <col min="11" max="11" width="9.85546875" customWidth="1"/>
    <col min="12" max="12" width="2.42578125" customWidth="1"/>
    <col min="13" max="13" width="2.28515625" customWidth="1"/>
    <col min="15" max="15" width="5" customWidth="1"/>
    <col min="18" max="18" width="8.85546875" bestFit="1" customWidth="1"/>
    <col min="19" max="19" width="3.7109375" customWidth="1"/>
    <col min="25" max="25" width="3.7109375" customWidth="1"/>
    <col min="30" max="30" width="5.7109375" customWidth="1"/>
    <col min="31" max="31" width="3.7109375" customWidth="1"/>
    <col min="37" max="37" width="3.7109375" customWidth="1"/>
    <col min="43" max="43" width="3.7109375" customWidth="1"/>
    <col min="44" max="44" width="16.5703125" customWidth="1"/>
    <col min="45" max="45" width="7.28515625" customWidth="1"/>
    <col min="46" max="48" width="6.7109375" customWidth="1"/>
    <col min="49" max="49" width="3.7109375" customWidth="1"/>
    <col min="51" max="51" width="5" customWidth="1"/>
    <col min="55" max="55" width="3.7109375" customWidth="1"/>
    <col min="61" max="61" width="3.7109375" customWidth="1"/>
  </cols>
  <sheetData>
    <row r="1" spans="1:60" ht="15.75" x14ac:dyDescent="0.25">
      <c r="A1" s="520" t="s">
        <v>235</v>
      </c>
    </row>
    <row r="2" spans="1:60" ht="18.75" x14ac:dyDescent="0.3">
      <c r="A2" s="568" t="s">
        <v>33</v>
      </c>
      <c r="B2" s="567"/>
      <c r="C2" s="568" t="str">
        <f>'Registrering &amp; Resultat'!G4</f>
        <v>Kalkylbil 2022</v>
      </c>
      <c r="D2" s="567"/>
      <c r="E2" s="569"/>
      <c r="F2" s="567"/>
      <c r="G2" s="567"/>
    </row>
    <row r="3" spans="1:60" ht="15.75" thickBot="1" x14ac:dyDescent="0.3"/>
    <row r="4" spans="1:60" ht="16.5" thickTop="1" x14ac:dyDescent="0.25">
      <c r="A4" s="1" t="s">
        <v>0</v>
      </c>
      <c r="B4" s="2"/>
      <c r="C4" s="2"/>
      <c r="D4" s="3"/>
      <c r="E4" s="3"/>
      <c r="F4" s="3"/>
      <c r="G4" s="4"/>
      <c r="H4" s="5"/>
      <c r="I4" s="6" t="s">
        <v>1</v>
      </c>
      <c r="K4" s="7"/>
      <c r="N4" s="8" t="s">
        <v>2</v>
      </c>
      <c r="O4" s="9"/>
      <c r="P4" s="9"/>
      <c r="Q4" s="9"/>
      <c r="R4" s="10"/>
      <c r="T4" s="11" t="s">
        <v>3</v>
      </c>
      <c r="U4" s="12"/>
      <c r="V4" s="12"/>
      <c r="W4" s="12"/>
      <c r="X4" s="13"/>
      <c r="Z4" s="14" t="s">
        <v>4</v>
      </c>
      <c r="AA4" s="15"/>
      <c r="AB4" s="15"/>
      <c r="AC4" s="15"/>
      <c r="AD4" s="16"/>
      <c r="AF4" s="17" t="s">
        <v>5</v>
      </c>
      <c r="AG4" s="18"/>
      <c r="AH4" s="18"/>
      <c r="AI4" s="18"/>
      <c r="AJ4" s="19"/>
      <c r="AL4" s="20" t="s">
        <v>6</v>
      </c>
      <c r="AM4" s="21"/>
      <c r="AN4" s="21"/>
      <c r="AO4" s="21"/>
      <c r="AP4" s="22"/>
      <c r="AR4" s="23" t="s">
        <v>7</v>
      </c>
      <c r="AS4" s="24"/>
      <c r="AT4" s="24"/>
      <c r="AU4" s="24"/>
      <c r="AV4" s="25"/>
      <c r="AX4" s="26" t="s">
        <v>8</v>
      </c>
      <c r="AY4" s="27"/>
      <c r="AZ4" s="27"/>
      <c r="BA4" s="27"/>
      <c r="BB4" s="28"/>
      <c r="BD4" s="29" t="s">
        <v>9</v>
      </c>
      <c r="BE4" s="30"/>
      <c r="BF4" s="30"/>
      <c r="BG4" s="30"/>
      <c r="BH4" s="31"/>
    </row>
    <row r="5" spans="1:60" ht="15.75" thickBot="1" x14ac:dyDescent="0.3">
      <c r="A5" s="32"/>
      <c r="B5" s="33"/>
      <c r="C5" s="33"/>
      <c r="D5" s="33"/>
      <c r="E5" s="33"/>
      <c r="F5" s="33"/>
      <c r="G5" s="34"/>
      <c r="H5" s="35"/>
      <c r="I5" s="33"/>
      <c r="J5" s="33"/>
      <c r="K5" s="33"/>
      <c r="N5" s="36" t="s">
        <v>10</v>
      </c>
      <c r="O5" s="37"/>
      <c r="P5" s="37"/>
      <c r="Q5" s="37"/>
      <c r="R5" s="38"/>
      <c r="T5" s="39" t="s">
        <v>11</v>
      </c>
      <c r="U5" s="40" t="s">
        <v>12</v>
      </c>
      <c r="V5" s="41"/>
      <c r="W5" s="41"/>
      <c r="X5" s="42"/>
      <c r="Z5" s="43" t="s">
        <v>13</v>
      </c>
      <c r="AA5" s="44"/>
      <c r="AB5" s="44"/>
      <c r="AC5" s="44"/>
      <c r="AD5" s="45"/>
      <c r="AF5" s="46"/>
      <c r="AG5" s="47"/>
      <c r="AH5" s="47"/>
      <c r="AI5" s="47"/>
      <c r="AJ5" s="48"/>
      <c r="AL5" s="49"/>
      <c r="AM5" s="50"/>
      <c r="AN5" s="50"/>
      <c r="AO5" s="50"/>
      <c r="AP5" s="51"/>
      <c r="AR5" s="52"/>
      <c r="AS5" s="53" t="s">
        <v>14</v>
      </c>
      <c r="AT5" s="54" t="s">
        <v>15</v>
      </c>
      <c r="AU5" s="54" t="s">
        <v>16</v>
      </c>
      <c r="AV5" s="55" t="s">
        <v>17</v>
      </c>
      <c r="AX5" s="56" t="s">
        <v>11</v>
      </c>
      <c r="AY5" s="57" t="s">
        <v>18</v>
      </c>
      <c r="AZ5" s="57"/>
      <c r="BA5" s="57"/>
      <c r="BB5" s="58"/>
      <c r="BD5" s="59" t="s">
        <v>19</v>
      </c>
      <c r="BE5" s="60"/>
      <c r="BF5" s="60"/>
      <c r="BG5" s="60"/>
      <c r="BH5" s="61"/>
    </row>
    <row r="6" spans="1:60" ht="15.75" thickBot="1" x14ac:dyDescent="0.3">
      <c r="A6" s="62" t="s">
        <v>20</v>
      </c>
      <c r="B6" s="63"/>
      <c r="C6" s="63"/>
      <c r="D6" s="63"/>
      <c r="E6" s="63"/>
      <c r="F6" s="64"/>
      <c r="G6" s="34"/>
      <c r="H6" s="35"/>
      <c r="I6" s="65" t="s">
        <v>21</v>
      </c>
      <c r="J6" s="66"/>
      <c r="K6" s="67" t="s">
        <v>22</v>
      </c>
      <c r="N6" s="68" t="s">
        <v>23</v>
      </c>
      <c r="O6" s="69"/>
      <c r="P6" s="69"/>
      <c r="Q6" s="69"/>
      <c r="R6" s="70"/>
      <c r="T6" s="39"/>
      <c r="U6" s="71" t="s">
        <v>24</v>
      </c>
      <c r="V6" s="41"/>
      <c r="W6" s="41"/>
      <c r="X6" s="42"/>
      <c r="Z6" s="72"/>
      <c r="AA6" s="73"/>
      <c r="AB6" s="73"/>
      <c r="AC6" s="73"/>
      <c r="AD6" s="74"/>
      <c r="AF6" s="75" t="s">
        <v>25</v>
      </c>
      <c r="AG6" s="76"/>
      <c r="AH6" s="76"/>
      <c r="AI6" s="76"/>
      <c r="AJ6" s="77" t="s">
        <v>26</v>
      </c>
      <c r="AL6" s="78" t="s">
        <v>27</v>
      </c>
      <c r="AM6" s="79"/>
      <c r="AN6" s="79"/>
      <c r="AO6" s="79"/>
      <c r="AP6" s="80" t="s">
        <v>28</v>
      </c>
      <c r="AR6" s="81" t="s">
        <v>29</v>
      </c>
      <c r="AS6" s="82" t="s">
        <v>30</v>
      </c>
      <c r="AT6" s="82" t="s">
        <v>31</v>
      </c>
      <c r="AU6" s="82" t="s">
        <v>32</v>
      </c>
      <c r="AV6" s="83" t="s">
        <v>33</v>
      </c>
      <c r="AX6" s="84" t="s">
        <v>34</v>
      </c>
      <c r="AY6" s="85"/>
      <c r="AZ6" s="85"/>
      <c r="BA6" s="86"/>
      <c r="BB6" s="87"/>
      <c r="BD6" s="88"/>
      <c r="BE6" s="89"/>
      <c r="BF6" s="89"/>
      <c r="BG6" s="89"/>
      <c r="BH6" s="90"/>
    </row>
    <row r="7" spans="1:60" ht="15.75" thickBot="1" x14ac:dyDescent="0.3">
      <c r="A7" s="91" t="s">
        <v>35</v>
      </c>
      <c r="B7" s="92"/>
      <c r="C7" s="92"/>
      <c r="D7" s="92"/>
      <c r="E7" s="92"/>
      <c r="F7" s="553">
        <f>'Registrering &amp; Resultat'!K33</f>
        <v>2500</v>
      </c>
      <c r="G7" s="34"/>
      <c r="H7" s="35"/>
      <c r="I7" s="93" t="s">
        <v>36</v>
      </c>
      <c r="J7" s="94"/>
      <c r="K7" s="95">
        <f>IF(F13=0,0,(F12-F14)*F15/F13)</f>
        <v>-600</v>
      </c>
      <c r="N7" s="96" t="s">
        <v>37</v>
      </c>
      <c r="O7" s="85"/>
      <c r="P7" s="85"/>
      <c r="Q7" s="85"/>
      <c r="R7" s="97" t="s">
        <v>38</v>
      </c>
      <c r="T7" s="98" t="s">
        <v>39</v>
      </c>
      <c r="U7" s="99"/>
      <c r="V7" s="99"/>
      <c r="W7" s="41"/>
      <c r="X7" s="42"/>
      <c r="Z7" s="1006" t="s">
        <v>40</v>
      </c>
      <c r="AA7" s="1007"/>
      <c r="AB7" s="1012" t="s">
        <v>41</v>
      </c>
      <c r="AC7" s="1013"/>
      <c r="AD7" s="100"/>
      <c r="AF7" s="101" t="s">
        <v>42</v>
      </c>
      <c r="AG7" s="102"/>
      <c r="AH7" s="102"/>
      <c r="AI7" s="103"/>
      <c r="AJ7" s="104"/>
      <c r="AL7" s="105" t="s">
        <v>43</v>
      </c>
      <c r="AM7" s="106"/>
      <c r="AN7" s="106"/>
      <c r="AO7" s="107"/>
      <c r="AP7" s="108">
        <v>26000</v>
      </c>
      <c r="AR7" s="109" t="s">
        <v>44</v>
      </c>
      <c r="AS7" s="110"/>
      <c r="AT7" s="110"/>
      <c r="AU7" s="110"/>
      <c r="AV7" s="111">
        <v>6</v>
      </c>
      <c r="AX7" s="84" t="s">
        <v>45</v>
      </c>
      <c r="AY7" s="85"/>
      <c r="AZ7" s="85"/>
      <c r="BA7" s="112"/>
      <c r="BB7" s="113"/>
      <c r="BD7" s="114" t="s">
        <v>46</v>
      </c>
      <c r="BE7" s="114"/>
      <c r="BF7" s="114"/>
      <c r="BG7" s="115" t="s">
        <v>47</v>
      </c>
      <c r="BH7" s="116" t="s">
        <v>33</v>
      </c>
    </row>
    <row r="8" spans="1:60" ht="15.75" thickBot="1" x14ac:dyDescent="0.3">
      <c r="A8" s="117" t="s">
        <v>48</v>
      </c>
      <c r="B8" s="118"/>
      <c r="C8" s="118"/>
      <c r="D8" s="118"/>
      <c r="E8" s="118"/>
      <c r="F8" s="554">
        <f>'Registrering &amp; Resultat'!K34</f>
        <v>5000</v>
      </c>
      <c r="G8" s="34"/>
      <c r="H8" s="35"/>
      <c r="I8" s="119" t="s">
        <v>49</v>
      </c>
      <c r="J8" s="120"/>
      <c r="K8" s="121">
        <f>IF(F13=0,0,(F12+F14)/2*F16)</f>
        <v>-403.2</v>
      </c>
      <c r="N8" s="558" t="str">
        <f>'Registrering &amp; Resultat'!L11</f>
        <v>Släp</v>
      </c>
      <c r="O8" s="559"/>
      <c r="P8" s="559">
        <f>'Registrering &amp; Resultat'!M11</f>
        <v>0</v>
      </c>
      <c r="Q8" s="559"/>
      <c r="R8" s="560">
        <f>'Registrering &amp; Resultat'!O11</f>
        <v>0</v>
      </c>
      <c r="T8" s="125" t="s">
        <v>50</v>
      </c>
      <c r="U8" s="126"/>
      <c r="V8" s="126"/>
      <c r="W8" s="127" t="s">
        <v>51</v>
      </c>
      <c r="X8" s="128" t="s">
        <v>52</v>
      </c>
      <c r="Z8" s="1006" t="s">
        <v>53</v>
      </c>
      <c r="AA8" s="1007"/>
      <c r="AB8" s="1014">
        <v>38000</v>
      </c>
      <c r="AC8" s="1009"/>
      <c r="AD8" s="100" t="s">
        <v>54</v>
      </c>
      <c r="AF8" s="129" t="s">
        <v>55</v>
      </c>
      <c r="AG8" s="130"/>
      <c r="AH8" s="130"/>
      <c r="AI8" s="131"/>
      <c r="AJ8" s="132"/>
      <c r="AL8" s="133" t="s">
        <v>56</v>
      </c>
      <c r="AM8" s="134"/>
      <c r="AN8" s="134"/>
      <c r="AO8" s="135"/>
      <c r="AP8" s="136">
        <v>12000</v>
      </c>
      <c r="AR8" s="137" t="s">
        <v>57</v>
      </c>
      <c r="AS8" s="138" t="s">
        <v>261</v>
      </c>
      <c r="AT8" s="138"/>
      <c r="AU8" s="138"/>
      <c r="AV8" s="139">
        <f>IF(SUMPRODUCT(AS7:AV7,AS9:AV9)=0,"",SUMPRODUCT(AS7:AV7,AS9:AV9))</f>
        <v>21000</v>
      </c>
      <c r="AX8" s="140"/>
      <c r="AY8" s="141"/>
      <c r="AZ8" s="141"/>
      <c r="BA8" s="142"/>
      <c r="BB8" s="143"/>
      <c r="BD8" s="144" t="s">
        <v>58</v>
      </c>
      <c r="BE8" s="145"/>
      <c r="BF8" s="145"/>
      <c r="BG8" s="145"/>
      <c r="BH8" s="146"/>
    </row>
    <row r="9" spans="1:60" ht="15.75" thickBot="1" x14ac:dyDescent="0.3">
      <c r="A9" s="117" t="s">
        <v>244</v>
      </c>
      <c r="B9" s="118"/>
      <c r="C9" s="570">
        <f>+'Registrering &amp; Resultat'!H35</f>
        <v>5</v>
      </c>
      <c r="D9" s="118" t="s">
        <v>245</v>
      </c>
      <c r="E9" s="118"/>
      <c r="F9" s="571">
        <f>+C9*52</f>
        <v>260</v>
      </c>
      <c r="G9" s="34"/>
      <c r="H9" s="35"/>
      <c r="I9" s="119" t="s">
        <v>59</v>
      </c>
      <c r="J9" s="120"/>
      <c r="K9" s="121">
        <f>+AC22</f>
        <v>0</v>
      </c>
      <c r="N9" s="558" t="str">
        <f>'Registrering &amp; Resultat'!L12</f>
        <v>Aggregat</v>
      </c>
      <c r="O9" s="559"/>
      <c r="P9" s="559">
        <f>'Registrering &amp; Resultat'!M12</f>
        <v>0</v>
      </c>
      <c r="Q9" s="559"/>
      <c r="R9" s="560">
        <f>'Registrering &amp; Resultat'!O12</f>
        <v>0</v>
      </c>
      <c r="T9" s="149" t="s">
        <v>60</v>
      </c>
      <c r="U9" s="150"/>
      <c r="V9" s="151"/>
      <c r="W9" s="152">
        <v>1</v>
      </c>
      <c r="X9" s="153">
        <v>0</v>
      </c>
      <c r="Z9" s="1006" t="s">
        <v>61</v>
      </c>
      <c r="AA9" s="1007"/>
      <c r="AB9" s="1015" t="s">
        <v>62</v>
      </c>
      <c r="AC9" s="1016"/>
      <c r="AD9" s="100"/>
      <c r="AF9" s="129"/>
      <c r="AG9" s="130"/>
      <c r="AH9" s="130"/>
      <c r="AI9" s="131"/>
      <c r="AJ9" s="132"/>
      <c r="AL9" s="133" t="s">
        <v>63</v>
      </c>
      <c r="AM9" s="134"/>
      <c r="AN9" s="134"/>
      <c r="AO9" s="135"/>
      <c r="AP9" s="136">
        <v>3000</v>
      </c>
      <c r="AR9" s="154" t="s">
        <v>64</v>
      </c>
      <c r="AS9" s="155"/>
      <c r="AT9" s="155"/>
      <c r="AU9" s="155"/>
      <c r="AV9" s="155">
        <v>3500</v>
      </c>
      <c r="AX9" s="84" t="s">
        <v>65</v>
      </c>
      <c r="AY9" s="85"/>
      <c r="AZ9" s="85"/>
      <c r="BA9" s="112" t="s">
        <v>66</v>
      </c>
      <c r="BB9" s="113" t="s">
        <v>67</v>
      </c>
      <c r="BD9" s="157" t="s">
        <v>68</v>
      </c>
      <c r="BE9" s="158"/>
      <c r="BF9" s="158"/>
      <c r="BG9" s="159"/>
      <c r="BH9" s="160"/>
    </row>
    <row r="10" spans="1:60" ht="15.75" thickBot="1" x14ac:dyDescent="0.3">
      <c r="A10" s="147"/>
      <c r="B10" s="148"/>
      <c r="C10" s="148"/>
      <c r="D10" s="148"/>
      <c r="E10" s="148"/>
      <c r="F10" s="148"/>
      <c r="G10" s="148"/>
      <c r="H10" s="35"/>
      <c r="I10" s="119" t="s">
        <v>70</v>
      </c>
      <c r="J10" s="120"/>
      <c r="K10" s="121">
        <f>F24</f>
        <v>20000</v>
      </c>
      <c r="N10" s="558">
        <f>'Registrering &amp; Resultat'!L13</f>
        <v>0</v>
      </c>
      <c r="O10" s="559"/>
      <c r="P10" s="559">
        <f>'Registrering &amp; Resultat'!M13</f>
        <v>0</v>
      </c>
      <c r="Q10" s="559"/>
      <c r="R10" s="560">
        <f>'Registrering &amp; Resultat'!O13</f>
        <v>0</v>
      </c>
      <c r="T10" s="167" t="s">
        <v>71</v>
      </c>
      <c r="U10" s="168"/>
      <c r="V10" s="169"/>
      <c r="W10" s="170"/>
      <c r="X10" s="171"/>
      <c r="Z10" s="1006" t="s">
        <v>72</v>
      </c>
      <c r="AA10" s="1007"/>
      <c r="AB10" s="1008">
        <v>4</v>
      </c>
      <c r="AC10" s="1009"/>
      <c r="AD10" s="100" t="s">
        <v>73</v>
      </c>
      <c r="AF10" s="129" t="s">
        <v>74</v>
      </c>
      <c r="AG10" s="130"/>
      <c r="AH10" s="130"/>
      <c r="AI10" s="131"/>
      <c r="AJ10" s="132">
        <v>20000</v>
      </c>
      <c r="AL10" s="133"/>
      <c r="AM10" s="134"/>
      <c r="AN10" s="134"/>
      <c r="AO10" s="135"/>
      <c r="AP10" s="136"/>
      <c r="AR10" s="172" t="s">
        <v>75</v>
      </c>
      <c r="AS10" s="110"/>
      <c r="AT10" s="110"/>
      <c r="AU10" s="110"/>
      <c r="AV10" s="110">
        <v>3000</v>
      </c>
      <c r="AX10" s="173" t="s">
        <v>76</v>
      </c>
      <c r="AY10" s="174"/>
      <c r="AZ10" s="174"/>
      <c r="BA10" s="175"/>
      <c r="BB10" s="176"/>
      <c r="BD10" s="157" t="s">
        <v>77</v>
      </c>
      <c r="BE10" s="158"/>
      <c r="BF10" s="158"/>
      <c r="BG10" s="159">
        <f>Lastbil!X20</f>
        <v>25.2</v>
      </c>
      <c r="BH10" s="177">
        <f>BG10</f>
        <v>25.2</v>
      </c>
    </row>
    <row r="11" spans="1:60" ht="15.75" thickBot="1" x14ac:dyDescent="0.3">
      <c r="A11" s="161" t="s">
        <v>69</v>
      </c>
      <c r="B11" s="162"/>
      <c r="C11" s="162"/>
      <c r="D11" s="162"/>
      <c r="E11" s="162"/>
      <c r="F11" s="163"/>
      <c r="G11" s="34"/>
      <c r="H11" s="35"/>
      <c r="I11" s="180" t="s">
        <v>79</v>
      </c>
      <c r="J11" s="120"/>
      <c r="K11" s="121">
        <f>F25</f>
        <v>41000</v>
      </c>
      <c r="N11" s="558">
        <f>'Registrering &amp; Resultat'!L14</f>
        <v>0</v>
      </c>
      <c r="O11" s="561"/>
      <c r="P11" s="559">
        <f>'Registrering &amp; Resultat'!M14</f>
        <v>0</v>
      </c>
      <c r="Q11" s="561"/>
      <c r="R11" s="560">
        <f>'Registrering &amp; Resultat'!O14</f>
        <v>0</v>
      </c>
      <c r="T11" s="167" t="s">
        <v>80</v>
      </c>
      <c r="U11" s="168"/>
      <c r="V11" s="169"/>
      <c r="W11" s="170"/>
      <c r="X11" s="171"/>
      <c r="Z11" s="1010" t="s">
        <v>81</v>
      </c>
      <c r="AA11" s="1011"/>
      <c r="AB11" s="1008" t="s">
        <v>82</v>
      </c>
      <c r="AC11" s="1009"/>
      <c r="AD11" s="100"/>
      <c r="AF11" s="129"/>
      <c r="AG11" s="130"/>
      <c r="AH11" s="130"/>
      <c r="AI11" s="131"/>
      <c r="AJ11" s="132"/>
      <c r="AL11" s="133" t="s">
        <v>83</v>
      </c>
      <c r="AM11" s="134"/>
      <c r="AN11" s="134"/>
      <c r="AO11" s="135"/>
      <c r="AP11" s="136">
        <v>0</v>
      </c>
      <c r="AR11" s="172" t="s">
        <v>84</v>
      </c>
      <c r="AS11" s="110"/>
      <c r="AT11" s="110"/>
      <c r="AU11" s="110"/>
      <c r="AV11" s="111">
        <v>400</v>
      </c>
      <c r="AX11" s="181" t="s">
        <v>85</v>
      </c>
      <c r="AY11" s="182"/>
      <c r="AZ11" s="182"/>
      <c r="BA11" s="183"/>
      <c r="BB11" s="184"/>
      <c r="BD11" s="157" t="s">
        <v>86</v>
      </c>
      <c r="BE11" s="158"/>
      <c r="BF11" s="158"/>
      <c r="BG11" s="185">
        <f>BG9*BG10</f>
        <v>0</v>
      </c>
      <c r="BH11" s="186">
        <f>BH9*BH10</f>
        <v>0</v>
      </c>
    </row>
    <row r="12" spans="1:60" ht="15.75" thickTop="1" x14ac:dyDescent="0.25">
      <c r="A12" s="178" t="s">
        <v>78</v>
      </c>
      <c r="B12" s="179"/>
      <c r="C12" s="179"/>
      <c r="D12" s="179"/>
      <c r="E12" s="179"/>
      <c r="F12" s="543">
        <f>$R$15</f>
        <v>-21000</v>
      </c>
      <c r="G12" s="34"/>
      <c r="H12" s="35"/>
      <c r="I12" s="180" t="s">
        <v>88</v>
      </c>
      <c r="J12" s="120"/>
      <c r="K12" s="188"/>
      <c r="N12" s="558">
        <f>'Registrering &amp; Resultat'!L15</f>
        <v>0</v>
      </c>
      <c r="O12" s="561"/>
      <c r="P12" s="559">
        <f>'Registrering &amp; Resultat'!M15</f>
        <v>0</v>
      </c>
      <c r="Q12" s="561"/>
      <c r="R12" s="560">
        <f>'Registrering &amp; Resultat'!O15</f>
        <v>0</v>
      </c>
      <c r="T12" s="167" t="s">
        <v>89</v>
      </c>
      <c r="U12" s="168"/>
      <c r="V12" s="169"/>
      <c r="W12" s="170"/>
      <c r="X12" s="171"/>
      <c r="Z12" s="189"/>
      <c r="AA12" s="190"/>
      <c r="AB12" s="190"/>
      <c r="AC12" s="190"/>
      <c r="AD12" s="191"/>
      <c r="AF12" s="129" t="s">
        <v>90</v>
      </c>
      <c r="AG12" s="130"/>
      <c r="AH12" s="130"/>
      <c r="AI12" s="131"/>
      <c r="AJ12" s="132"/>
      <c r="AL12" s="133"/>
      <c r="AM12" s="134"/>
      <c r="AN12" s="134"/>
      <c r="AO12" s="135"/>
      <c r="AP12" s="136"/>
      <c r="AR12" s="137" t="s">
        <v>91</v>
      </c>
      <c r="AS12" s="138"/>
      <c r="AT12" s="138"/>
      <c r="AU12" s="138"/>
      <c r="AV12" s="192"/>
      <c r="AX12" s="181" t="s">
        <v>92</v>
      </c>
      <c r="AY12" s="182"/>
      <c r="AZ12" s="182"/>
      <c r="BA12" s="183"/>
      <c r="BB12" s="184"/>
      <c r="BD12" s="193"/>
      <c r="BE12" s="194"/>
      <c r="BF12" s="194"/>
      <c r="BG12" s="195"/>
      <c r="BH12" s="196"/>
    </row>
    <row r="13" spans="1:60" ht="15.75" thickBot="1" x14ac:dyDescent="0.3">
      <c r="A13" s="187" t="s">
        <v>87</v>
      </c>
      <c r="B13" s="120"/>
      <c r="C13" s="120"/>
      <c r="D13" s="120"/>
      <c r="E13" s="120"/>
      <c r="F13" s="544">
        <f>$R$17</f>
        <v>7</v>
      </c>
      <c r="G13" s="34"/>
      <c r="H13" s="35"/>
      <c r="I13" s="197"/>
      <c r="J13" s="148"/>
      <c r="K13" s="198"/>
      <c r="N13" s="558" t="str">
        <f>'Registrering &amp; Resultat'!L16</f>
        <v>Bidrag</v>
      </c>
      <c r="O13" s="562"/>
      <c r="P13" s="559" t="str">
        <f>'Registrering &amp; Resultat'!M16</f>
        <v>Minuspost</v>
      </c>
      <c r="Q13" s="562"/>
      <c r="R13" s="560">
        <f>'Registrering &amp; Resultat'!O16</f>
        <v>0</v>
      </c>
      <c r="T13" s="201" t="s">
        <v>94</v>
      </c>
      <c r="U13" s="202"/>
      <c r="V13" s="203"/>
      <c r="W13" s="204"/>
      <c r="X13" s="205"/>
      <c r="Z13" s="206" t="s">
        <v>95</v>
      </c>
      <c r="AA13" s="190"/>
      <c r="AB13" s="207"/>
      <c r="AC13" s="208"/>
      <c r="AD13" s="209"/>
      <c r="AF13" s="129"/>
      <c r="AG13" s="130"/>
      <c r="AH13" s="130"/>
      <c r="AI13" s="131"/>
      <c r="AJ13" s="132"/>
      <c r="AL13" s="133" t="s">
        <v>239</v>
      </c>
      <c r="AM13" s="134"/>
      <c r="AN13" s="134"/>
      <c r="AO13" s="135"/>
      <c r="AP13" s="136"/>
      <c r="AR13" s="154" t="s">
        <v>96</v>
      </c>
      <c r="AS13" s="155"/>
      <c r="AT13" s="155">
        <v>22000</v>
      </c>
      <c r="AU13" s="155">
        <v>22000</v>
      </c>
      <c r="AV13" s="156">
        <v>22000</v>
      </c>
      <c r="AX13" s="181" t="s">
        <v>97</v>
      </c>
      <c r="AY13" s="182"/>
      <c r="AZ13" s="182"/>
      <c r="BA13" s="183">
        <v>0</v>
      </c>
      <c r="BB13" s="184"/>
      <c r="BD13" s="210" t="s">
        <v>98</v>
      </c>
      <c r="BE13" s="210"/>
      <c r="BF13" s="210"/>
      <c r="BG13" s="211" t="s">
        <v>47</v>
      </c>
      <c r="BH13" s="212" t="s">
        <v>33</v>
      </c>
    </row>
    <row r="14" spans="1:60" ht="15.75" thickBot="1" x14ac:dyDescent="0.3">
      <c r="A14" s="187" t="s">
        <v>93</v>
      </c>
      <c r="B14" s="120"/>
      <c r="C14" s="120"/>
      <c r="D14" s="120"/>
      <c r="E14" s="120"/>
      <c r="F14" s="545">
        <f>$R$26</f>
        <v>-4200</v>
      </c>
      <c r="G14" s="34"/>
      <c r="H14" s="35"/>
      <c r="I14" s="213" t="s">
        <v>100</v>
      </c>
      <c r="J14" s="214"/>
      <c r="K14" s="215">
        <f>SUM(K7:K13)</f>
        <v>59996.800000000003</v>
      </c>
      <c r="N14" s="199" t="s">
        <v>101</v>
      </c>
      <c r="O14" s="200"/>
      <c r="P14" s="200"/>
      <c r="Q14" s="200"/>
      <c r="R14" s="216">
        <f>IFERROR(SUM(AV8*-1),"")</f>
        <v>-21000</v>
      </c>
      <c r="T14" s="217" t="s">
        <v>102</v>
      </c>
      <c r="U14" s="218"/>
      <c r="V14" s="218"/>
      <c r="W14" s="219">
        <f>1-SUM(W9:W13)</f>
        <v>0</v>
      </c>
      <c r="X14" s="220"/>
      <c r="Z14" s="221" t="s">
        <v>59</v>
      </c>
      <c r="AA14" s="222"/>
      <c r="AB14" s="223"/>
      <c r="AC14" s="224"/>
      <c r="AD14" s="225"/>
      <c r="AF14" s="129"/>
      <c r="AG14" s="130"/>
      <c r="AH14" s="130"/>
      <c r="AI14" s="131"/>
      <c r="AJ14" s="132"/>
      <c r="AL14" s="133"/>
      <c r="AM14" s="134"/>
      <c r="AN14" s="134"/>
      <c r="AO14" s="135"/>
      <c r="AP14" s="136"/>
      <c r="AR14" s="172" t="s">
        <v>103</v>
      </c>
      <c r="AS14" s="110"/>
      <c r="AT14" s="110">
        <v>13000</v>
      </c>
      <c r="AU14" s="110">
        <v>13000</v>
      </c>
      <c r="AV14" s="111">
        <v>13000</v>
      </c>
      <c r="AX14" s="181"/>
      <c r="AY14" s="182"/>
      <c r="AZ14" s="182"/>
      <c r="BA14" s="183"/>
      <c r="BB14" s="184"/>
      <c r="BD14" s="157" t="s">
        <v>104</v>
      </c>
      <c r="BE14" s="158"/>
      <c r="BF14" s="226" t="s">
        <v>105</v>
      </c>
      <c r="BG14" s="227"/>
      <c r="BH14" s="228"/>
    </row>
    <row r="15" spans="1:60" x14ac:dyDescent="0.25">
      <c r="A15" s="187" t="s">
        <v>99</v>
      </c>
      <c r="B15" s="120"/>
      <c r="C15" s="120"/>
      <c r="D15" s="120"/>
      <c r="E15" s="120"/>
      <c r="F15" s="546">
        <f>$Q$29</f>
        <v>0.25</v>
      </c>
      <c r="G15" s="34"/>
      <c r="H15" s="35"/>
      <c r="I15" s="148"/>
      <c r="J15" s="148"/>
      <c r="K15" s="229"/>
      <c r="N15" s="230" t="s">
        <v>107</v>
      </c>
      <c r="O15" s="231"/>
      <c r="P15" s="231"/>
      <c r="Q15" s="231"/>
      <c r="R15" s="232">
        <f>SUM(R7:R14)</f>
        <v>-21000</v>
      </c>
      <c r="T15" s="233" t="s">
        <v>108</v>
      </c>
      <c r="U15" s="234"/>
      <c r="V15" s="234"/>
      <c r="W15" s="235">
        <f>SUM(W9:W14)</f>
        <v>1</v>
      </c>
      <c r="X15" s="236">
        <f>ROUND(SUMPRODUCT(W9:W14,X9:X14),2)</f>
        <v>0</v>
      </c>
      <c r="Z15" s="221" t="s">
        <v>109</v>
      </c>
      <c r="AA15" s="222"/>
      <c r="AB15" s="223"/>
      <c r="AC15" s="237"/>
      <c r="AD15" s="225"/>
      <c r="AF15" s="129"/>
      <c r="AG15" s="130"/>
      <c r="AH15" s="130"/>
      <c r="AI15" s="131"/>
      <c r="AJ15" s="132"/>
      <c r="AL15" s="133"/>
      <c r="AM15" s="134"/>
      <c r="AN15" s="134"/>
      <c r="AO15" s="135"/>
      <c r="AP15" s="136"/>
      <c r="AR15" s="238"/>
      <c r="AS15" s="190"/>
      <c r="AT15" s="190"/>
      <c r="AU15" s="190"/>
      <c r="AV15" s="239"/>
      <c r="AX15" s="181" t="s">
        <v>110</v>
      </c>
      <c r="AY15" s="182"/>
      <c r="AZ15" s="182"/>
      <c r="BA15" s="183"/>
      <c r="BB15" s="184"/>
      <c r="BD15" s="157" t="s">
        <v>111</v>
      </c>
      <c r="BE15" s="158"/>
      <c r="BF15" s="226" t="s">
        <v>105</v>
      </c>
      <c r="BG15" s="227">
        <v>8000</v>
      </c>
      <c r="BH15" s="240"/>
    </row>
    <row r="16" spans="1:60" ht="15.75" thickBot="1" x14ac:dyDescent="0.3">
      <c r="A16" s="117" t="s">
        <v>106</v>
      </c>
      <c r="B16" s="118"/>
      <c r="C16" s="118"/>
      <c r="D16" s="118"/>
      <c r="E16" s="118"/>
      <c r="F16" s="572">
        <v>3.2000000000000001E-2</v>
      </c>
      <c r="G16" s="34"/>
      <c r="H16" s="35"/>
      <c r="I16" s="148"/>
      <c r="J16" s="148"/>
      <c r="K16" s="229"/>
      <c r="N16" s="241"/>
      <c r="O16" s="242"/>
      <c r="P16" s="242"/>
      <c r="Q16" s="242"/>
      <c r="R16" s="243"/>
      <c r="T16" s="244"/>
      <c r="U16" s="245"/>
      <c r="V16" s="245"/>
      <c r="W16" s="245"/>
      <c r="X16" s="246"/>
      <c r="Z16" s="247"/>
      <c r="AA16" s="248"/>
      <c r="AB16" s="248"/>
      <c r="AC16" s="249"/>
      <c r="AD16" s="225"/>
      <c r="AF16" s="129"/>
      <c r="AG16" s="130"/>
      <c r="AH16" s="130"/>
      <c r="AI16" s="131"/>
      <c r="AJ16" s="132"/>
      <c r="AL16" s="133"/>
      <c r="AM16" s="134"/>
      <c r="AN16" s="134"/>
      <c r="AO16" s="135"/>
      <c r="AP16" s="136"/>
      <c r="AR16" s="137" t="s">
        <v>112</v>
      </c>
      <c r="AS16" s="138"/>
      <c r="AT16" s="138"/>
      <c r="AU16" s="138"/>
      <c r="AV16" s="192"/>
      <c r="AX16" s="181" t="s">
        <v>113</v>
      </c>
      <c r="AY16" s="182"/>
      <c r="AZ16" s="182"/>
      <c r="BA16" s="183"/>
      <c r="BB16" s="184"/>
      <c r="BD16" s="157" t="s">
        <v>114</v>
      </c>
      <c r="BE16" s="158"/>
      <c r="BF16" s="226" t="s">
        <v>105</v>
      </c>
      <c r="BG16" s="227">
        <v>5000</v>
      </c>
      <c r="BH16" s="228"/>
    </row>
    <row r="17" spans="1:60" ht="15.75" thickBot="1" x14ac:dyDescent="0.3">
      <c r="A17" s="147"/>
      <c r="B17" s="148"/>
      <c r="C17" s="148"/>
      <c r="D17" s="148"/>
      <c r="E17" s="148"/>
      <c r="F17" s="148"/>
      <c r="G17" s="34"/>
      <c r="H17" s="35"/>
      <c r="I17" s="252" t="s">
        <v>116</v>
      </c>
      <c r="J17" s="253"/>
      <c r="K17" s="254"/>
      <c r="N17" s="230" t="s">
        <v>117</v>
      </c>
      <c r="O17" s="231"/>
      <c r="P17" s="231"/>
      <c r="Q17" s="255" t="s">
        <v>118</v>
      </c>
      <c r="R17" s="573">
        <f>'Registrering &amp; Resultat'!L20</f>
        <v>7</v>
      </c>
      <c r="T17" s="256" t="s">
        <v>119</v>
      </c>
      <c r="U17" s="257"/>
      <c r="V17" s="257"/>
      <c r="W17" s="257"/>
      <c r="X17" s="258"/>
      <c r="Z17" s="259" t="s">
        <v>120</v>
      </c>
      <c r="AA17" s="248"/>
      <c r="AB17" s="248"/>
      <c r="AC17" s="249">
        <v>0</v>
      </c>
      <c r="AD17" s="225"/>
      <c r="AF17" s="129"/>
      <c r="AG17" s="130"/>
      <c r="AH17" s="130"/>
      <c r="AI17" s="131"/>
      <c r="AJ17" s="132"/>
      <c r="AL17" s="133"/>
      <c r="AM17" s="134"/>
      <c r="AN17" s="134"/>
      <c r="AO17" s="135"/>
      <c r="AP17" s="136"/>
      <c r="AR17" s="154" t="s">
        <v>96</v>
      </c>
      <c r="AS17" s="260">
        <f>IF(AS13=0,0,(AS9+AS11)/AS13)</f>
        <v>0</v>
      </c>
      <c r="AT17" s="260">
        <f>IF(AT13=0,0,(AT9+AT11)/AT13)</f>
        <v>0</v>
      </c>
      <c r="AU17" s="260">
        <f>IF(AU13=0,0,(AU9+AU11)/AU13)</f>
        <v>0</v>
      </c>
      <c r="AV17" s="261">
        <f>IF(AV13=0,0,(AV9+AV11)/AV13)</f>
        <v>0.17727272727272728</v>
      </c>
      <c r="AX17" s="181" t="s">
        <v>121</v>
      </c>
      <c r="AY17" s="182"/>
      <c r="AZ17" s="182"/>
      <c r="BA17" s="183"/>
      <c r="BB17" s="184"/>
      <c r="BD17" s="133"/>
      <c r="BE17" s="134"/>
      <c r="BF17" s="134"/>
      <c r="BG17" s="227"/>
      <c r="BH17" s="240"/>
    </row>
    <row r="18" spans="1:60" ht="15.75" thickBot="1" x14ac:dyDescent="0.3">
      <c r="A18" s="62" t="s">
        <v>115</v>
      </c>
      <c r="B18" s="250"/>
      <c r="C18" s="250"/>
      <c r="D18" s="250"/>
      <c r="E18" s="250"/>
      <c r="F18" s="251"/>
      <c r="G18" s="34"/>
      <c r="H18" s="35"/>
      <c r="I18" s="93" t="s">
        <v>123</v>
      </c>
      <c r="J18" s="94"/>
      <c r="K18" s="262">
        <f>IF(OR(F13=0,F8=0),0,(F12-F14)*(1-F15)/F13/F8)</f>
        <v>-0.36</v>
      </c>
      <c r="N18" s="263"/>
      <c r="O18" s="264"/>
      <c r="P18" s="264"/>
      <c r="Q18" s="264"/>
      <c r="R18" s="265"/>
      <c r="T18" s="125" t="s">
        <v>58</v>
      </c>
      <c r="U18" s="126"/>
      <c r="V18" s="126"/>
      <c r="W18" s="126" t="s">
        <v>124</v>
      </c>
      <c r="X18" s="266" t="s">
        <v>125</v>
      </c>
      <c r="Z18" s="247"/>
      <c r="AA18" s="248"/>
      <c r="AB18" s="248"/>
      <c r="AC18" s="249"/>
      <c r="AD18" s="225"/>
      <c r="AF18" s="129"/>
      <c r="AG18" s="130"/>
      <c r="AH18" s="130"/>
      <c r="AI18" s="131"/>
      <c r="AJ18" s="132"/>
      <c r="AL18" s="133"/>
      <c r="AM18" s="134"/>
      <c r="AN18" s="134"/>
      <c r="AO18" s="135"/>
      <c r="AP18" s="136"/>
      <c r="AR18" s="172" t="s">
        <v>103</v>
      </c>
      <c r="AS18" s="267">
        <f>IF(AS14=0,0,(AS10+AS11)/AS14)</f>
        <v>0</v>
      </c>
      <c r="AT18" s="267">
        <f>IF(AT14=0,0,(AT10+AT11)/AT14)</f>
        <v>0</v>
      </c>
      <c r="AU18" s="267">
        <f>IF(AU14=0,0,(AU10+AU11)/AU14)</f>
        <v>0</v>
      </c>
      <c r="AV18" s="268">
        <f>IF(AV14=0,0,(AV10+AV11)/AV14)</f>
        <v>0.26153846153846155</v>
      </c>
      <c r="AX18" s="181"/>
      <c r="AY18" s="182"/>
      <c r="AZ18" s="182"/>
      <c r="BA18" s="183"/>
      <c r="BB18" s="184"/>
      <c r="BD18" s="133"/>
      <c r="BE18" s="134"/>
      <c r="BF18" s="134"/>
      <c r="BG18" s="227"/>
      <c r="BH18" s="240"/>
    </row>
    <row r="19" spans="1:60" ht="15.75" thickBot="1" x14ac:dyDescent="0.3">
      <c r="A19" s="91" t="s">
        <v>122</v>
      </c>
      <c r="B19" s="92"/>
      <c r="C19" s="92"/>
      <c r="D19" s="92"/>
      <c r="E19" s="92"/>
      <c r="F19" s="547">
        <f>$X$15</f>
        <v>0</v>
      </c>
      <c r="G19" s="34"/>
      <c r="H19" s="35"/>
      <c r="I19" s="119" t="s">
        <v>127</v>
      </c>
      <c r="J19" s="120"/>
      <c r="K19" s="269">
        <f>F28</f>
        <v>1.51</v>
      </c>
      <c r="N19" s="68" t="s">
        <v>128</v>
      </c>
      <c r="O19" s="270"/>
      <c r="P19" s="270"/>
      <c r="Q19" s="270"/>
      <c r="R19" s="271"/>
      <c r="T19" s="272" t="s">
        <v>129</v>
      </c>
      <c r="U19" s="273">
        <v>44012</v>
      </c>
      <c r="V19" s="274"/>
      <c r="W19" s="152">
        <v>1</v>
      </c>
      <c r="X19" s="275">
        <f>Lastbil!X20</f>
        <v>25.2</v>
      </c>
      <c r="Z19" s="247"/>
      <c r="AA19" s="248"/>
      <c r="AB19" s="248"/>
      <c r="AC19" s="249"/>
      <c r="AD19" s="225"/>
      <c r="AF19" s="129"/>
      <c r="AG19" s="130"/>
      <c r="AH19" s="130"/>
      <c r="AI19" s="131"/>
      <c r="AJ19" s="132"/>
      <c r="AL19" s="133"/>
      <c r="AM19" s="134"/>
      <c r="AN19" s="134"/>
      <c r="AO19" s="135"/>
      <c r="AP19" s="136"/>
      <c r="AR19" s="238"/>
      <c r="AS19" s="190"/>
      <c r="AT19" s="190"/>
      <c r="AU19" s="190"/>
      <c r="AV19" s="239"/>
      <c r="AX19" s="181"/>
      <c r="AY19" s="182"/>
      <c r="AZ19" s="182"/>
      <c r="BA19" s="183"/>
      <c r="BB19" s="184"/>
      <c r="BD19" s="133"/>
      <c r="BE19" s="134"/>
      <c r="BF19" s="134"/>
      <c r="BG19" s="227"/>
      <c r="BH19" s="240"/>
    </row>
    <row r="20" spans="1:60" ht="16.5" thickTop="1" thickBot="1" x14ac:dyDescent="0.3">
      <c r="A20" s="117" t="s">
        <v>126</v>
      </c>
      <c r="B20" s="118"/>
      <c r="C20" s="118"/>
      <c r="D20" s="118"/>
      <c r="E20" s="118"/>
      <c r="F20" s="548">
        <f>$X$29</f>
        <v>25.2</v>
      </c>
      <c r="G20" s="34"/>
      <c r="H20" s="35"/>
      <c r="I20" s="119" t="s">
        <v>8</v>
      </c>
      <c r="J20" s="120"/>
      <c r="K20" s="269">
        <f>F29</f>
        <v>0</v>
      </c>
      <c r="N20" s="96" t="s">
        <v>37</v>
      </c>
      <c r="O20" s="277"/>
      <c r="P20" s="277"/>
      <c r="Q20" s="277"/>
      <c r="R20" s="97" t="s">
        <v>38</v>
      </c>
      <c r="T20" s="167"/>
      <c r="U20" s="168"/>
      <c r="V20" s="169"/>
      <c r="W20" s="170"/>
      <c r="X20" s="278"/>
      <c r="Z20" s="247"/>
      <c r="AA20" s="248"/>
      <c r="AB20" s="248"/>
      <c r="AC20" s="249"/>
      <c r="AD20" s="225"/>
      <c r="AF20" s="129"/>
      <c r="AG20" s="130"/>
      <c r="AH20" s="130"/>
      <c r="AI20" s="131"/>
      <c r="AJ20" s="132"/>
      <c r="AL20" s="133"/>
      <c r="AM20" s="134"/>
      <c r="AN20" s="134"/>
      <c r="AO20" s="135"/>
      <c r="AP20" s="136"/>
      <c r="AR20" s="137" t="s">
        <v>130</v>
      </c>
      <c r="AS20" s="138"/>
      <c r="AT20" s="138"/>
      <c r="AU20" s="138"/>
      <c r="AV20" s="192"/>
      <c r="AX20" s="181" t="s">
        <v>131</v>
      </c>
      <c r="AY20" s="182"/>
      <c r="AZ20" s="182"/>
      <c r="BA20" s="183"/>
      <c r="BB20" s="184"/>
      <c r="BD20" s="279" t="s">
        <v>132</v>
      </c>
      <c r="BE20" s="280"/>
      <c r="BF20" s="280"/>
      <c r="BG20" s="281">
        <f>SUM(BG14:BG19)</f>
        <v>13000</v>
      </c>
      <c r="BH20" s="282">
        <f>SUM(BH14:BH19)</f>
        <v>0</v>
      </c>
    </row>
    <row r="21" spans="1:60" ht="15.75" thickBot="1" x14ac:dyDescent="0.3">
      <c r="A21" s="276"/>
      <c r="G21" s="34"/>
      <c r="H21" s="35"/>
      <c r="I21" s="119" t="s">
        <v>58</v>
      </c>
      <c r="J21" s="120"/>
      <c r="K21" s="269">
        <f>ROUND(F19*F20,2)</f>
        <v>0</v>
      </c>
      <c r="N21" s="122" t="s">
        <v>264</v>
      </c>
      <c r="O21" s="123"/>
      <c r="P21" s="123"/>
      <c r="Q21" s="574">
        <f>'Registrering &amp; Resultat'!L21</f>
        <v>0.2</v>
      </c>
      <c r="R21" s="124">
        <f>+Q21*R15</f>
        <v>-4200</v>
      </c>
      <c r="T21" s="201"/>
      <c r="U21" s="202"/>
      <c r="V21" s="203"/>
      <c r="W21" s="204"/>
      <c r="X21" s="287"/>
      <c r="Z21" s="288"/>
      <c r="AA21" s="289"/>
      <c r="AB21" s="289"/>
      <c r="AC21" s="290"/>
      <c r="AD21" s="291"/>
      <c r="AF21" s="292"/>
      <c r="AG21" s="293"/>
      <c r="AH21" s="293"/>
      <c r="AI21" s="294"/>
      <c r="AJ21" s="295"/>
      <c r="AL21" s="296"/>
      <c r="AM21" s="297"/>
      <c r="AN21" s="297"/>
      <c r="AO21" s="298"/>
      <c r="AP21" s="299"/>
      <c r="AR21" s="300" t="s">
        <v>135</v>
      </c>
      <c r="AS21" s="190"/>
      <c r="AT21" s="190"/>
      <c r="AU21" s="190"/>
      <c r="AV21" s="239"/>
      <c r="AX21" s="181"/>
      <c r="AY21" s="182"/>
      <c r="AZ21" s="182"/>
      <c r="BA21" s="183"/>
      <c r="BB21" s="184"/>
      <c r="BD21" s="157" t="s">
        <v>136</v>
      </c>
      <c r="BE21" s="158"/>
      <c r="BF21" s="226" t="s">
        <v>105</v>
      </c>
      <c r="BG21" s="301">
        <v>9</v>
      </c>
      <c r="BH21" s="302">
        <f>BG20+BH20</f>
        <v>13000</v>
      </c>
    </row>
    <row r="22" spans="1:60" ht="15.75" thickBot="1" x14ac:dyDescent="0.3">
      <c r="A22" s="283" t="s">
        <v>133</v>
      </c>
      <c r="B22" s="284"/>
      <c r="C22" s="284"/>
      <c r="D22" s="284"/>
      <c r="E22" s="285" t="s">
        <v>134</v>
      </c>
      <c r="F22" s="286" t="s">
        <v>22</v>
      </c>
      <c r="G22" s="34"/>
      <c r="H22" s="35"/>
      <c r="I22" s="119" t="s">
        <v>138</v>
      </c>
      <c r="J22" s="120"/>
      <c r="K22" s="269">
        <f>F30</f>
        <v>0</v>
      </c>
      <c r="N22" s="164"/>
      <c r="O22" s="165"/>
      <c r="P22" s="165"/>
      <c r="Q22" s="165"/>
      <c r="R22" s="166"/>
      <c r="T22" s="303" t="s">
        <v>102</v>
      </c>
      <c r="U22" s="304"/>
      <c r="V22" s="305"/>
      <c r="W22" s="306">
        <f>1-SUM(W19:W21)</f>
        <v>0</v>
      </c>
      <c r="X22" s="307"/>
      <c r="Z22" s="308" t="s">
        <v>139</v>
      </c>
      <c r="AA22" s="309"/>
      <c r="AB22" s="309"/>
      <c r="AC22" s="310">
        <f>SUM(AC14:AC21)</f>
        <v>0</v>
      </c>
      <c r="AD22" s="311"/>
      <c r="AF22" s="312" t="s">
        <v>139</v>
      </c>
      <c r="AG22" s="309"/>
      <c r="AH22" s="309"/>
      <c r="AI22" s="309"/>
      <c r="AJ22" s="313">
        <f>SUM(AJ7:AJ21)</f>
        <v>20000</v>
      </c>
      <c r="AL22" s="312" t="s">
        <v>139</v>
      </c>
      <c r="AM22" s="309"/>
      <c r="AN22" s="309"/>
      <c r="AO22" s="309"/>
      <c r="AP22" s="313">
        <f>SUM(AP7:AP21)</f>
        <v>41000</v>
      </c>
      <c r="AR22" s="238" t="s">
        <v>140</v>
      </c>
      <c r="AS22" s="314">
        <v>1</v>
      </c>
      <c r="AT22" s="314">
        <v>1</v>
      </c>
      <c r="AU22" s="314">
        <v>1</v>
      </c>
      <c r="AV22" s="315">
        <v>1</v>
      </c>
      <c r="AX22" s="181"/>
      <c r="AY22" s="182"/>
      <c r="AZ22" s="182"/>
      <c r="BA22" s="183"/>
      <c r="BB22" s="184"/>
      <c r="BD22" s="316" t="s">
        <v>141</v>
      </c>
      <c r="BE22" s="317"/>
      <c r="BF22" s="318"/>
      <c r="BG22" s="319"/>
      <c r="BH22" s="240"/>
    </row>
    <row r="23" spans="1:60" ht="15.75" thickBot="1" x14ac:dyDescent="0.3">
      <c r="A23" s="91" t="s">
        <v>137</v>
      </c>
      <c r="B23" s="92"/>
      <c r="C23" s="92"/>
      <c r="D23" s="92"/>
      <c r="E23" s="92"/>
      <c r="F23" s="549">
        <f>$AC$22</f>
        <v>0</v>
      </c>
      <c r="G23" s="34"/>
      <c r="H23" s="35"/>
      <c r="I23" s="197"/>
      <c r="J23" s="148"/>
      <c r="K23" s="320"/>
      <c r="N23" s="164"/>
      <c r="O23" s="165"/>
      <c r="P23" s="165"/>
      <c r="Q23" s="165"/>
      <c r="R23" s="166"/>
      <c r="T23" s="321" t="s">
        <v>142</v>
      </c>
      <c r="U23" s="322"/>
      <c r="V23" s="323"/>
      <c r="W23" s="324">
        <f>SUM(W19:W22)</f>
        <v>1</v>
      </c>
      <c r="X23" s="325">
        <f>ROUND(SUMPRODUCT(W19:W22,X19:X22),2)</f>
        <v>25.2</v>
      </c>
      <c r="Z23" s="326"/>
      <c r="AA23" s="327"/>
      <c r="AB23" s="327"/>
      <c r="AC23" s="327"/>
      <c r="AD23" s="328"/>
      <c r="AF23" s="75"/>
      <c r="AG23" s="76"/>
      <c r="AH23" s="76"/>
      <c r="AI23" s="76"/>
      <c r="AJ23" s="329"/>
      <c r="AL23" s="78"/>
      <c r="AM23" s="79"/>
      <c r="AN23" s="79"/>
      <c r="AO23" s="79"/>
      <c r="AP23" s="330"/>
      <c r="AR23" s="238" t="s">
        <v>143</v>
      </c>
      <c r="AS23" s="314"/>
      <c r="AT23" s="314">
        <v>1</v>
      </c>
      <c r="AU23" s="314">
        <v>1</v>
      </c>
      <c r="AV23" s="315">
        <v>1</v>
      </c>
      <c r="AX23" s="331"/>
      <c r="AY23" s="332"/>
      <c r="AZ23" s="332"/>
      <c r="BA23" s="333"/>
      <c r="BB23" s="334"/>
      <c r="BD23" s="335" t="s">
        <v>144</v>
      </c>
      <c r="BE23" s="336"/>
      <c r="BF23" s="337"/>
      <c r="BG23" s="338" t="s">
        <v>145</v>
      </c>
      <c r="BH23" s="339">
        <f>IF(BH22=0,0,BH21/BH22)</f>
        <v>0</v>
      </c>
    </row>
    <row r="24" spans="1:60" ht="16.5" thickTop="1" thickBot="1" x14ac:dyDescent="0.3">
      <c r="A24" s="187" t="s">
        <v>70</v>
      </c>
      <c r="B24" s="120"/>
      <c r="C24" s="120"/>
      <c r="D24" s="120"/>
      <c r="E24" s="120"/>
      <c r="F24" s="545">
        <f>$AJ$22</f>
        <v>20000</v>
      </c>
      <c r="G24" s="34"/>
      <c r="H24" s="35"/>
      <c r="I24" s="340" t="s">
        <v>146</v>
      </c>
      <c r="J24" s="341"/>
      <c r="K24" s="342">
        <f>SUM(K18:K23)</f>
        <v>1.1499999999999999</v>
      </c>
      <c r="N24" s="164"/>
      <c r="O24" s="165"/>
      <c r="P24" s="165"/>
      <c r="Q24" s="165"/>
      <c r="R24" s="166"/>
      <c r="T24" s="343" t="s">
        <v>147</v>
      </c>
      <c r="U24" s="344"/>
      <c r="V24" s="344"/>
      <c r="W24" s="344"/>
      <c r="X24" s="345"/>
      <c r="Z24" s="206" t="s">
        <v>148</v>
      </c>
      <c r="AA24" s="257"/>
      <c r="AB24" s="257"/>
      <c r="AC24" s="257"/>
      <c r="AD24" s="209"/>
      <c r="AF24" s="346" t="s">
        <v>149</v>
      </c>
      <c r="AG24" s="347"/>
      <c r="AH24" s="347"/>
      <c r="AI24" s="347"/>
      <c r="AJ24" s="348"/>
      <c r="AL24" s="96" t="s">
        <v>149</v>
      </c>
      <c r="AM24" s="277"/>
      <c r="AN24" s="277"/>
      <c r="AO24" s="277"/>
      <c r="AP24" s="97"/>
      <c r="AR24" s="238"/>
      <c r="AS24" s="190"/>
      <c r="AT24" s="190"/>
      <c r="AU24" s="190"/>
      <c r="AV24" s="239"/>
      <c r="AX24" s="349" t="s">
        <v>150</v>
      </c>
      <c r="AY24" s="350"/>
      <c r="AZ24" s="350"/>
      <c r="BA24" s="351">
        <f>SUM(BA8:BA23)</f>
        <v>0</v>
      </c>
      <c r="BB24" s="352">
        <f>SUM(BB8:BB23)</f>
        <v>0</v>
      </c>
      <c r="BD24" s="353"/>
      <c r="BE24" s="354"/>
      <c r="BF24" s="355"/>
      <c r="BG24" s="356"/>
      <c r="BH24" s="357"/>
    </row>
    <row r="25" spans="1:60" ht="15.75" thickBot="1" x14ac:dyDescent="0.3">
      <c r="A25" s="117" t="s">
        <v>79</v>
      </c>
      <c r="B25" s="118"/>
      <c r="C25" s="118"/>
      <c r="D25" s="118"/>
      <c r="E25" s="118"/>
      <c r="F25" s="550">
        <f>$AP$22</f>
        <v>41000</v>
      </c>
      <c r="G25" s="34"/>
      <c r="H25" s="35"/>
      <c r="I25" s="148"/>
      <c r="J25" s="148"/>
      <c r="K25" s="229"/>
      <c r="N25" s="358"/>
      <c r="O25" s="359"/>
      <c r="P25" s="359"/>
      <c r="Q25" s="359"/>
      <c r="R25" s="216"/>
      <c r="T25" s="360" t="s">
        <v>151</v>
      </c>
      <c r="U25" s="361"/>
      <c r="V25" s="361"/>
      <c r="W25" s="362" t="s">
        <v>152</v>
      </c>
      <c r="X25" s="363">
        <v>0</v>
      </c>
      <c r="Z25" s="364"/>
      <c r="AA25" s="365"/>
      <c r="AB25" s="365"/>
      <c r="AC25" s="365"/>
      <c r="AD25" s="366"/>
      <c r="AF25" s="367"/>
      <c r="AG25" s="368"/>
      <c r="AH25" s="368"/>
      <c r="AI25" s="368"/>
      <c r="AJ25" s="369"/>
      <c r="AL25" s="367"/>
      <c r="AM25" s="368"/>
      <c r="AN25" s="368"/>
      <c r="AO25" s="368"/>
      <c r="AP25" s="369"/>
      <c r="AR25" s="137" t="s">
        <v>153</v>
      </c>
      <c r="AS25" s="370"/>
      <c r="AT25" s="370"/>
      <c r="AU25" s="370"/>
      <c r="AV25" s="192"/>
      <c r="AX25" s="371" t="s">
        <v>154</v>
      </c>
      <c r="AY25" s="372"/>
      <c r="AZ25" s="372"/>
      <c r="BA25" s="373"/>
      <c r="BB25" s="374">
        <f>$F$8</f>
        <v>5000</v>
      </c>
      <c r="BD25" s="375" t="s">
        <v>155</v>
      </c>
      <c r="BE25" s="376"/>
      <c r="BF25" s="377"/>
      <c r="BG25" s="378"/>
      <c r="BH25" s="379"/>
    </row>
    <row r="26" spans="1:60" ht="15.75" thickBot="1" x14ac:dyDescent="0.3">
      <c r="A26" s="147"/>
      <c r="B26" s="148"/>
      <c r="C26" s="148"/>
      <c r="D26" s="148"/>
      <c r="E26" s="148"/>
      <c r="F26" s="148"/>
      <c r="G26" s="34"/>
      <c r="H26" s="35"/>
      <c r="I26" s="252" t="s">
        <v>158</v>
      </c>
      <c r="J26" s="253"/>
      <c r="K26" s="254"/>
      <c r="N26" s="230" t="s">
        <v>159</v>
      </c>
      <c r="O26" s="380"/>
      <c r="P26" s="380"/>
      <c r="Q26" s="380"/>
      <c r="R26" s="232">
        <f>SUM(R21:R25)</f>
        <v>-4200</v>
      </c>
      <c r="T26" s="381" t="s">
        <v>160</v>
      </c>
      <c r="U26" s="382"/>
      <c r="V26" s="382"/>
      <c r="W26" s="383" t="s">
        <v>161</v>
      </c>
      <c r="X26" s="384">
        <v>0</v>
      </c>
      <c r="Z26" s="385"/>
      <c r="AA26" s="386"/>
      <c r="AB26" s="386"/>
      <c r="AC26" s="386"/>
      <c r="AD26" s="387"/>
      <c r="AF26" s="388"/>
      <c r="AG26" s="389"/>
      <c r="AH26" s="389"/>
      <c r="AI26" s="389"/>
      <c r="AJ26" s="390"/>
      <c r="AL26" s="388"/>
      <c r="AM26" s="389"/>
      <c r="AN26" s="389"/>
      <c r="AO26" s="389"/>
      <c r="AP26" s="390"/>
      <c r="AR26" s="81" t="s">
        <v>162</v>
      </c>
      <c r="AS26" s="257"/>
      <c r="AT26" s="257"/>
      <c r="AU26" s="257"/>
      <c r="AV26" s="239"/>
      <c r="AX26" s="391"/>
      <c r="AY26" s="392"/>
      <c r="AZ26" s="393"/>
      <c r="BA26" s="373"/>
      <c r="BB26" s="394">
        <f>IF(BB25=0,0,BB24/BB25)</f>
        <v>0</v>
      </c>
      <c r="BD26" s="395" t="s">
        <v>58</v>
      </c>
      <c r="BE26" s="396"/>
      <c r="BF26" s="396" t="s">
        <v>163</v>
      </c>
      <c r="BG26" s="396"/>
      <c r="BH26" s="397">
        <f>BG11</f>
        <v>0</v>
      </c>
    </row>
    <row r="27" spans="1:60" ht="15.75" thickBot="1" x14ac:dyDescent="0.3">
      <c r="A27" s="283" t="s">
        <v>156</v>
      </c>
      <c r="B27" s="284"/>
      <c r="C27" s="284"/>
      <c r="D27" s="284"/>
      <c r="E27" s="285" t="s">
        <v>134</v>
      </c>
      <c r="F27" s="286" t="s">
        <v>157</v>
      </c>
      <c r="G27" s="34"/>
      <c r="H27" s="35"/>
      <c r="I27" s="398"/>
      <c r="J27" s="399"/>
      <c r="K27" s="400">
        <f>F33</f>
        <v>0</v>
      </c>
      <c r="N27" s="401"/>
      <c r="O27" s="402"/>
      <c r="P27" s="402"/>
      <c r="Q27" s="402"/>
      <c r="R27" s="403"/>
      <c r="T27" s="404" t="s">
        <v>164</v>
      </c>
      <c r="U27" s="405"/>
      <c r="V27" s="405"/>
      <c r="W27" s="406" t="s">
        <v>161</v>
      </c>
      <c r="X27" s="407">
        <f>ROUND(X25*X26,2)</f>
        <v>0</v>
      </c>
      <c r="Z27" s="385"/>
      <c r="AA27" s="386"/>
      <c r="AB27" s="386"/>
      <c r="AC27" s="386"/>
      <c r="AD27" s="387"/>
      <c r="AF27" s="388"/>
      <c r="AG27" s="389"/>
      <c r="AH27" s="389"/>
      <c r="AI27" s="389"/>
      <c r="AJ27" s="390"/>
      <c r="AL27" s="388"/>
      <c r="AM27" s="389"/>
      <c r="AN27" s="389"/>
      <c r="AO27" s="389"/>
      <c r="AP27" s="390"/>
      <c r="AR27" s="81" t="s">
        <v>165</v>
      </c>
      <c r="AS27" s="110"/>
      <c r="AT27" s="110"/>
      <c r="AU27" s="110"/>
      <c r="AV27" s="111">
        <v>15000</v>
      </c>
      <c r="AX27" s="408"/>
      <c r="AY27" s="409"/>
      <c r="AZ27" s="409"/>
      <c r="BA27" s="410">
        <f>BB26</f>
        <v>0</v>
      </c>
      <c r="BB27" s="411">
        <v>8</v>
      </c>
      <c r="BD27" s="412"/>
      <c r="BE27" s="413"/>
      <c r="BF27" s="413" t="s">
        <v>166</v>
      </c>
      <c r="BG27" s="413"/>
      <c r="BH27" s="414">
        <f>BH11</f>
        <v>0</v>
      </c>
    </row>
    <row r="28" spans="1:60" ht="15.75" thickBot="1" x14ac:dyDescent="0.3">
      <c r="A28" s="91" t="s">
        <v>127</v>
      </c>
      <c r="B28" s="92"/>
      <c r="C28" s="92"/>
      <c r="D28" s="92"/>
      <c r="E28" s="92"/>
      <c r="F28" s="547">
        <f>$AU$32</f>
        <v>1.51</v>
      </c>
      <c r="G28" s="34"/>
      <c r="H28" s="35"/>
      <c r="K28" s="415"/>
      <c r="N28" s="416" t="s">
        <v>167</v>
      </c>
      <c r="O28" s="69"/>
      <c r="P28" s="69"/>
      <c r="Q28" s="69"/>
      <c r="R28" s="70"/>
      <c r="T28" s="417"/>
      <c r="U28" s="418"/>
      <c r="V28" s="418"/>
      <c r="W28" s="419"/>
      <c r="X28" s="420"/>
      <c r="Z28" s="385"/>
      <c r="AA28" s="386"/>
      <c r="AB28" s="386"/>
      <c r="AC28" s="386"/>
      <c r="AD28" s="387"/>
      <c r="AF28" s="388"/>
      <c r="AG28" s="389"/>
      <c r="AH28" s="389"/>
      <c r="AI28" s="389"/>
      <c r="AJ28" s="390"/>
      <c r="AL28" s="388"/>
      <c r="AM28" s="389"/>
      <c r="AN28" s="389"/>
      <c r="AO28" s="389"/>
      <c r="AP28" s="390"/>
      <c r="AR28" s="81" t="s">
        <v>168</v>
      </c>
      <c r="AS28" s="267">
        <f>IF(AS27=0,0,ROUND((AS9+AS11)/AS27,2))</f>
        <v>0</v>
      </c>
      <c r="AT28" s="267">
        <f>IF(AT27=0,0,ROUND((AT9+AT11)/AT27,2))</f>
        <v>0</v>
      </c>
      <c r="AU28" s="267">
        <f>IF(AU27=0,0,ROUND((AU9+AU11)/AU27,2))</f>
        <v>0</v>
      </c>
      <c r="AV28" s="268">
        <f>IF(AV27=0,0,ROUND((AV9+AV11)/AV27,2))</f>
        <v>0.26</v>
      </c>
      <c r="AX28" s="421" t="s">
        <v>169</v>
      </c>
      <c r="AY28" s="392"/>
      <c r="AZ28" s="392"/>
      <c r="BA28" s="422">
        <f>BA24+BA27</f>
        <v>0</v>
      </c>
      <c r="BB28" s="423"/>
      <c r="BD28" s="412" t="s">
        <v>170</v>
      </c>
      <c r="BE28" s="413"/>
      <c r="BF28" s="413"/>
      <c r="BG28" s="413"/>
      <c r="BH28" s="414">
        <f>BH23</f>
        <v>0</v>
      </c>
    </row>
    <row r="29" spans="1:60" ht="15.75" thickBot="1" x14ac:dyDescent="0.3">
      <c r="A29" s="187" t="s">
        <v>8</v>
      </c>
      <c r="B29" s="120"/>
      <c r="C29" s="120"/>
      <c r="D29" s="120"/>
      <c r="E29" s="120"/>
      <c r="F29" s="551">
        <f>$BA$28</f>
        <v>0</v>
      </c>
      <c r="G29" s="34"/>
      <c r="H29" s="35"/>
      <c r="I29" s="425" t="s">
        <v>171</v>
      </c>
      <c r="J29" s="426"/>
      <c r="K29" s="427" t="s">
        <v>161</v>
      </c>
      <c r="N29" s="428" t="s">
        <v>172</v>
      </c>
      <c r="O29" s="402"/>
      <c r="P29" s="402"/>
      <c r="Q29" s="575">
        <f>'Registrering &amp; Resultat'!L23</f>
        <v>0.25</v>
      </c>
      <c r="R29" s="403"/>
      <c r="T29" s="404" t="s">
        <v>173</v>
      </c>
      <c r="U29" s="405"/>
      <c r="V29" s="405"/>
      <c r="W29" s="406" t="s">
        <v>161</v>
      </c>
      <c r="X29" s="429">
        <f>X23+X27</f>
        <v>25.2</v>
      </c>
      <c r="Z29" s="385"/>
      <c r="AA29" s="386"/>
      <c r="AB29" s="386"/>
      <c r="AC29" s="386"/>
      <c r="AD29" s="387"/>
      <c r="AF29" s="388"/>
      <c r="AG29" s="389"/>
      <c r="AH29" s="389"/>
      <c r="AI29" s="389"/>
      <c r="AJ29" s="390"/>
      <c r="AL29" s="388"/>
      <c r="AM29" s="389"/>
      <c r="AN29" s="389"/>
      <c r="AO29" s="389"/>
      <c r="AP29" s="390"/>
      <c r="AR29" s="238"/>
      <c r="AS29" s="190"/>
      <c r="AT29" s="190"/>
      <c r="AU29" s="190"/>
      <c r="AV29" s="239"/>
      <c r="AX29" s="84"/>
      <c r="AY29" s="85"/>
      <c r="AZ29" s="85"/>
      <c r="BA29" s="85"/>
      <c r="BB29" s="430"/>
      <c r="BD29" s="431"/>
      <c r="BE29" s="432"/>
      <c r="BF29" s="432"/>
      <c r="BG29" s="432"/>
      <c r="BH29" s="433">
        <f>SUM(BH26:BH28)</f>
        <v>0</v>
      </c>
    </row>
    <row r="30" spans="1:60" ht="15.75" thickBot="1" x14ac:dyDescent="0.3">
      <c r="A30" s="117" t="s">
        <v>138</v>
      </c>
      <c r="B30" s="118"/>
      <c r="C30" s="118"/>
      <c r="D30" s="118"/>
      <c r="E30" s="118"/>
      <c r="F30" s="424"/>
      <c r="G30" s="34"/>
      <c r="H30" s="35"/>
      <c r="I30" s="434" t="s">
        <v>174</v>
      </c>
      <c r="J30" s="92"/>
      <c r="K30" s="435">
        <f>K14</f>
        <v>59996.800000000003</v>
      </c>
      <c r="N30" s="428" t="s">
        <v>175</v>
      </c>
      <c r="O30" s="402"/>
      <c r="P30" s="402"/>
      <c r="Q30" s="436">
        <f>1-Q29</f>
        <v>0.75</v>
      </c>
      <c r="R30" s="403"/>
      <c r="T30" s="437"/>
      <c r="U30" s="438"/>
      <c r="V30" s="438"/>
      <c r="W30" s="438"/>
      <c r="X30" s="439"/>
      <c r="Z30" s="385"/>
      <c r="AA30" s="386"/>
      <c r="AB30" s="386"/>
      <c r="AC30" s="386"/>
      <c r="AD30" s="387"/>
      <c r="AF30" s="388"/>
      <c r="AG30" s="389"/>
      <c r="AH30" s="389"/>
      <c r="AI30" s="389"/>
      <c r="AJ30" s="390"/>
      <c r="AL30" s="388"/>
      <c r="AM30" s="389"/>
      <c r="AN30" s="389"/>
      <c r="AO30" s="389"/>
      <c r="AP30" s="390"/>
      <c r="AR30" s="440" t="s">
        <v>176</v>
      </c>
      <c r="AS30" s="441"/>
      <c r="AT30" s="441"/>
      <c r="AU30" s="441"/>
      <c r="AV30" s="442"/>
      <c r="AX30" s="140"/>
      <c r="AY30" s="141"/>
      <c r="AZ30" s="141"/>
      <c r="BA30" s="141"/>
      <c r="BB30" s="443"/>
      <c r="BD30" s="164"/>
      <c r="BE30" s="165"/>
      <c r="BF30" s="165"/>
      <c r="BG30" s="165"/>
      <c r="BH30" s="444"/>
    </row>
    <row r="31" spans="1:60" ht="15.75" thickBot="1" x14ac:dyDescent="0.3">
      <c r="A31" s="147"/>
      <c r="B31" s="148"/>
      <c r="C31" s="148"/>
      <c r="D31" s="148"/>
      <c r="E31" s="148"/>
      <c r="F31" s="148"/>
      <c r="G31" s="34"/>
      <c r="H31" s="35"/>
      <c r="I31" s="447" t="s">
        <v>179</v>
      </c>
      <c r="J31" s="448"/>
      <c r="K31" s="449">
        <f>K24*F8</f>
        <v>5750</v>
      </c>
      <c r="N31" s="401"/>
      <c r="O31" s="402"/>
      <c r="P31" s="402"/>
      <c r="Q31" s="402"/>
      <c r="R31" s="403"/>
      <c r="T31" s="404" t="s">
        <v>168</v>
      </c>
      <c r="U31" s="405"/>
      <c r="V31" s="405"/>
      <c r="W31" s="405"/>
      <c r="X31" s="429">
        <f>ROUND(X15*X29,2)</f>
        <v>0</v>
      </c>
      <c r="Z31" s="450"/>
      <c r="AA31" s="451"/>
      <c r="AB31" s="451"/>
      <c r="AC31" s="451"/>
      <c r="AD31" s="452"/>
      <c r="AF31" s="453"/>
      <c r="AG31" s="454"/>
      <c r="AH31" s="454"/>
      <c r="AI31" s="454"/>
      <c r="AJ31" s="455"/>
      <c r="AL31" s="453"/>
      <c r="AM31" s="454"/>
      <c r="AN31" s="454"/>
      <c r="AO31" s="454"/>
      <c r="AP31" s="455"/>
      <c r="AR31" s="81" t="s">
        <v>180</v>
      </c>
      <c r="AS31" s="267">
        <f>IF(AND(AS22*AS13=0,AS23*AS14=0),0,ROUND((AS7*((AS22*(AS9+AS11))+(AS23*(AS10+AS11))))/((AS22*AS13)+(AS23*AS14))+AS28,2))</f>
        <v>0</v>
      </c>
      <c r="AT31" s="267">
        <f>IF(AND(AT22*AT13=0,AT23*AT14=0),0,ROUND((AT7*((AT22*(AT9+AT11))+(AT23*(AT10+AT11))))/((AT22*AT13)+(AT23*AT14))+AT28,2))</f>
        <v>0</v>
      </c>
      <c r="AU31" s="267">
        <f>IF(AND(AU22*AU13=0,AU23*AU14=0),0,ROUND((AU7*((AU22*(AU9+AU11))+(AU23*(AU10+AU11))))/((AU22*AU13)+(AU23*AU14))+AU28,2))</f>
        <v>0</v>
      </c>
      <c r="AV31" s="268">
        <f>IF(AND(AV22*AV13=0,AV23*AV14=0),0,ROUND((AV7*((AV22*(AV9+AV11))+(AV23*(AV10+AV11))))/((AV22*AV13)+(AV23*AV14))+AV28,2))</f>
        <v>1.51</v>
      </c>
      <c r="AX31" s="456"/>
      <c r="AY31" s="457"/>
      <c r="AZ31" s="457"/>
      <c r="BA31" s="457"/>
      <c r="BB31" s="458"/>
      <c r="BD31" s="199" t="s">
        <v>181</v>
      </c>
      <c r="BE31" s="200"/>
      <c r="BF31" s="200"/>
      <c r="BG31" s="200"/>
      <c r="BH31" s="459"/>
    </row>
    <row r="32" spans="1:60" ht="15.75" thickBot="1" x14ac:dyDescent="0.3">
      <c r="A32" s="445" t="s">
        <v>177</v>
      </c>
      <c r="B32" s="446"/>
      <c r="C32" s="446"/>
      <c r="D32" s="446"/>
      <c r="E32" s="285" t="s">
        <v>134</v>
      </c>
      <c r="F32" s="286" t="s">
        <v>178</v>
      </c>
      <c r="G32" s="34"/>
      <c r="H32" s="35"/>
      <c r="I32" s="463" t="s">
        <v>182</v>
      </c>
      <c r="J32" s="464"/>
      <c r="K32" s="465">
        <f>K27*F7</f>
        <v>0</v>
      </c>
      <c r="N32" s="466"/>
      <c r="O32" s="467"/>
      <c r="P32" s="467"/>
      <c r="Q32" s="467"/>
      <c r="R32" s="468"/>
      <c r="T32" s="469"/>
      <c r="U32" s="470"/>
      <c r="V32" s="470"/>
      <c r="W32" s="470"/>
      <c r="X32" s="471"/>
      <c r="Z32" s="472"/>
      <c r="AA32" s="473"/>
      <c r="AB32" s="473"/>
      <c r="AC32" s="473"/>
      <c r="AD32" s="474"/>
      <c r="AF32" s="475"/>
      <c r="AG32" s="476"/>
      <c r="AH32" s="476"/>
      <c r="AI32" s="476"/>
      <c r="AJ32" s="477"/>
      <c r="AL32" s="472"/>
      <c r="AM32" s="473"/>
      <c r="AN32" s="473"/>
      <c r="AO32" s="473"/>
      <c r="AP32" s="474"/>
      <c r="AR32" s="478" t="s">
        <v>183</v>
      </c>
      <c r="AS32" s="479"/>
      <c r="AT32" s="479"/>
      <c r="AU32" s="480">
        <f>SUM(AS31:AV31)</f>
        <v>1.51</v>
      </c>
      <c r="AV32" s="481" t="s">
        <v>157</v>
      </c>
      <c r="AX32" s="482"/>
      <c r="AY32" s="483"/>
      <c r="AZ32" s="483"/>
      <c r="BA32" s="483"/>
      <c r="BB32" s="484"/>
      <c r="BD32" s="485"/>
      <c r="BE32" s="486"/>
      <c r="BF32" s="486"/>
      <c r="BG32" s="486"/>
      <c r="BH32" s="487"/>
    </row>
    <row r="33" spans="1:57" ht="15.75" thickBot="1" x14ac:dyDescent="0.3">
      <c r="A33" s="460"/>
      <c r="B33" s="461"/>
      <c r="C33" s="461"/>
      <c r="D33" s="461"/>
      <c r="E33" s="462"/>
      <c r="F33" s="552">
        <f>$BH$29</f>
        <v>0</v>
      </c>
      <c r="G33" s="489"/>
      <c r="H33" s="490"/>
      <c r="I33" s="491" t="s">
        <v>184</v>
      </c>
      <c r="J33" s="492"/>
      <c r="K33" s="493">
        <f>SUM(K30:K32)</f>
        <v>65746.8</v>
      </c>
    </row>
    <row r="34" spans="1:57" x14ac:dyDescent="0.25">
      <c r="A34" s="488"/>
      <c r="B34" s="148"/>
      <c r="C34" s="148"/>
      <c r="D34" s="148"/>
      <c r="E34" s="148"/>
      <c r="F34" s="148"/>
      <c r="G34" s="489"/>
      <c r="H34" s="490"/>
      <c r="BD34" t="s">
        <v>746</v>
      </c>
    </row>
    <row r="35" spans="1:57" x14ac:dyDescent="0.25">
      <c r="A35" s="494"/>
      <c r="B35" s="148"/>
      <c r="C35" s="148"/>
      <c r="D35" s="148"/>
      <c r="E35" s="148"/>
      <c r="F35" s="148"/>
      <c r="G35" s="489"/>
      <c r="H35" s="490"/>
      <c r="BD35" t="s">
        <v>747</v>
      </c>
    </row>
    <row r="36" spans="1:57" x14ac:dyDescent="0.25">
      <c r="A36" s="488"/>
      <c r="B36" s="148"/>
      <c r="C36" s="148"/>
      <c r="D36" s="148"/>
      <c r="E36" s="148"/>
      <c r="F36" s="148"/>
      <c r="BD36">
        <f>13/3.5*2.1</f>
        <v>7.8000000000000007</v>
      </c>
      <c r="BE36" t="s">
        <v>748</v>
      </c>
    </row>
    <row r="37" spans="1:57" x14ac:dyDescent="0.25">
      <c r="A37" s="148"/>
      <c r="B37" s="148"/>
      <c r="C37" s="148"/>
      <c r="D37" s="148"/>
      <c r="E37" s="148"/>
      <c r="F37" s="148"/>
      <c r="G37" s="498"/>
      <c r="I37" s="148"/>
      <c r="J37" s="148"/>
      <c r="K37" s="148"/>
    </row>
    <row r="38" spans="1:57" ht="15.75" thickBot="1" x14ac:dyDescent="0.3">
      <c r="A38" s="495" t="s">
        <v>185</v>
      </c>
      <c r="B38" s="496"/>
      <c r="C38" s="496"/>
      <c r="D38" s="496"/>
      <c r="E38" s="496"/>
      <c r="F38" s="497"/>
      <c r="G38" s="498"/>
      <c r="I38" s="148"/>
      <c r="J38" s="148"/>
      <c r="K38" s="148"/>
    </row>
    <row r="39" spans="1:57" x14ac:dyDescent="0.25">
      <c r="A39" s="499" t="s">
        <v>186</v>
      </c>
      <c r="B39" s="500"/>
      <c r="C39" s="500"/>
      <c r="D39" s="500"/>
      <c r="E39" s="500"/>
      <c r="F39" s="501"/>
      <c r="G39" s="498"/>
      <c r="I39" s="148"/>
      <c r="J39" s="148"/>
      <c r="K39" s="148"/>
    </row>
    <row r="40" spans="1:57" x14ac:dyDescent="0.25">
      <c r="A40" s="499" t="s">
        <v>187</v>
      </c>
      <c r="B40" s="500"/>
      <c r="C40" s="500"/>
      <c r="D40" s="500"/>
      <c r="E40" s="500"/>
      <c r="F40" s="501"/>
      <c r="G40" s="505" t="s">
        <v>189</v>
      </c>
      <c r="I40" s="148"/>
      <c r="J40" s="148"/>
      <c r="K40" s="148"/>
    </row>
    <row r="41" spans="1:57" x14ac:dyDescent="0.25">
      <c r="A41" s="502" t="s">
        <v>188</v>
      </c>
      <c r="B41" s="503"/>
      <c r="C41" s="503"/>
      <c r="D41" s="503"/>
      <c r="E41" s="503"/>
      <c r="F41" s="504">
        <f>K14</f>
        <v>59996.800000000003</v>
      </c>
      <c r="G41" s="505"/>
      <c r="I41" s="148"/>
      <c r="J41" s="148"/>
      <c r="K41" s="148"/>
    </row>
    <row r="42" spans="1:57" x14ac:dyDescent="0.25">
      <c r="A42" s="502"/>
      <c r="B42" s="503"/>
      <c r="C42" s="503"/>
      <c r="D42" s="503"/>
      <c r="E42" s="506" t="s">
        <v>190</v>
      </c>
      <c r="F42" s="507"/>
      <c r="G42" s="505" t="s">
        <v>192</v>
      </c>
      <c r="I42" s="148"/>
      <c r="J42" s="148"/>
      <c r="K42" s="148"/>
    </row>
    <row r="43" spans="1:57" x14ac:dyDescent="0.25">
      <c r="A43" s="502" t="s">
        <v>191</v>
      </c>
      <c r="B43" s="503"/>
      <c r="C43" s="503"/>
      <c r="D43" s="503"/>
      <c r="E43" s="508">
        <v>12</v>
      </c>
      <c r="F43" s="504">
        <f>IF(E43=0,0,$F$41/E43)</f>
        <v>4999.7333333333336</v>
      </c>
      <c r="G43" s="505" t="s">
        <v>194</v>
      </c>
      <c r="I43" s="148"/>
      <c r="J43" s="148"/>
      <c r="K43" s="148"/>
    </row>
    <row r="44" spans="1:57" x14ac:dyDescent="0.25">
      <c r="A44" s="502" t="s">
        <v>193</v>
      </c>
      <c r="B44" s="503"/>
      <c r="C44" s="503"/>
      <c r="D44" s="503"/>
      <c r="E44" s="508">
        <v>52</v>
      </c>
      <c r="F44" s="504">
        <f>IF(E44=0,0,$F$41/E44)</f>
        <v>1153.7846153846153</v>
      </c>
      <c r="G44" s="505"/>
      <c r="I44" s="148"/>
      <c r="J44" s="148"/>
      <c r="K44" s="148"/>
    </row>
    <row r="45" spans="1:57" x14ac:dyDescent="0.25">
      <c r="A45" s="502"/>
      <c r="B45" s="503"/>
      <c r="C45" s="503"/>
      <c r="D45" s="503"/>
      <c r="E45" s="503"/>
      <c r="F45" s="509"/>
      <c r="G45" s="505"/>
      <c r="I45" s="148"/>
      <c r="J45" s="148"/>
      <c r="K45" s="148"/>
    </row>
    <row r="46" spans="1:57" x14ac:dyDescent="0.25">
      <c r="A46" s="502"/>
      <c r="B46" s="510"/>
      <c r="C46" s="510"/>
      <c r="D46" s="503"/>
      <c r="E46" s="506" t="s">
        <v>195</v>
      </c>
      <c r="F46" s="511"/>
      <c r="G46" s="505" t="s">
        <v>197</v>
      </c>
      <c r="I46" s="148"/>
      <c r="J46" s="148"/>
      <c r="K46" s="148"/>
    </row>
    <row r="47" spans="1:57" x14ac:dyDescent="0.25">
      <c r="A47" s="512" t="s">
        <v>196</v>
      </c>
      <c r="B47" s="513"/>
      <c r="C47" s="513"/>
      <c r="D47" s="514"/>
      <c r="E47" s="515">
        <v>6</v>
      </c>
      <c r="F47" s="516">
        <f>IF(E47=0,0,$F$44/E47)</f>
        <v>192.29743589743589</v>
      </c>
      <c r="I47" s="148"/>
      <c r="J47" s="148"/>
      <c r="K47" s="148"/>
    </row>
    <row r="48" spans="1:57" x14ac:dyDescent="0.25">
      <c r="A48" s="517" t="str">
        <f>IF(E44=0,"OBS! Kostnad per dag beräknas om ni även beräknar kostnad per vecka.","")</f>
        <v/>
      </c>
    </row>
  </sheetData>
  <mergeCells count="10">
    <mergeCell ref="Z10:AA10"/>
    <mergeCell ref="AB10:AC10"/>
    <mergeCell ref="Z11:AA11"/>
    <mergeCell ref="AB11:AC11"/>
    <mergeCell ref="Z7:AA7"/>
    <mergeCell ref="AB7:AC7"/>
    <mergeCell ref="Z8:AA8"/>
    <mergeCell ref="AB8:AC8"/>
    <mergeCell ref="Z9:AA9"/>
    <mergeCell ref="AB9:AC9"/>
  </mergeCells>
  <dataValidations count="4">
    <dataValidation type="list" errorStyle="warning" allowBlank="1" showInputMessage="1" showErrorMessage="1" errorTitle="SÅcalc 2006" error="Fordonets avgasklass anges som Euro 0, Euro 1 eller Euro 2-4._x000a_Använd pilen till höger om cellen för att visa en lista med värdena." sqref="AB11:AC11" xr:uid="{50735CD6-0ACE-461B-8DF8-CD7A2E953413}">
      <formula1>"Euro 0,Euro 1,Euro 2 eller renare"</formula1>
    </dataValidation>
    <dataValidation type="whole" operator="greaterThan" allowBlank="1" showInputMessage="1" showErrorMessage="1" errorTitle="Scalc Mini" error="Endast heltal godtas i denna cell." sqref="AB10:AC10" xr:uid="{6F73265E-0736-4A19-AE20-655378B5ADA6}">
      <formula1>0</formula1>
    </dataValidation>
    <dataValidation type="whole" operator="greaterThanOrEqual" allowBlank="1" showInputMessage="1" showErrorMessage="1" errorTitle="Scalc Mini" error="Skattevikt anges i kg. Lägsta vikt som accepteras är 7000 kg." sqref="AB8:AC8" xr:uid="{9B3B9F12-9EBD-4D64-938D-488FBFDACC69}">
      <formula1>7000</formula1>
    </dataValidation>
    <dataValidation type="list" allowBlank="1" showInputMessage="1" showErrorMessage="1" errorTitle="ScalcMini" error="Använd knappen till höger om cellen för att ange korrekt uppgift om draganordning." sqref="AB9:AC9" xr:uid="{49BC5113-CE22-4CD8-8940-2A590CB8891D}">
      <formula1>"Anordning för påhängsvagn,Annan kopplingsanordning,Utan kopplingsanordning"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ECA0D-82DC-41BD-8AA8-58A476641795}">
  <sheetPr codeName="Blad5">
    <tabColor theme="8" tint="-0.249977111117893"/>
    <pageSetUpPr fitToPage="1"/>
  </sheetPr>
  <dimension ref="A1:AB65"/>
  <sheetViews>
    <sheetView showGridLines="0" zoomScale="85" zoomScaleNormal="85" workbookViewId="0">
      <selection activeCell="A19" sqref="A19"/>
    </sheetView>
  </sheetViews>
  <sheetFormatPr defaultRowHeight="12.75" outlineLevelRow="1" x14ac:dyDescent="0.2"/>
  <cols>
    <col min="1" max="1" width="31" style="621" customWidth="1"/>
    <col min="2" max="2" width="10.5703125" style="621" bestFit="1" customWidth="1"/>
    <col min="3" max="3" width="8.140625" style="621" customWidth="1"/>
    <col min="4" max="4" width="11" style="621" customWidth="1"/>
    <col min="5" max="7" width="13" style="621" customWidth="1"/>
    <col min="8" max="8" width="10.28515625" style="621" bestFit="1" customWidth="1"/>
    <col min="9" max="9" width="9" style="621" customWidth="1"/>
    <col min="10" max="10" width="22" style="621" customWidth="1"/>
    <col min="11" max="11" width="15.140625" style="621" customWidth="1"/>
    <col min="12" max="12" width="16.7109375" style="621" bestFit="1" customWidth="1"/>
    <col min="13" max="13" width="13.7109375" style="621" customWidth="1"/>
    <col min="14" max="14" width="10.5703125" style="621" customWidth="1"/>
    <col min="15" max="16" width="13.140625" style="621" bestFit="1" customWidth="1"/>
    <col min="17" max="17" width="16.85546875" style="621" bestFit="1" customWidth="1"/>
    <col min="18" max="18" width="15.28515625" style="621" bestFit="1" customWidth="1"/>
    <col min="19" max="20" width="9.140625" style="621"/>
    <col min="21" max="21" width="14.85546875" style="621" customWidth="1"/>
    <col min="22" max="25" width="9.140625" style="621"/>
    <col min="26" max="27" width="9.140625" style="621" hidden="1" customWidth="1"/>
    <col min="28" max="248" width="9.140625" style="621"/>
    <col min="249" max="249" width="29.5703125" style="621" customWidth="1"/>
    <col min="250" max="250" width="9.140625" style="621"/>
    <col min="251" max="251" width="7" style="621" customWidth="1"/>
    <col min="252" max="252" width="11" style="621" customWidth="1"/>
    <col min="253" max="255" width="13" style="621" customWidth="1"/>
    <col min="256" max="256" width="10.28515625" style="621" bestFit="1" customWidth="1"/>
    <col min="257" max="257" width="9" style="621" customWidth="1"/>
    <col min="258" max="258" width="10.140625" style="621" customWidth="1"/>
    <col min="259" max="259" width="9" style="621" customWidth="1"/>
    <col min="260" max="260" width="11" style="621" bestFit="1" customWidth="1"/>
    <col min="261" max="261" width="1.7109375" style="621" customWidth="1"/>
    <col min="262" max="504" width="9.140625" style="621"/>
    <col min="505" max="505" width="29.5703125" style="621" customWidth="1"/>
    <col min="506" max="506" width="9.140625" style="621"/>
    <col min="507" max="507" width="7" style="621" customWidth="1"/>
    <col min="508" max="508" width="11" style="621" customWidth="1"/>
    <col min="509" max="511" width="13" style="621" customWidth="1"/>
    <col min="512" max="512" width="10.28515625" style="621" bestFit="1" customWidth="1"/>
    <col min="513" max="513" width="9" style="621" customWidth="1"/>
    <col min="514" max="514" width="10.140625" style="621" customWidth="1"/>
    <col min="515" max="515" width="9" style="621" customWidth="1"/>
    <col min="516" max="516" width="11" style="621" bestFit="1" customWidth="1"/>
    <col min="517" max="517" width="1.7109375" style="621" customWidth="1"/>
    <col min="518" max="760" width="9.140625" style="621"/>
    <col min="761" max="761" width="29.5703125" style="621" customWidth="1"/>
    <col min="762" max="762" width="9.140625" style="621"/>
    <col min="763" max="763" width="7" style="621" customWidth="1"/>
    <col min="764" max="764" width="11" style="621" customWidth="1"/>
    <col min="765" max="767" width="13" style="621" customWidth="1"/>
    <col min="768" max="768" width="10.28515625" style="621" bestFit="1" customWidth="1"/>
    <col min="769" max="769" width="9" style="621" customWidth="1"/>
    <col min="770" max="770" width="10.140625" style="621" customWidth="1"/>
    <col min="771" max="771" width="9" style="621" customWidth="1"/>
    <col min="772" max="772" width="11" style="621" bestFit="1" customWidth="1"/>
    <col min="773" max="773" width="1.7109375" style="621" customWidth="1"/>
    <col min="774" max="1016" width="9.140625" style="621"/>
    <col min="1017" max="1017" width="29.5703125" style="621" customWidth="1"/>
    <col min="1018" max="1018" width="9.140625" style="621"/>
    <col min="1019" max="1019" width="7" style="621" customWidth="1"/>
    <col min="1020" max="1020" width="11" style="621" customWidth="1"/>
    <col min="1021" max="1023" width="13" style="621" customWidth="1"/>
    <col min="1024" max="1024" width="10.28515625" style="621" bestFit="1" customWidth="1"/>
    <col min="1025" max="1025" width="9" style="621" customWidth="1"/>
    <col min="1026" max="1026" width="10.140625" style="621" customWidth="1"/>
    <col min="1027" max="1027" width="9" style="621" customWidth="1"/>
    <col min="1028" max="1028" width="11" style="621" bestFit="1" customWidth="1"/>
    <col min="1029" max="1029" width="1.7109375" style="621" customWidth="1"/>
    <col min="1030" max="1272" width="9.140625" style="621"/>
    <col min="1273" max="1273" width="29.5703125" style="621" customWidth="1"/>
    <col min="1274" max="1274" width="9.140625" style="621"/>
    <col min="1275" max="1275" width="7" style="621" customWidth="1"/>
    <col min="1276" max="1276" width="11" style="621" customWidth="1"/>
    <col min="1277" max="1279" width="13" style="621" customWidth="1"/>
    <col min="1280" max="1280" width="10.28515625" style="621" bestFit="1" customWidth="1"/>
    <col min="1281" max="1281" width="9" style="621" customWidth="1"/>
    <col min="1282" max="1282" width="10.140625" style="621" customWidth="1"/>
    <col min="1283" max="1283" width="9" style="621" customWidth="1"/>
    <col min="1284" max="1284" width="11" style="621" bestFit="1" customWidth="1"/>
    <col min="1285" max="1285" width="1.7109375" style="621" customWidth="1"/>
    <col min="1286" max="1528" width="9.140625" style="621"/>
    <col min="1529" max="1529" width="29.5703125" style="621" customWidth="1"/>
    <col min="1530" max="1530" width="9.140625" style="621"/>
    <col min="1531" max="1531" width="7" style="621" customWidth="1"/>
    <col min="1532" max="1532" width="11" style="621" customWidth="1"/>
    <col min="1533" max="1535" width="13" style="621" customWidth="1"/>
    <col min="1536" max="1536" width="10.28515625" style="621" bestFit="1" customWidth="1"/>
    <col min="1537" max="1537" width="9" style="621" customWidth="1"/>
    <col min="1538" max="1538" width="10.140625" style="621" customWidth="1"/>
    <col min="1539" max="1539" width="9" style="621" customWidth="1"/>
    <col min="1540" max="1540" width="11" style="621" bestFit="1" customWidth="1"/>
    <col min="1541" max="1541" width="1.7109375" style="621" customWidth="1"/>
    <col min="1542" max="1784" width="9.140625" style="621"/>
    <col min="1785" max="1785" width="29.5703125" style="621" customWidth="1"/>
    <col min="1786" max="1786" width="9.140625" style="621"/>
    <col min="1787" max="1787" width="7" style="621" customWidth="1"/>
    <col min="1788" max="1788" width="11" style="621" customWidth="1"/>
    <col min="1789" max="1791" width="13" style="621" customWidth="1"/>
    <col min="1792" max="1792" width="10.28515625" style="621" bestFit="1" customWidth="1"/>
    <col min="1793" max="1793" width="9" style="621" customWidth="1"/>
    <col min="1794" max="1794" width="10.140625" style="621" customWidth="1"/>
    <col min="1795" max="1795" width="9" style="621" customWidth="1"/>
    <col min="1796" max="1796" width="11" style="621" bestFit="1" customWidth="1"/>
    <col min="1797" max="1797" width="1.7109375" style="621" customWidth="1"/>
    <col min="1798" max="2040" width="9.140625" style="621"/>
    <col min="2041" max="2041" width="29.5703125" style="621" customWidth="1"/>
    <col min="2042" max="2042" width="9.140625" style="621"/>
    <col min="2043" max="2043" width="7" style="621" customWidth="1"/>
    <col min="2044" max="2044" width="11" style="621" customWidth="1"/>
    <col min="2045" max="2047" width="13" style="621" customWidth="1"/>
    <col min="2048" max="2048" width="10.28515625" style="621" bestFit="1" customWidth="1"/>
    <col min="2049" max="2049" width="9" style="621" customWidth="1"/>
    <col min="2050" max="2050" width="10.140625" style="621" customWidth="1"/>
    <col min="2051" max="2051" width="9" style="621" customWidth="1"/>
    <col min="2052" max="2052" width="11" style="621" bestFit="1" customWidth="1"/>
    <col min="2053" max="2053" width="1.7109375" style="621" customWidth="1"/>
    <col min="2054" max="2296" width="9.140625" style="621"/>
    <col min="2297" max="2297" width="29.5703125" style="621" customWidth="1"/>
    <col min="2298" max="2298" width="9.140625" style="621"/>
    <col min="2299" max="2299" width="7" style="621" customWidth="1"/>
    <col min="2300" max="2300" width="11" style="621" customWidth="1"/>
    <col min="2301" max="2303" width="13" style="621" customWidth="1"/>
    <col min="2304" max="2304" width="10.28515625" style="621" bestFit="1" customWidth="1"/>
    <col min="2305" max="2305" width="9" style="621" customWidth="1"/>
    <col min="2306" max="2306" width="10.140625" style="621" customWidth="1"/>
    <col min="2307" max="2307" width="9" style="621" customWidth="1"/>
    <col min="2308" max="2308" width="11" style="621" bestFit="1" customWidth="1"/>
    <col min="2309" max="2309" width="1.7109375" style="621" customWidth="1"/>
    <col min="2310" max="2552" width="9.140625" style="621"/>
    <col min="2553" max="2553" width="29.5703125" style="621" customWidth="1"/>
    <col min="2554" max="2554" width="9.140625" style="621"/>
    <col min="2555" max="2555" width="7" style="621" customWidth="1"/>
    <col min="2556" max="2556" width="11" style="621" customWidth="1"/>
    <col min="2557" max="2559" width="13" style="621" customWidth="1"/>
    <col min="2560" max="2560" width="10.28515625" style="621" bestFit="1" customWidth="1"/>
    <col min="2561" max="2561" width="9" style="621" customWidth="1"/>
    <col min="2562" max="2562" width="10.140625" style="621" customWidth="1"/>
    <col min="2563" max="2563" width="9" style="621" customWidth="1"/>
    <col min="2564" max="2564" width="11" style="621" bestFit="1" customWidth="1"/>
    <col min="2565" max="2565" width="1.7109375" style="621" customWidth="1"/>
    <col min="2566" max="2808" width="9.140625" style="621"/>
    <col min="2809" max="2809" width="29.5703125" style="621" customWidth="1"/>
    <col min="2810" max="2810" width="9.140625" style="621"/>
    <col min="2811" max="2811" width="7" style="621" customWidth="1"/>
    <col min="2812" max="2812" width="11" style="621" customWidth="1"/>
    <col min="2813" max="2815" width="13" style="621" customWidth="1"/>
    <col min="2816" max="2816" width="10.28515625" style="621" bestFit="1" customWidth="1"/>
    <col min="2817" max="2817" width="9" style="621" customWidth="1"/>
    <col min="2818" max="2818" width="10.140625" style="621" customWidth="1"/>
    <col min="2819" max="2819" width="9" style="621" customWidth="1"/>
    <col min="2820" max="2820" width="11" style="621" bestFit="1" customWidth="1"/>
    <col min="2821" max="2821" width="1.7109375" style="621" customWidth="1"/>
    <col min="2822" max="3064" width="9.140625" style="621"/>
    <col min="3065" max="3065" width="29.5703125" style="621" customWidth="1"/>
    <col min="3066" max="3066" width="9.140625" style="621"/>
    <col min="3067" max="3067" width="7" style="621" customWidth="1"/>
    <col min="3068" max="3068" width="11" style="621" customWidth="1"/>
    <col min="3069" max="3071" width="13" style="621" customWidth="1"/>
    <col min="3072" max="3072" width="10.28515625" style="621" bestFit="1" customWidth="1"/>
    <col min="3073" max="3073" width="9" style="621" customWidth="1"/>
    <col min="3074" max="3074" width="10.140625" style="621" customWidth="1"/>
    <col min="3075" max="3075" width="9" style="621" customWidth="1"/>
    <col min="3076" max="3076" width="11" style="621" bestFit="1" customWidth="1"/>
    <col min="3077" max="3077" width="1.7109375" style="621" customWidth="1"/>
    <col min="3078" max="3320" width="9.140625" style="621"/>
    <col min="3321" max="3321" width="29.5703125" style="621" customWidth="1"/>
    <col min="3322" max="3322" width="9.140625" style="621"/>
    <col min="3323" max="3323" width="7" style="621" customWidth="1"/>
    <col min="3324" max="3324" width="11" style="621" customWidth="1"/>
    <col min="3325" max="3327" width="13" style="621" customWidth="1"/>
    <col min="3328" max="3328" width="10.28515625" style="621" bestFit="1" customWidth="1"/>
    <col min="3329" max="3329" width="9" style="621" customWidth="1"/>
    <col min="3330" max="3330" width="10.140625" style="621" customWidth="1"/>
    <col min="3331" max="3331" width="9" style="621" customWidth="1"/>
    <col min="3332" max="3332" width="11" style="621" bestFit="1" customWidth="1"/>
    <col min="3333" max="3333" width="1.7109375" style="621" customWidth="1"/>
    <col min="3334" max="3576" width="9.140625" style="621"/>
    <col min="3577" max="3577" width="29.5703125" style="621" customWidth="1"/>
    <col min="3578" max="3578" width="9.140625" style="621"/>
    <col min="3579" max="3579" width="7" style="621" customWidth="1"/>
    <col min="3580" max="3580" width="11" style="621" customWidth="1"/>
    <col min="3581" max="3583" width="13" style="621" customWidth="1"/>
    <col min="3584" max="3584" width="10.28515625" style="621" bestFit="1" customWidth="1"/>
    <col min="3585" max="3585" width="9" style="621" customWidth="1"/>
    <col min="3586" max="3586" width="10.140625" style="621" customWidth="1"/>
    <col min="3587" max="3587" width="9" style="621" customWidth="1"/>
    <col min="3588" max="3588" width="11" style="621" bestFit="1" customWidth="1"/>
    <col min="3589" max="3589" width="1.7109375" style="621" customWidth="1"/>
    <col min="3590" max="3832" width="9.140625" style="621"/>
    <col min="3833" max="3833" width="29.5703125" style="621" customWidth="1"/>
    <col min="3834" max="3834" width="9.140625" style="621"/>
    <col min="3835" max="3835" width="7" style="621" customWidth="1"/>
    <col min="3836" max="3836" width="11" style="621" customWidth="1"/>
    <col min="3837" max="3839" width="13" style="621" customWidth="1"/>
    <col min="3840" max="3840" width="10.28515625" style="621" bestFit="1" customWidth="1"/>
    <col min="3841" max="3841" width="9" style="621" customWidth="1"/>
    <col min="3842" max="3842" width="10.140625" style="621" customWidth="1"/>
    <col min="3843" max="3843" width="9" style="621" customWidth="1"/>
    <col min="3844" max="3844" width="11" style="621" bestFit="1" customWidth="1"/>
    <col min="3845" max="3845" width="1.7109375" style="621" customWidth="1"/>
    <col min="3846" max="4088" width="9.140625" style="621"/>
    <col min="4089" max="4089" width="29.5703125" style="621" customWidth="1"/>
    <col min="4090" max="4090" width="9.140625" style="621"/>
    <col min="4091" max="4091" width="7" style="621" customWidth="1"/>
    <col min="4092" max="4092" width="11" style="621" customWidth="1"/>
    <col min="4093" max="4095" width="13" style="621" customWidth="1"/>
    <col min="4096" max="4096" width="10.28515625" style="621" bestFit="1" customWidth="1"/>
    <col min="4097" max="4097" width="9" style="621" customWidth="1"/>
    <col min="4098" max="4098" width="10.140625" style="621" customWidth="1"/>
    <col min="4099" max="4099" width="9" style="621" customWidth="1"/>
    <col min="4100" max="4100" width="11" style="621" bestFit="1" customWidth="1"/>
    <col min="4101" max="4101" width="1.7109375" style="621" customWidth="1"/>
    <col min="4102" max="4344" width="9.140625" style="621"/>
    <col min="4345" max="4345" width="29.5703125" style="621" customWidth="1"/>
    <col min="4346" max="4346" width="9.140625" style="621"/>
    <col min="4347" max="4347" width="7" style="621" customWidth="1"/>
    <col min="4348" max="4348" width="11" style="621" customWidth="1"/>
    <col min="4349" max="4351" width="13" style="621" customWidth="1"/>
    <col min="4352" max="4352" width="10.28515625" style="621" bestFit="1" customWidth="1"/>
    <col min="4353" max="4353" width="9" style="621" customWidth="1"/>
    <col min="4354" max="4354" width="10.140625" style="621" customWidth="1"/>
    <col min="4355" max="4355" width="9" style="621" customWidth="1"/>
    <col min="4356" max="4356" width="11" style="621" bestFit="1" customWidth="1"/>
    <col min="4357" max="4357" width="1.7109375" style="621" customWidth="1"/>
    <col min="4358" max="4600" width="9.140625" style="621"/>
    <col min="4601" max="4601" width="29.5703125" style="621" customWidth="1"/>
    <col min="4602" max="4602" width="9.140625" style="621"/>
    <col min="4603" max="4603" width="7" style="621" customWidth="1"/>
    <col min="4604" max="4604" width="11" style="621" customWidth="1"/>
    <col min="4605" max="4607" width="13" style="621" customWidth="1"/>
    <col min="4608" max="4608" width="10.28515625" style="621" bestFit="1" customWidth="1"/>
    <col min="4609" max="4609" width="9" style="621" customWidth="1"/>
    <col min="4610" max="4610" width="10.140625" style="621" customWidth="1"/>
    <col min="4611" max="4611" width="9" style="621" customWidth="1"/>
    <col min="4612" max="4612" width="11" style="621" bestFit="1" customWidth="1"/>
    <col min="4613" max="4613" width="1.7109375" style="621" customWidth="1"/>
    <col min="4614" max="4856" width="9.140625" style="621"/>
    <col min="4857" max="4857" width="29.5703125" style="621" customWidth="1"/>
    <col min="4858" max="4858" width="9.140625" style="621"/>
    <col min="4859" max="4859" width="7" style="621" customWidth="1"/>
    <col min="4860" max="4860" width="11" style="621" customWidth="1"/>
    <col min="4861" max="4863" width="13" style="621" customWidth="1"/>
    <col min="4864" max="4864" width="10.28515625" style="621" bestFit="1" customWidth="1"/>
    <col min="4865" max="4865" width="9" style="621" customWidth="1"/>
    <col min="4866" max="4866" width="10.140625" style="621" customWidth="1"/>
    <col min="4867" max="4867" width="9" style="621" customWidth="1"/>
    <col min="4868" max="4868" width="11" style="621" bestFit="1" customWidth="1"/>
    <col min="4869" max="4869" width="1.7109375" style="621" customWidth="1"/>
    <col min="4870" max="5112" width="9.140625" style="621"/>
    <col min="5113" max="5113" width="29.5703125" style="621" customWidth="1"/>
    <col min="5114" max="5114" width="9.140625" style="621"/>
    <col min="5115" max="5115" width="7" style="621" customWidth="1"/>
    <col min="5116" max="5116" width="11" style="621" customWidth="1"/>
    <col min="5117" max="5119" width="13" style="621" customWidth="1"/>
    <col min="5120" max="5120" width="10.28515625" style="621" bestFit="1" customWidth="1"/>
    <col min="5121" max="5121" width="9" style="621" customWidth="1"/>
    <col min="5122" max="5122" width="10.140625" style="621" customWidth="1"/>
    <col min="5123" max="5123" width="9" style="621" customWidth="1"/>
    <col min="5124" max="5124" width="11" style="621" bestFit="1" customWidth="1"/>
    <col min="5125" max="5125" width="1.7109375" style="621" customWidth="1"/>
    <col min="5126" max="5368" width="9.140625" style="621"/>
    <col min="5369" max="5369" width="29.5703125" style="621" customWidth="1"/>
    <col min="5370" max="5370" width="9.140625" style="621"/>
    <col min="5371" max="5371" width="7" style="621" customWidth="1"/>
    <col min="5372" max="5372" width="11" style="621" customWidth="1"/>
    <col min="5373" max="5375" width="13" style="621" customWidth="1"/>
    <col min="5376" max="5376" width="10.28515625" style="621" bestFit="1" customWidth="1"/>
    <col min="5377" max="5377" width="9" style="621" customWidth="1"/>
    <col min="5378" max="5378" width="10.140625" style="621" customWidth="1"/>
    <col min="5379" max="5379" width="9" style="621" customWidth="1"/>
    <col min="5380" max="5380" width="11" style="621" bestFit="1" customWidth="1"/>
    <col min="5381" max="5381" width="1.7109375" style="621" customWidth="1"/>
    <col min="5382" max="5624" width="9.140625" style="621"/>
    <col min="5625" max="5625" width="29.5703125" style="621" customWidth="1"/>
    <col min="5626" max="5626" width="9.140625" style="621"/>
    <col min="5627" max="5627" width="7" style="621" customWidth="1"/>
    <col min="5628" max="5628" width="11" style="621" customWidth="1"/>
    <col min="5629" max="5631" width="13" style="621" customWidth="1"/>
    <col min="5632" max="5632" width="10.28515625" style="621" bestFit="1" customWidth="1"/>
    <col min="5633" max="5633" width="9" style="621" customWidth="1"/>
    <col min="5634" max="5634" width="10.140625" style="621" customWidth="1"/>
    <col min="5635" max="5635" width="9" style="621" customWidth="1"/>
    <col min="5636" max="5636" width="11" style="621" bestFit="1" customWidth="1"/>
    <col min="5637" max="5637" width="1.7109375" style="621" customWidth="1"/>
    <col min="5638" max="5880" width="9.140625" style="621"/>
    <col min="5881" max="5881" width="29.5703125" style="621" customWidth="1"/>
    <col min="5882" max="5882" width="9.140625" style="621"/>
    <col min="5883" max="5883" width="7" style="621" customWidth="1"/>
    <col min="5884" max="5884" width="11" style="621" customWidth="1"/>
    <col min="5885" max="5887" width="13" style="621" customWidth="1"/>
    <col min="5888" max="5888" width="10.28515625" style="621" bestFit="1" customWidth="1"/>
    <col min="5889" max="5889" width="9" style="621" customWidth="1"/>
    <col min="5890" max="5890" width="10.140625" style="621" customWidth="1"/>
    <col min="5891" max="5891" width="9" style="621" customWidth="1"/>
    <col min="5892" max="5892" width="11" style="621" bestFit="1" customWidth="1"/>
    <col min="5893" max="5893" width="1.7109375" style="621" customWidth="1"/>
    <col min="5894" max="6136" width="9.140625" style="621"/>
    <col min="6137" max="6137" width="29.5703125" style="621" customWidth="1"/>
    <col min="6138" max="6138" width="9.140625" style="621"/>
    <col min="6139" max="6139" width="7" style="621" customWidth="1"/>
    <col min="6140" max="6140" width="11" style="621" customWidth="1"/>
    <col min="6141" max="6143" width="13" style="621" customWidth="1"/>
    <col min="6144" max="6144" width="10.28515625" style="621" bestFit="1" customWidth="1"/>
    <col min="6145" max="6145" width="9" style="621" customWidth="1"/>
    <col min="6146" max="6146" width="10.140625" style="621" customWidth="1"/>
    <col min="6147" max="6147" width="9" style="621" customWidth="1"/>
    <col min="6148" max="6148" width="11" style="621" bestFit="1" customWidth="1"/>
    <col min="6149" max="6149" width="1.7109375" style="621" customWidth="1"/>
    <col min="6150" max="6392" width="9.140625" style="621"/>
    <col min="6393" max="6393" width="29.5703125" style="621" customWidth="1"/>
    <col min="6394" max="6394" width="9.140625" style="621"/>
    <col min="6395" max="6395" width="7" style="621" customWidth="1"/>
    <col min="6396" max="6396" width="11" style="621" customWidth="1"/>
    <col min="6397" max="6399" width="13" style="621" customWidth="1"/>
    <col min="6400" max="6400" width="10.28515625" style="621" bestFit="1" customWidth="1"/>
    <col min="6401" max="6401" width="9" style="621" customWidth="1"/>
    <col min="6402" max="6402" width="10.140625" style="621" customWidth="1"/>
    <col min="6403" max="6403" width="9" style="621" customWidth="1"/>
    <col min="6404" max="6404" width="11" style="621" bestFit="1" customWidth="1"/>
    <col min="6405" max="6405" width="1.7109375" style="621" customWidth="1"/>
    <col min="6406" max="6648" width="9.140625" style="621"/>
    <col min="6649" max="6649" width="29.5703125" style="621" customWidth="1"/>
    <col min="6650" max="6650" width="9.140625" style="621"/>
    <col min="6651" max="6651" width="7" style="621" customWidth="1"/>
    <col min="6652" max="6652" width="11" style="621" customWidth="1"/>
    <col min="6653" max="6655" width="13" style="621" customWidth="1"/>
    <col min="6656" max="6656" width="10.28515625" style="621" bestFit="1" customWidth="1"/>
    <col min="6657" max="6657" width="9" style="621" customWidth="1"/>
    <col min="6658" max="6658" width="10.140625" style="621" customWidth="1"/>
    <col min="6659" max="6659" width="9" style="621" customWidth="1"/>
    <col min="6660" max="6660" width="11" style="621" bestFit="1" customWidth="1"/>
    <col min="6661" max="6661" width="1.7109375" style="621" customWidth="1"/>
    <col min="6662" max="6904" width="9.140625" style="621"/>
    <col min="6905" max="6905" width="29.5703125" style="621" customWidth="1"/>
    <col min="6906" max="6906" width="9.140625" style="621"/>
    <col min="6907" max="6907" width="7" style="621" customWidth="1"/>
    <col min="6908" max="6908" width="11" style="621" customWidth="1"/>
    <col min="6909" max="6911" width="13" style="621" customWidth="1"/>
    <col min="6912" max="6912" width="10.28515625" style="621" bestFit="1" customWidth="1"/>
    <col min="6913" max="6913" width="9" style="621" customWidth="1"/>
    <col min="6914" max="6914" width="10.140625" style="621" customWidth="1"/>
    <col min="6915" max="6915" width="9" style="621" customWidth="1"/>
    <col min="6916" max="6916" width="11" style="621" bestFit="1" customWidth="1"/>
    <col min="6917" max="6917" width="1.7109375" style="621" customWidth="1"/>
    <col min="6918" max="7160" width="9.140625" style="621"/>
    <col min="7161" max="7161" width="29.5703125" style="621" customWidth="1"/>
    <col min="7162" max="7162" width="9.140625" style="621"/>
    <col min="7163" max="7163" width="7" style="621" customWidth="1"/>
    <col min="7164" max="7164" width="11" style="621" customWidth="1"/>
    <col min="7165" max="7167" width="13" style="621" customWidth="1"/>
    <col min="7168" max="7168" width="10.28515625" style="621" bestFit="1" customWidth="1"/>
    <col min="7169" max="7169" width="9" style="621" customWidth="1"/>
    <col min="7170" max="7170" width="10.140625" style="621" customWidth="1"/>
    <col min="7171" max="7171" width="9" style="621" customWidth="1"/>
    <col min="7172" max="7172" width="11" style="621" bestFit="1" customWidth="1"/>
    <col min="7173" max="7173" width="1.7109375" style="621" customWidth="1"/>
    <col min="7174" max="7416" width="9.140625" style="621"/>
    <col min="7417" max="7417" width="29.5703125" style="621" customWidth="1"/>
    <col min="7418" max="7418" width="9.140625" style="621"/>
    <col min="7419" max="7419" width="7" style="621" customWidth="1"/>
    <col min="7420" max="7420" width="11" style="621" customWidth="1"/>
    <col min="7421" max="7423" width="13" style="621" customWidth="1"/>
    <col min="7424" max="7424" width="10.28515625" style="621" bestFit="1" customWidth="1"/>
    <col min="7425" max="7425" width="9" style="621" customWidth="1"/>
    <col min="7426" max="7426" width="10.140625" style="621" customWidth="1"/>
    <col min="7427" max="7427" width="9" style="621" customWidth="1"/>
    <col min="7428" max="7428" width="11" style="621" bestFit="1" customWidth="1"/>
    <col min="7429" max="7429" width="1.7109375" style="621" customWidth="1"/>
    <col min="7430" max="7672" width="9.140625" style="621"/>
    <col min="7673" max="7673" width="29.5703125" style="621" customWidth="1"/>
    <col min="7674" max="7674" width="9.140625" style="621"/>
    <col min="7675" max="7675" width="7" style="621" customWidth="1"/>
    <col min="7676" max="7676" width="11" style="621" customWidth="1"/>
    <col min="7677" max="7679" width="13" style="621" customWidth="1"/>
    <col min="7680" max="7680" width="10.28515625" style="621" bestFit="1" customWidth="1"/>
    <col min="7681" max="7681" width="9" style="621" customWidth="1"/>
    <col min="7682" max="7682" width="10.140625" style="621" customWidth="1"/>
    <col min="7683" max="7683" width="9" style="621" customWidth="1"/>
    <col min="7684" max="7684" width="11" style="621" bestFit="1" customWidth="1"/>
    <col min="7685" max="7685" width="1.7109375" style="621" customWidth="1"/>
    <col min="7686" max="7928" width="9.140625" style="621"/>
    <col min="7929" max="7929" width="29.5703125" style="621" customWidth="1"/>
    <col min="7930" max="7930" width="9.140625" style="621"/>
    <col min="7931" max="7931" width="7" style="621" customWidth="1"/>
    <col min="7932" max="7932" width="11" style="621" customWidth="1"/>
    <col min="7933" max="7935" width="13" style="621" customWidth="1"/>
    <col min="7936" max="7936" width="10.28515625" style="621" bestFit="1" customWidth="1"/>
    <col min="7937" max="7937" width="9" style="621" customWidth="1"/>
    <col min="7938" max="7938" width="10.140625" style="621" customWidth="1"/>
    <col min="7939" max="7939" width="9" style="621" customWidth="1"/>
    <col min="7940" max="7940" width="11" style="621" bestFit="1" customWidth="1"/>
    <col min="7941" max="7941" width="1.7109375" style="621" customWidth="1"/>
    <col min="7942" max="8184" width="9.140625" style="621"/>
    <col min="8185" max="8185" width="29.5703125" style="621" customWidth="1"/>
    <col min="8186" max="8186" width="9.140625" style="621"/>
    <col min="8187" max="8187" width="7" style="621" customWidth="1"/>
    <col min="8188" max="8188" width="11" style="621" customWidth="1"/>
    <col min="8189" max="8191" width="13" style="621" customWidth="1"/>
    <col min="8192" max="8192" width="10.28515625" style="621" bestFit="1" customWidth="1"/>
    <col min="8193" max="8193" width="9" style="621" customWidth="1"/>
    <col min="8194" max="8194" width="10.140625" style="621" customWidth="1"/>
    <col min="8195" max="8195" width="9" style="621" customWidth="1"/>
    <col min="8196" max="8196" width="11" style="621" bestFit="1" customWidth="1"/>
    <col min="8197" max="8197" width="1.7109375" style="621" customWidth="1"/>
    <col min="8198" max="8440" width="9.140625" style="621"/>
    <col min="8441" max="8441" width="29.5703125" style="621" customWidth="1"/>
    <col min="8442" max="8442" width="9.140625" style="621"/>
    <col min="8443" max="8443" width="7" style="621" customWidth="1"/>
    <col min="8444" max="8444" width="11" style="621" customWidth="1"/>
    <col min="8445" max="8447" width="13" style="621" customWidth="1"/>
    <col min="8448" max="8448" width="10.28515625" style="621" bestFit="1" customWidth="1"/>
    <col min="8449" max="8449" width="9" style="621" customWidth="1"/>
    <col min="8450" max="8450" width="10.140625" style="621" customWidth="1"/>
    <col min="8451" max="8451" width="9" style="621" customWidth="1"/>
    <col min="8452" max="8452" width="11" style="621" bestFit="1" customWidth="1"/>
    <col min="8453" max="8453" width="1.7109375" style="621" customWidth="1"/>
    <col min="8454" max="8696" width="9.140625" style="621"/>
    <col min="8697" max="8697" width="29.5703125" style="621" customWidth="1"/>
    <col min="8698" max="8698" width="9.140625" style="621"/>
    <col min="8699" max="8699" width="7" style="621" customWidth="1"/>
    <col min="8700" max="8700" width="11" style="621" customWidth="1"/>
    <col min="8701" max="8703" width="13" style="621" customWidth="1"/>
    <col min="8704" max="8704" width="10.28515625" style="621" bestFit="1" customWidth="1"/>
    <col min="8705" max="8705" width="9" style="621" customWidth="1"/>
    <col min="8706" max="8706" width="10.140625" style="621" customWidth="1"/>
    <col min="8707" max="8707" width="9" style="621" customWidth="1"/>
    <col min="8708" max="8708" width="11" style="621" bestFit="1" customWidth="1"/>
    <col min="8709" max="8709" width="1.7109375" style="621" customWidth="1"/>
    <col min="8710" max="8952" width="9.140625" style="621"/>
    <col min="8953" max="8953" width="29.5703125" style="621" customWidth="1"/>
    <col min="8954" max="8954" width="9.140625" style="621"/>
    <col min="8955" max="8955" width="7" style="621" customWidth="1"/>
    <col min="8956" max="8956" width="11" style="621" customWidth="1"/>
    <col min="8957" max="8959" width="13" style="621" customWidth="1"/>
    <col min="8960" max="8960" width="10.28515625" style="621" bestFit="1" customWidth="1"/>
    <col min="8961" max="8961" width="9" style="621" customWidth="1"/>
    <col min="8962" max="8962" width="10.140625" style="621" customWidth="1"/>
    <col min="8963" max="8963" width="9" style="621" customWidth="1"/>
    <col min="8964" max="8964" width="11" style="621" bestFit="1" customWidth="1"/>
    <col min="8965" max="8965" width="1.7109375" style="621" customWidth="1"/>
    <col min="8966" max="9208" width="9.140625" style="621"/>
    <col min="9209" max="9209" width="29.5703125" style="621" customWidth="1"/>
    <col min="9210" max="9210" width="9.140625" style="621"/>
    <col min="9211" max="9211" width="7" style="621" customWidth="1"/>
    <col min="9212" max="9212" width="11" style="621" customWidth="1"/>
    <col min="9213" max="9215" width="13" style="621" customWidth="1"/>
    <col min="9216" max="9216" width="10.28515625" style="621" bestFit="1" customWidth="1"/>
    <col min="9217" max="9217" width="9" style="621" customWidth="1"/>
    <col min="9218" max="9218" width="10.140625" style="621" customWidth="1"/>
    <col min="9219" max="9219" width="9" style="621" customWidth="1"/>
    <col min="9220" max="9220" width="11" style="621" bestFit="1" customWidth="1"/>
    <col min="9221" max="9221" width="1.7109375" style="621" customWidth="1"/>
    <col min="9222" max="9464" width="9.140625" style="621"/>
    <col min="9465" max="9465" width="29.5703125" style="621" customWidth="1"/>
    <col min="9466" max="9466" width="9.140625" style="621"/>
    <col min="9467" max="9467" width="7" style="621" customWidth="1"/>
    <col min="9468" max="9468" width="11" style="621" customWidth="1"/>
    <col min="9469" max="9471" width="13" style="621" customWidth="1"/>
    <col min="9472" max="9472" width="10.28515625" style="621" bestFit="1" customWidth="1"/>
    <col min="9473" max="9473" width="9" style="621" customWidth="1"/>
    <col min="9474" max="9474" width="10.140625" style="621" customWidth="1"/>
    <col min="9475" max="9475" width="9" style="621" customWidth="1"/>
    <col min="9476" max="9476" width="11" style="621" bestFit="1" customWidth="1"/>
    <col min="9477" max="9477" width="1.7109375" style="621" customWidth="1"/>
    <col min="9478" max="9720" width="9.140625" style="621"/>
    <col min="9721" max="9721" width="29.5703125" style="621" customWidth="1"/>
    <col min="9722" max="9722" width="9.140625" style="621"/>
    <col min="9723" max="9723" width="7" style="621" customWidth="1"/>
    <col min="9724" max="9724" width="11" style="621" customWidth="1"/>
    <col min="9725" max="9727" width="13" style="621" customWidth="1"/>
    <col min="9728" max="9728" width="10.28515625" style="621" bestFit="1" customWidth="1"/>
    <col min="9729" max="9729" width="9" style="621" customWidth="1"/>
    <col min="9730" max="9730" width="10.140625" style="621" customWidth="1"/>
    <col min="9731" max="9731" width="9" style="621" customWidth="1"/>
    <col min="9732" max="9732" width="11" style="621" bestFit="1" customWidth="1"/>
    <col min="9733" max="9733" width="1.7109375" style="621" customWidth="1"/>
    <col min="9734" max="9976" width="9.140625" style="621"/>
    <col min="9977" max="9977" width="29.5703125" style="621" customWidth="1"/>
    <col min="9978" max="9978" width="9.140625" style="621"/>
    <col min="9979" max="9979" width="7" style="621" customWidth="1"/>
    <col min="9980" max="9980" width="11" style="621" customWidth="1"/>
    <col min="9981" max="9983" width="13" style="621" customWidth="1"/>
    <col min="9984" max="9984" width="10.28515625" style="621" bestFit="1" customWidth="1"/>
    <col min="9985" max="9985" width="9" style="621" customWidth="1"/>
    <col min="9986" max="9986" width="10.140625" style="621" customWidth="1"/>
    <col min="9987" max="9987" width="9" style="621" customWidth="1"/>
    <col min="9988" max="9988" width="11" style="621" bestFit="1" customWidth="1"/>
    <col min="9989" max="9989" width="1.7109375" style="621" customWidth="1"/>
    <col min="9990" max="10232" width="9.140625" style="621"/>
    <col min="10233" max="10233" width="29.5703125" style="621" customWidth="1"/>
    <col min="10234" max="10234" width="9.140625" style="621"/>
    <col min="10235" max="10235" width="7" style="621" customWidth="1"/>
    <col min="10236" max="10236" width="11" style="621" customWidth="1"/>
    <col min="10237" max="10239" width="13" style="621" customWidth="1"/>
    <col min="10240" max="10240" width="10.28515625" style="621" bestFit="1" customWidth="1"/>
    <col min="10241" max="10241" width="9" style="621" customWidth="1"/>
    <col min="10242" max="10242" width="10.140625" style="621" customWidth="1"/>
    <col min="10243" max="10243" width="9" style="621" customWidth="1"/>
    <col min="10244" max="10244" width="11" style="621" bestFit="1" customWidth="1"/>
    <col min="10245" max="10245" width="1.7109375" style="621" customWidth="1"/>
    <col min="10246" max="10488" width="9.140625" style="621"/>
    <col min="10489" max="10489" width="29.5703125" style="621" customWidth="1"/>
    <col min="10490" max="10490" width="9.140625" style="621"/>
    <col min="10491" max="10491" width="7" style="621" customWidth="1"/>
    <col min="10492" max="10492" width="11" style="621" customWidth="1"/>
    <col min="10493" max="10495" width="13" style="621" customWidth="1"/>
    <col min="10496" max="10496" width="10.28515625" style="621" bestFit="1" customWidth="1"/>
    <col min="10497" max="10497" width="9" style="621" customWidth="1"/>
    <col min="10498" max="10498" width="10.140625" style="621" customWidth="1"/>
    <col min="10499" max="10499" width="9" style="621" customWidth="1"/>
    <col min="10500" max="10500" width="11" style="621" bestFit="1" customWidth="1"/>
    <col min="10501" max="10501" width="1.7109375" style="621" customWidth="1"/>
    <col min="10502" max="10744" width="9.140625" style="621"/>
    <col min="10745" max="10745" width="29.5703125" style="621" customWidth="1"/>
    <col min="10746" max="10746" width="9.140625" style="621"/>
    <col min="10747" max="10747" width="7" style="621" customWidth="1"/>
    <col min="10748" max="10748" width="11" style="621" customWidth="1"/>
    <col min="10749" max="10751" width="13" style="621" customWidth="1"/>
    <col min="10752" max="10752" width="10.28515625" style="621" bestFit="1" customWidth="1"/>
    <col min="10753" max="10753" width="9" style="621" customWidth="1"/>
    <col min="10754" max="10754" width="10.140625" style="621" customWidth="1"/>
    <col min="10755" max="10755" width="9" style="621" customWidth="1"/>
    <col min="10756" max="10756" width="11" style="621" bestFit="1" customWidth="1"/>
    <col min="10757" max="10757" width="1.7109375" style="621" customWidth="1"/>
    <col min="10758" max="11000" width="9.140625" style="621"/>
    <col min="11001" max="11001" width="29.5703125" style="621" customWidth="1"/>
    <col min="11002" max="11002" width="9.140625" style="621"/>
    <col min="11003" max="11003" width="7" style="621" customWidth="1"/>
    <col min="11004" max="11004" width="11" style="621" customWidth="1"/>
    <col min="11005" max="11007" width="13" style="621" customWidth="1"/>
    <col min="11008" max="11008" width="10.28515625" style="621" bestFit="1" customWidth="1"/>
    <col min="11009" max="11009" width="9" style="621" customWidth="1"/>
    <col min="11010" max="11010" width="10.140625" style="621" customWidth="1"/>
    <col min="11011" max="11011" width="9" style="621" customWidth="1"/>
    <col min="11012" max="11012" width="11" style="621" bestFit="1" customWidth="1"/>
    <col min="11013" max="11013" width="1.7109375" style="621" customWidth="1"/>
    <col min="11014" max="11256" width="9.140625" style="621"/>
    <col min="11257" max="11257" width="29.5703125" style="621" customWidth="1"/>
    <col min="11258" max="11258" width="9.140625" style="621"/>
    <col min="11259" max="11259" width="7" style="621" customWidth="1"/>
    <col min="11260" max="11260" width="11" style="621" customWidth="1"/>
    <col min="11261" max="11263" width="13" style="621" customWidth="1"/>
    <col min="11264" max="11264" width="10.28515625" style="621" bestFit="1" customWidth="1"/>
    <col min="11265" max="11265" width="9" style="621" customWidth="1"/>
    <col min="11266" max="11266" width="10.140625" style="621" customWidth="1"/>
    <col min="11267" max="11267" width="9" style="621" customWidth="1"/>
    <col min="11268" max="11268" width="11" style="621" bestFit="1" customWidth="1"/>
    <col min="11269" max="11269" width="1.7109375" style="621" customWidth="1"/>
    <col min="11270" max="11512" width="9.140625" style="621"/>
    <col min="11513" max="11513" width="29.5703125" style="621" customWidth="1"/>
    <col min="11514" max="11514" width="9.140625" style="621"/>
    <col min="11515" max="11515" width="7" style="621" customWidth="1"/>
    <col min="11516" max="11516" width="11" style="621" customWidth="1"/>
    <col min="11517" max="11519" width="13" style="621" customWidth="1"/>
    <col min="11520" max="11520" width="10.28515625" style="621" bestFit="1" customWidth="1"/>
    <col min="11521" max="11521" width="9" style="621" customWidth="1"/>
    <col min="11522" max="11522" width="10.140625" style="621" customWidth="1"/>
    <col min="11523" max="11523" width="9" style="621" customWidth="1"/>
    <col min="11524" max="11524" width="11" style="621" bestFit="1" customWidth="1"/>
    <col min="11525" max="11525" width="1.7109375" style="621" customWidth="1"/>
    <col min="11526" max="11768" width="9.140625" style="621"/>
    <col min="11769" max="11769" width="29.5703125" style="621" customWidth="1"/>
    <col min="11770" max="11770" width="9.140625" style="621"/>
    <col min="11771" max="11771" width="7" style="621" customWidth="1"/>
    <col min="11772" max="11772" width="11" style="621" customWidth="1"/>
    <col min="11773" max="11775" width="13" style="621" customWidth="1"/>
    <col min="11776" max="11776" width="10.28515625" style="621" bestFit="1" customWidth="1"/>
    <col min="11777" max="11777" width="9" style="621" customWidth="1"/>
    <col min="11778" max="11778" width="10.140625" style="621" customWidth="1"/>
    <col min="11779" max="11779" width="9" style="621" customWidth="1"/>
    <col min="11780" max="11780" width="11" style="621" bestFit="1" customWidth="1"/>
    <col min="11781" max="11781" width="1.7109375" style="621" customWidth="1"/>
    <col min="11782" max="12024" width="9.140625" style="621"/>
    <col min="12025" max="12025" width="29.5703125" style="621" customWidth="1"/>
    <col min="12026" max="12026" width="9.140625" style="621"/>
    <col min="12027" max="12027" width="7" style="621" customWidth="1"/>
    <col min="12028" max="12028" width="11" style="621" customWidth="1"/>
    <col min="12029" max="12031" width="13" style="621" customWidth="1"/>
    <col min="12032" max="12032" width="10.28515625" style="621" bestFit="1" customWidth="1"/>
    <col min="12033" max="12033" width="9" style="621" customWidth="1"/>
    <col min="12034" max="12034" width="10.140625" style="621" customWidth="1"/>
    <col min="12035" max="12035" width="9" style="621" customWidth="1"/>
    <col min="12036" max="12036" width="11" style="621" bestFit="1" customWidth="1"/>
    <col min="12037" max="12037" width="1.7109375" style="621" customWidth="1"/>
    <col min="12038" max="12280" width="9.140625" style="621"/>
    <col min="12281" max="12281" width="29.5703125" style="621" customWidth="1"/>
    <col min="12282" max="12282" width="9.140625" style="621"/>
    <col min="12283" max="12283" width="7" style="621" customWidth="1"/>
    <col min="12284" max="12284" width="11" style="621" customWidth="1"/>
    <col min="12285" max="12287" width="13" style="621" customWidth="1"/>
    <col min="12288" max="12288" width="10.28515625" style="621" bestFit="1" customWidth="1"/>
    <col min="12289" max="12289" width="9" style="621" customWidth="1"/>
    <col min="12290" max="12290" width="10.140625" style="621" customWidth="1"/>
    <col min="12291" max="12291" width="9" style="621" customWidth="1"/>
    <col min="12292" max="12292" width="11" style="621" bestFit="1" customWidth="1"/>
    <col min="12293" max="12293" width="1.7109375" style="621" customWidth="1"/>
    <col min="12294" max="12536" width="9.140625" style="621"/>
    <col min="12537" max="12537" width="29.5703125" style="621" customWidth="1"/>
    <col min="12538" max="12538" width="9.140625" style="621"/>
    <col min="12539" max="12539" width="7" style="621" customWidth="1"/>
    <col min="12540" max="12540" width="11" style="621" customWidth="1"/>
    <col min="12541" max="12543" width="13" style="621" customWidth="1"/>
    <col min="12544" max="12544" width="10.28515625" style="621" bestFit="1" customWidth="1"/>
    <col min="12545" max="12545" width="9" style="621" customWidth="1"/>
    <col min="12546" max="12546" width="10.140625" style="621" customWidth="1"/>
    <col min="12547" max="12547" width="9" style="621" customWidth="1"/>
    <col min="12548" max="12548" width="11" style="621" bestFit="1" customWidth="1"/>
    <col min="12549" max="12549" width="1.7109375" style="621" customWidth="1"/>
    <col min="12550" max="12792" width="9.140625" style="621"/>
    <col min="12793" max="12793" width="29.5703125" style="621" customWidth="1"/>
    <col min="12794" max="12794" width="9.140625" style="621"/>
    <col min="12795" max="12795" width="7" style="621" customWidth="1"/>
    <col min="12796" max="12796" width="11" style="621" customWidth="1"/>
    <col min="12797" max="12799" width="13" style="621" customWidth="1"/>
    <col min="12800" max="12800" width="10.28515625" style="621" bestFit="1" customWidth="1"/>
    <col min="12801" max="12801" width="9" style="621" customWidth="1"/>
    <col min="12802" max="12802" width="10.140625" style="621" customWidth="1"/>
    <col min="12803" max="12803" width="9" style="621" customWidth="1"/>
    <col min="12804" max="12804" width="11" style="621" bestFit="1" customWidth="1"/>
    <col min="12805" max="12805" width="1.7109375" style="621" customWidth="1"/>
    <col min="12806" max="13048" width="9.140625" style="621"/>
    <col min="13049" max="13049" width="29.5703125" style="621" customWidth="1"/>
    <col min="13050" max="13050" width="9.140625" style="621"/>
    <col min="13051" max="13051" width="7" style="621" customWidth="1"/>
    <col min="13052" max="13052" width="11" style="621" customWidth="1"/>
    <col min="13053" max="13055" width="13" style="621" customWidth="1"/>
    <col min="13056" max="13056" width="10.28515625" style="621" bestFit="1" customWidth="1"/>
    <col min="13057" max="13057" width="9" style="621" customWidth="1"/>
    <col min="13058" max="13058" width="10.140625" style="621" customWidth="1"/>
    <col min="13059" max="13059" width="9" style="621" customWidth="1"/>
    <col min="13060" max="13060" width="11" style="621" bestFit="1" customWidth="1"/>
    <col min="13061" max="13061" width="1.7109375" style="621" customWidth="1"/>
    <col min="13062" max="13304" width="9.140625" style="621"/>
    <col min="13305" max="13305" width="29.5703125" style="621" customWidth="1"/>
    <col min="13306" max="13306" width="9.140625" style="621"/>
    <col min="13307" max="13307" width="7" style="621" customWidth="1"/>
    <col min="13308" max="13308" width="11" style="621" customWidth="1"/>
    <col min="13309" max="13311" width="13" style="621" customWidth="1"/>
    <col min="13312" max="13312" width="10.28515625" style="621" bestFit="1" customWidth="1"/>
    <col min="13313" max="13313" width="9" style="621" customWidth="1"/>
    <col min="13314" max="13314" width="10.140625" style="621" customWidth="1"/>
    <col min="13315" max="13315" width="9" style="621" customWidth="1"/>
    <col min="13316" max="13316" width="11" style="621" bestFit="1" customWidth="1"/>
    <col min="13317" max="13317" width="1.7109375" style="621" customWidth="1"/>
    <col min="13318" max="13560" width="9.140625" style="621"/>
    <col min="13561" max="13561" width="29.5703125" style="621" customWidth="1"/>
    <col min="13562" max="13562" width="9.140625" style="621"/>
    <col min="13563" max="13563" width="7" style="621" customWidth="1"/>
    <col min="13564" max="13564" width="11" style="621" customWidth="1"/>
    <col min="13565" max="13567" width="13" style="621" customWidth="1"/>
    <col min="13568" max="13568" width="10.28515625" style="621" bestFit="1" customWidth="1"/>
    <col min="13569" max="13569" width="9" style="621" customWidth="1"/>
    <col min="13570" max="13570" width="10.140625" style="621" customWidth="1"/>
    <col min="13571" max="13571" width="9" style="621" customWidth="1"/>
    <col min="13572" max="13572" width="11" style="621" bestFit="1" customWidth="1"/>
    <col min="13573" max="13573" width="1.7109375" style="621" customWidth="1"/>
    <col min="13574" max="13816" width="9.140625" style="621"/>
    <col min="13817" max="13817" width="29.5703125" style="621" customWidth="1"/>
    <col min="13818" max="13818" width="9.140625" style="621"/>
    <col min="13819" max="13819" width="7" style="621" customWidth="1"/>
    <col min="13820" max="13820" width="11" style="621" customWidth="1"/>
    <col min="13821" max="13823" width="13" style="621" customWidth="1"/>
    <col min="13824" max="13824" width="10.28515625" style="621" bestFit="1" customWidth="1"/>
    <col min="13825" max="13825" width="9" style="621" customWidth="1"/>
    <col min="13826" max="13826" width="10.140625" style="621" customWidth="1"/>
    <col min="13827" max="13827" width="9" style="621" customWidth="1"/>
    <col min="13828" max="13828" width="11" style="621" bestFit="1" customWidth="1"/>
    <col min="13829" max="13829" width="1.7109375" style="621" customWidth="1"/>
    <col min="13830" max="14072" width="9.140625" style="621"/>
    <col min="14073" max="14073" width="29.5703125" style="621" customWidth="1"/>
    <col min="14074" max="14074" width="9.140625" style="621"/>
    <col min="14075" max="14075" width="7" style="621" customWidth="1"/>
    <col min="14076" max="14076" width="11" style="621" customWidth="1"/>
    <col min="14077" max="14079" width="13" style="621" customWidth="1"/>
    <col min="14080" max="14080" width="10.28515625" style="621" bestFit="1" customWidth="1"/>
    <col min="14081" max="14081" width="9" style="621" customWidth="1"/>
    <col min="14082" max="14082" width="10.140625" style="621" customWidth="1"/>
    <col min="14083" max="14083" width="9" style="621" customWidth="1"/>
    <col min="14084" max="14084" width="11" style="621" bestFit="1" customWidth="1"/>
    <col min="14085" max="14085" width="1.7109375" style="621" customWidth="1"/>
    <col min="14086" max="14328" width="9.140625" style="621"/>
    <col min="14329" max="14329" width="29.5703125" style="621" customWidth="1"/>
    <col min="14330" max="14330" width="9.140625" style="621"/>
    <col min="14331" max="14331" width="7" style="621" customWidth="1"/>
    <col min="14332" max="14332" width="11" style="621" customWidth="1"/>
    <col min="14333" max="14335" width="13" style="621" customWidth="1"/>
    <col min="14336" max="14336" width="10.28515625" style="621" bestFit="1" customWidth="1"/>
    <col min="14337" max="14337" width="9" style="621" customWidth="1"/>
    <col min="14338" max="14338" width="10.140625" style="621" customWidth="1"/>
    <col min="14339" max="14339" width="9" style="621" customWidth="1"/>
    <col min="14340" max="14340" width="11" style="621" bestFit="1" customWidth="1"/>
    <col min="14341" max="14341" width="1.7109375" style="621" customWidth="1"/>
    <col min="14342" max="14584" width="9.140625" style="621"/>
    <col min="14585" max="14585" width="29.5703125" style="621" customWidth="1"/>
    <col min="14586" max="14586" width="9.140625" style="621"/>
    <col min="14587" max="14587" width="7" style="621" customWidth="1"/>
    <col min="14588" max="14588" width="11" style="621" customWidth="1"/>
    <col min="14589" max="14591" width="13" style="621" customWidth="1"/>
    <col min="14592" max="14592" width="10.28515625" style="621" bestFit="1" customWidth="1"/>
    <col min="14593" max="14593" width="9" style="621" customWidth="1"/>
    <col min="14594" max="14594" width="10.140625" style="621" customWidth="1"/>
    <col min="14595" max="14595" width="9" style="621" customWidth="1"/>
    <col min="14596" max="14596" width="11" style="621" bestFit="1" customWidth="1"/>
    <col min="14597" max="14597" width="1.7109375" style="621" customWidth="1"/>
    <col min="14598" max="14840" width="9.140625" style="621"/>
    <col min="14841" max="14841" width="29.5703125" style="621" customWidth="1"/>
    <col min="14842" max="14842" width="9.140625" style="621"/>
    <col min="14843" max="14843" width="7" style="621" customWidth="1"/>
    <col min="14844" max="14844" width="11" style="621" customWidth="1"/>
    <col min="14845" max="14847" width="13" style="621" customWidth="1"/>
    <col min="14848" max="14848" width="10.28515625" style="621" bestFit="1" customWidth="1"/>
    <col min="14849" max="14849" width="9" style="621" customWidth="1"/>
    <col min="14850" max="14850" width="10.140625" style="621" customWidth="1"/>
    <col min="14851" max="14851" width="9" style="621" customWidth="1"/>
    <col min="14852" max="14852" width="11" style="621" bestFit="1" customWidth="1"/>
    <col min="14853" max="14853" width="1.7109375" style="621" customWidth="1"/>
    <col min="14854" max="15096" width="9.140625" style="621"/>
    <col min="15097" max="15097" width="29.5703125" style="621" customWidth="1"/>
    <col min="15098" max="15098" width="9.140625" style="621"/>
    <col min="15099" max="15099" width="7" style="621" customWidth="1"/>
    <col min="15100" max="15100" width="11" style="621" customWidth="1"/>
    <col min="15101" max="15103" width="13" style="621" customWidth="1"/>
    <col min="15104" max="15104" width="10.28515625" style="621" bestFit="1" customWidth="1"/>
    <col min="15105" max="15105" width="9" style="621" customWidth="1"/>
    <col min="15106" max="15106" width="10.140625" style="621" customWidth="1"/>
    <col min="15107" max="15107" width="9" style="621" customWidth="1"/>
    <col min="15108" max="15108" width="11" style="621" bestFit="1" customWidth="1"/>
    <col min="15109" max="15109" width="1.7109375" style="621" customWidth="1"/>
    <col min="15110" max="15352" width="9.140625" style="621"/>
    <col min="15353" max="15353" width="29.5703125" style="621" customWidth="1"/>
    <col min="15354" max="15354" width="9.140625" style="621"/>
    <col min="15355" max="15355" width="7" style="621" customWidth="1"/>
    <col min="15356" max="15356" width="11" style="621" customWidth="1"/>
    <col min="15357" max="15359" width="13" style="621" customWidth="1"/>
    <col min="15360" max="15360" width="10.28515625" style="621" bestFit="1" customWidth="1"/>
    <col min="15361" max="15361" width="9" style="621" customWidth="1"/>
    <col min="15362" max="15362" width="10.140625" style="621" customWidth="1"/>
    <col min="15363" max="15363" width="9" style="621" customWidth="1"/>
    <col min="15364" max="15364" width="11" style="621" bestFit="1" customWidth="1"/>
    <col min="15365" max="15365" width="1.7109375" style="621" customWidth="1"/>
    <col min="15366" max="15608" width="9.140625" style="621"/>
    <col min="15609" max="15609" width="29.5703125" style="621" customWidth="1"/>
    <col min="15610" max="15610" width="9.140625" style="621"/>
    <col min="15611" max="15611" width="7" style="621" customWidth="1"/>
    <col min="15612" max="15612" width="11" style="621" customWidth="1"/>
    <col min="15613" max="15615" width="13" style="621" customWidth="1"/>
    <col min="15616" max="15616" width="10.28515625" style="621" bestFit="1" customWidth="1"/>
    <col min="15617" max="15617" width="9" style="621" customWidth="1"/>
    <col min="15618" max="15618" width="10.140625" style="621" customWidth="1"/>
    <col min="15619" max="15619" width="9" style="621" customWidth="1"/>
    <col min="15620" max="15620" width="11" style="621" bestFit="1" customWidth="1"/>
    <col min="15621" max="15621" width="1.7109375" style="621" customWidth="1"/>
    <col min="15622" max="15864" width="9.140625" style="621"/>
    <col min="15865" max="15865" width="29.5703125" style="621" customWidth="1"/>
    <col min="15866" max="15866" width="9.140625" style="621"/>
    <col min="15867" max="15867" width="7" style="621" customWidth="1"/>
    <col min="15868" max="15868" width="11" style="621" customWidth="1"/>
    <col min="15869" max="15871" width="13" style="621" customWidth="1"/>
    <col min="15872" max="15872" width="10.28515625" style="621" bestFit="1" customWidth="1"/>
    <col min="15873" max="15873" width="9" style="621" customWidth="1"/>
    <col min="15874" max="15874" width="10.140625" style="621" customWidth="1"/>
    <col min="15875" max="15875" width="9" style="621" customWidth="1"/>
    <col min="15876" max="15876" width="11" style="621" bestFit="1" customWidth="1"/>
    <col min="15877" max="15877" width="1.7109375" style="621" customWidth="1"/>
    <col min="15878" max="16120" width="9.140625" style="621"/>
    <col min="16121" max="16121" width="29.5703125" style="621" customWidth="1"/>
    <col min="16122" max="16122" width="9.140625" style="621"/>
    <col min="16123" max="16123" width="7" style="621" customWidth="1"/>
    <col min="16124" max="16124" width="11" style="621" customWidth="1"/>
    <col min="16125" max="16127" width="13" style="621" customWidth="1"/>
    <col min="16128" max="16128" width="10.28515625" style="621" bestFit="1" customWidth="1"/>
    <col min="16129" max="16129" width="9" style="621" customWidth="1"/>
    <col min="16130" max="16130" width="10.140625" style="621" customWidth="1"/>
    <col min="16131" max="16131" width="9" style="621" customWidth="1"/>
    <col min="16132" max="16132" width="11" style="621" bestFit="1" customWidth="1"/>
    <col min="16133" max="16133" width="1.7109375" style="621" customWidth="1"/>
    <col min="16134" max="16384" width="9.140625" style="621"/>
  </cols>
  <sheetData>
    <row r="1" spans="1:28" ht="58.5" customHeight="1" x14ac:dyDescent="0.25">
      <c r="A1" s="533"/>
      <c r="B1" s="533"/>
      <c r="C1" s="533"/>
      <c r="D1" s="533"/>
      <c r="E1" s="533"/>
      <c r="F1" s="533"/>
      <c r="G1" s="533"/>
      <c r="H1" s="533"/>
      <c r="I1" s="533"/>
      <c r="J1" s="533"/>
      <c r="K1" s="533"/>
      <c r="L1" s="533"/>
      <c r="M1" s="533"/>
      <c r="N1" s="533"/>
      <c r="O1" s="533"/>
      <c r="P1" s="533"/>
      <c r="Q1" s="533"/>
      <c r="R1" s="533"/>
      <c r="S1" s="533"/>
      <c r="T1" s="533"/>
      <c r="U1" s="533"/>
      <c r="V1" s="533"/>
      <c r="W1" s="533"/>
      <c r="X1" s="533"/>
      <c r="Y1" s="533"/>
      <c r="Z1" s="533"/>
      <c r="AA1" s="533"/>
      <c r="AB1" s="533"/>
    </row>
    <row r="2" spans="1:28" ht="33" customHeight="1" x14ac:dyDescent="0.35">
      <c r="A2" s="814"/>
    </row>
    <row r="3" spans="1:28" x14ac:dyDescent="0.2">
      <c r="A3" s="618">
        <f ca="1">TODAY()</f>
        <v>44838</v>
      </c>
      <c r="B3" s="619">
        <v>44926</v>
      </c>
      <c r="C3" s="620">
        <f ca="1">IF(A3&gt;B3,0,1)</f>
        <v>1</v>
      </c>
    </row>
    <row r="5" spans="1:28" ht="15.75" x14ac:dyDescent="0.25">
      <c r="A5" s="622" t="s">
        <v>234</v>
      </c>
      <c r="B5" s="623"/>
      <c r="C5" s="623"/>
      <c r="D5" s="623"/>
      <c r="E5" s="623"/>
      <c r="F5" s="624" t="str">
        <f>Lastbil!A2</f>
        <v>Lastbil</v>
      </c>
      <c r="G5" s="624" t="str">
        <f>Lastbil!C2</f>
        <v>Kalkylbil 2022</v>
      </c>
      <c r="H5" s="624"/>
      <c r="I5" s="625"/>
    </row>
    <row r="6" spans="1:28" ht="15.75" x14ac:dyDescent="0.25">
      <c r="A6" s="622"/>
      <c r="B6" s="623"/>
      <c r="C6" s="623"/>
      <c r="D6" s="623"/>
      <c r="E6" s="623" t="s">
        <v>313</v>
      </c>
      <c r="F6" s="1018" t="str">
        <f>'Registrering &amp; Resultat'!M4</f>
        <v>Endast bil</v>
      </c>
      <c r="G6" s="1018"/>
      <c r="H6" s="626">
        <f>IF(F6='Registrering &amp; Resultat'!R4,1,0)</f>
        <v>1</v>
      </c>
      <c r="I6" s="625"/>
    </row>
    <row r="7" spans="1:28" x14ac:dyDescent="0.2">
      <c r="A7" s="627"/>
      <c r="B7" s="628"/>
      <c r="C7" s="628"/>
      <c r="D7" s="623"/>
      <c r="E7" s="623"/>
      <c r="F7" s="623"/>
      <c r="G7" s="623"/>
      <c r="H7" s="623"/>
      <c r="I7" s="625"/>
    </row>
    <row r="8" spans="1:28" ht="32.25" customHeight="1" x14ac:dyDescent="0.3">
      <c r="A8" s="629" t="s">
        <v>233</v>
      </c>
      <c r="B8" s="630"/>
      <c r="C8" s="630"/>
      <c r="D8" s="630"/>
      <c r="E8" s="630"/>
      <c r="F8" s="630"/>
      <c r="G8" s="630"/>
      <c r="H8" s="630"/>
      <c r="I8" s="625"/>
      <c r="J8" s="631"/>
    </row>
    <row r="9" spans="1:28" x14ac:dyDescent="0.2">
      <c r="A9" s="632" t="s">
        <v>232</v>
      </c>
      <c r="B9" s="633" t="s">
        <v>229</v>
      </c>
      <c r="C9" s="634"/>
      <c r="D9" s="635" t="s">
        <v>231</v>
      </c>
      <c r="E9" s="636" t="s">
        <v>230</v>
      </c>
      <c r="F9" s="637"/>
      <c r="G9" s="638"/>
      <c r="H9" s="638"/>
      <c r="I9" s="625"/>
    </row>
    <row r="10" spans="1:28" ht="22.5" x14ac:dyDescent="0.2">
      <c r="A10" s="639"/>
      <c r="B10" s="640" t="s">
        <v>229</v>
      </c>
      <c r="C10" s="641" t="s">
        <v>228</v>
      </c>
      <c r="D10" s="642"/>
      <c r="E10" s="643" t="s">
        <v>227</v>
      </c>
      <c r="F10" s="644" t="s">
        <v>226</v>
      </c>
      <c r="G10" s="638" t="s">
        <v>225</v>
      </c>
      <c r="H10" s="645" t="s">
        <v>136</v>
      </c>
      <c r="I10" s="625"/>
    </row>
    <row r="11" spans="1:28" x14ac:dyDescent="0.2">
      <c r="A11" s="646" t="s">
        <v>224</v>
      </c>
      <c r="B11" s="625"/>
      <c r="C11" s="625"/>
      <c r="D11" s="625"/>
      <c r="E11" s="625"/>
      <c r="F11" s="625"/>
      <c r="G11" s="625"/>
      <c r="H11" s="647"/>
      <c r="I11" s="625"/>
    </row>
    <row r="12" spans="1:28" ht="18.75" x14ac:dyDescent="0.3">
      <c r="A12" s="648" t="s">
        <v>223</v>
      </c>
      <c r="B12" s="649">
        <v>1</v>
      </c>
      <c r="C12" s="650" t="s">
        <v>222</v>
      </c>
      <c r="D12" s="651">
        <f>+Lastbil!K14</f>
        <v>243437.14285714284</v>
      </c>
      <c r="E12" s="652">
        <f>B12*D12</f>
        <v>243437.14285714284</v>
      </c>
      <c r="F12" s="625"/>
      <c r="G12" s="625"/>
      <c r="H12" s="647"/>
      <c r="I12" s="625"/>
      <c r="J12" s="653" t="s">
        <v>303</v>
      </c>
      <c r="Z12" s="832"/>
      <c r="AA12" s="832"/>
    </row>
    <row r="13" spans="1:28" x14ac:dyDescent="0.2">
      <c r="A13" s="654" t="s">
        <v>236</v>
      </c>
      <c r="B13" s="655">
        <v>1</v>
      </c>
      <c r="C13" s="650"/>
      <c r="D13" s="651">
        <f>+Släp!K14</f>
        <v>59996.800000000003</v>
      </c>
      <c r="E13" s="652">
        <f>IF(H6=0,SUM(B13*D13),0)</f>
        <v>0</v>
      </c>
      <c r="F13" s="625"/>
      <c r="G13" s="625"/>
      <c r="H13" s="647"/>
      <c r="I13" s="625"/>
      <c r="Q13" s="621" t="s">
        <v>564</v>
      </c>
      <c r="Z13" s="832"/>
      <c r="AA13" s="832"/>
    </row>
    <row r="14" spans="1:28" ht="30" x14ac:dyDescent="0.25">
      <c r="A14" s="654"/>
      <c r="B14" s="656"/>
      <c r="C14" s="650"/>
      <c r="D14" s="657"/>
      <c r="E14" s="652">
        <f>B14*D14</f>
        <v>0</v>
      </c>
      <c r="F14" s="658"/>
      <c r="G14" s="659"/>
      <c r="H14" s="660">
        <f>SUM(E12:E14)</f>
        <v>243437.14285714284</v>
      </c>
      <c r="I14" s="625"/>
      <c r="J14" s="661" t="s">
        <v>258</v>
      </c>
      <c r="K14" s="661" t="s">
        <v>257</v>
      </c>
      <c r="L14" s="661" t="s">
        <v>250</v>
      </c>
      <c r="M14" s="661" t="s">
        <v>249</v>
      </c>
      <c r="N14" s="661" t="s">
        <v>251</v>
      </c>
      <c r="O14" s="661" t="s">
        <v>252</v>
      </c>
      <c r="P14" s="661" t="s">
        <v>253</v>
      </c>
      <c r="Q14" s="661" t="s">
        <v>255</v>
      </c>
      <c r="R14" s="661" t="s">
        <v>254</v>
      </c>
      <c r="S14" s="661" t="s">
        <v>256</v>
      </c>
      <c r="T14" s="661" t="s">
        <v>322</v>
      </c>
      <c r="U14" s="661" t="s">
        <v>323</v>
      </c>
      <c r="V14" s="661" t="s">
        <v>472</v>
      </c>
      <c r="Z14" s="829" t="s">
        <v>199</v>
      </c>
      <c r="AA14" s="830">
        <f ca="1">+H44/B23</f>
        <v>803.35098028571417</v>
      </c>
    </row>
    <row r="15" spans="1:28" ht="15.75" x14ac:dyDescent="0.25">
      <c r="A15" s="662" t="s">
        <v>221</v>
      </c>
      <c r="B15" s="663"/>
      <c r="C15" s="663"/>
      <c r="D15" s="664"/>
      <c r="E15" s="665"/>
      <c r="F15" s="666"/>
      <c r="G15" s="667"/>
      <c r="H15" s="668"/>
      <c r="I15" s="625"/>
      <c r="J15" s="669" t="str">
        <f ca="1">IF(C3=1,G5,"Update")</f>
        <v>Kalkylbil 2022</v>
      </c>
      <c r="K15" s="669">
        <f ca="1">IF(C3=1,Lastbil!F9,"Update")</f>
        <v>250</v>
      </c>
      <c r="L15" s="670">
        <f ca="1">IF(C3=1,B23,"Update")</f>
        <v>2500</v>
      </c>
      <c r="M15" s="670">
        <f ca="1">IF(C3=1,B16,"Update")</f>
        <v>5000</v>
      </c>
      <c r="N15" s="670">
        <f ca="1">IF(C3=1,H44,"Update")</f>
        <v>2008377.4507142855</v>
      </c>
      <c r="O15" s="671">
        <f ca="1">IF(C3=1,AA15,"Update")</f>
        <v>401.67549014285709</v>
      </c>
      <c r="P15" s="671">
        <f ca="1">IF(C3=1,AA14,"Update")</f>
        <v>803.35098028571417</v>
      </c>
      <c r="Q15" s="672">
        <f ca="1">IF(C3=1,AA19,"Update")</f>
        <v>525.27</v>
      </c>
      <c r="R15" s="672">
        <f ca="1">IF(C3=1,AA18,"Update")</f>
        <v>139.04999999999998</v>
      </c>
      <c r="S15" s="671">
        <f ca="1">IF(C3=1,AA21,"Update")</f>
        <v>8033.5098028571419</v>
      </c>
      <c r="T15" s="670">
        <f ca="1">IF(C3=1,SUM(E42:G42),"Update")</f>
        <v>92981</v>
      </c>
      <c r="U15" s="671">
        <f ca="1">IF(C3=1,SUM('Registrering &amp; Resultat'!J18+'Registrering &amp; Resultat'!O18),"Update")</f>
        <v>2150000</v>
      </c>
      <c r="V15" s="671" t="str">
        <f>F6</f>
        <v>Endast bil</v>
      </c>
      <c r="Z15" s="829" t="s">
        <v>198</v>
      </c>
      <c r="AA15" s="830">
        <f ca="1">+H44/B16</f>
        <v>401.67549014285709</v>
      </c>
    </row>
    <row r="16" spans="1:28" x14ac:dyDescent="0.2">
      <c r="A16" s="654" t="s">
        <v>220</v>
      </c>
      <c r="B16" s="673">
        <f>+Lastbil!F8</f>
        <v>5000</v>
      </c>
      <c r="C16" s="650" t="s">
        <v>218</v>
      </c>
      <c r="D16" s="674">
        <f>+Lastbil!K24</f>
        <v>126.84142857142857</v>
      </c>
      <c r="E16" s="625"/>
      <c r="F16" s="675">
        <f>B16*D16</f>
        <v>634207.14285714284</v>
      </c>
      <c r="G16" s="676"/>
      <c r="H16" s="647"/>
      <c r="I16" s="625"/>
      <c r="Z16" s="829"/>
      <c r="AA16" s="829"/>
    </row>
    <row r="17" spans="1:27" x14ac:dyDescent="0.2">
      <c r="A17" s="654" t="s">
        <v>219</v>
      </c>
      <c r="B17" s="677">
        <f>B16*1.5%</f>
        <v>75</v>
      </c>
      <c r="C17" s="650" t="s">
        <v>218</v>
      </c>
      <c r="D17" s="674">
        <f>+Lastbil!K24</f>
        <v>126.84142857142857</v>
      </c>
      <c r="E17" s="625"/>
      <c r="F17" s="675">
        <f>B17*D17</f>
        <v>9513.1071428571431</v>
      </c>
      <c r="G17" s="625"/>
      <c r="H17" s="647"/>
      <c r="I17" s="625"/>
      <c r="Z17" s="831" t="s">
        <v>308</v>
      </c>
      <c r="AA17" s="831"/>
    </row>
    <row r="18" spans="1:27" ht="15.75" x14ac:dyDescent="0.25">
      <c r="A18" s="654" t="s">
        <v>217</v>
      </c>
      <c r="B18" s="678">
        <f>+B23</f>
        <v>2500</v>
      </c>
      <c r="C18" s="650" t="s">
        <v>209</v>
      </c>
      <c r="D18" s="674">
        <f>+Lastbil!K27</f>
        <v>0</v>
      </c>
      <c r="E18" s="679"/>
      <c r="F18" s="675">
        <f>B18*D18</f>
        <v>0</v>
      </c>
      <c r="G18" s="680"/>
      <c r="H18" s="647"/>
      <c r="I18" s="625"/>
      <c r="Z18" s="829" t="s">
        <v>242</v>
      </c>
      <c r="AA18" s="830">
        <f ca="1">+F47</f>
        <v>139.04999999999998</v>
      </c>
    </row>
    <row r="19" spans="1:27" ht="15.75" x14ac:dyDescent="0.25">
      <c r="A19" s="662" t="s">
        <v>237</v>
      </c>
      <c r="B19" s="681"/>
      <c r="C19" s="682"/>
      <c r="D19" s="625"/>
      <c r="E19" s="625"/>
      <c r="F19" s="625"/>
      <c r="G19" s="625"/>
      <c r="H19" s="683"/>
      <c r="I19" s="625"/>
      <c r="Z19" s="832" t="s">
        <v>243</v>
      </c>
      <c r="AA19" s="833">
        <f ca="1">+E47+G47</f>
        <v>525.27</v>
      </c>
    </row>
    <row r="20" spans="1:27" x14ac:dyDescent="0.2">
      <c r="A20" s="654" t="s">
        <v>238</v>
      </c>
      <c r="B20" s="673">
        <f>+B16</f>
        <v>5000</v>
      </c>
      <c r="C20" s="650" t="s">
        <v>218</v>
      </c>
      <c r="D20" s="684">
        <f>+Släp!K24</f>
        <v>1.1499999999999999</v>
      </c>
      <c r="E20" s="625"/>
      <c r="F20" s="675">
        <f>IF($H$6=0,SUM(B20*D20),0)</f>
        <v>0</v>
      </c>
      <c r="G20" s="625"/>
      <c r="H20" s="683"/>
      <c r="I20" s="625"/>
      <c r="Z20" s="832"/>
      <c r="AA20" s="832"/>
    </row>
    <row r="21" spans="1:27" ht="15.75" x14ac:dyDescent="0.25">
      <c r="A21" s="682" t="s">
        <v>217</v>
      </c>
      <c r="B21" s="685">
        <f>+B18</f>
        <v>2500</v>
      </c>
      <c r="C21" s="650" t="s">
        <v>209</v>
      </c>
      <c r="D21" s="684">
        <f>+Släp!K27</f>
        <v>0</v>
      </c>
      <c r="E21" s="625"/>
      <c r="F21" s="675">
        <f>IF($H$6=0,SUM(B21*D21),0)</f>
        <v>0</v>
      </c>
      <c r="G21" s="625"/>
      <c r="H21" s="686">
        <f>SUM(F16:F20)</f>
        <v>643720.25</v>
      </c>
      <c r="I21" s="625"/>
      <c r="Z21" s="829" t="s">
        <v>246</v>
      </c>
      <c r="AA21" s="834">
        <f ca="1">+H44/Lastbil!F9</f>
        <v>8033.5098028571419</v>
      </c>
    </row>
    <row r="22" spans="1:27" x14ac:dyDescent="0.2">
      <c r="A22" s="687" t="s">
        <v>216</v>
      </c>
      <c r="B22" s="682"/>
      <c r="C22" s="682"/>
      <c r="D22" s="688"/>
      <c r="E22" s="625"/>
      <c r="F22" s="665"/>
      <c r="G22" s="625"/>
      <c r="H22" s="647"/>
      <c r="I22" s="625"/>
      <c r="Z22" s="832"/>
      <c r="AA22" s="832"/>
    </row>
    <row r="23" spans="1:27" x14ac:dyDescent="0.2">
      <c r="A23" s="654" t="s">
        <v>215</v>
      </c>
      <c r="B23" s="689">
        <f>+Lastbil!F7</f>
        <v>2500</v>
      </c>
      <c r="C23" s="650" t="s">
        <v>209</v>
      </c>
      <c r="D23" s="690">
        <f>+L26</f>
        <v>276.58337142857141</v>
      </c>
      <c r="E23" s="625"/>
      <c r="F23" s="625"/>
      <c r="G23" s="691">
        <f t="shared" ref="G23:G29" si="0">B23*D23</f>
        <v>691458.42857142852</v>
      </c>
      <c r="H23" s="647"/>
      <c r="I23" s="625"/>
      <c r="J23" s="850" t="s">
        <v>622</v>
      </c>
      <c r="K23" s="851"/>
      <c r="L23" s="851"/>
      <c r="M23" s="852"/>
      <c r="Z23" s="832"/>
      <c r="AA23" s="832"/>
    </row>
    <row r="24" spans="1:27" ht="12.75" customHeight="1" x14ac:dyDescent="0.2">
      <c r="A24" s="654" t="s">
        <v>214</v>
      </c>
      <c r="B24" s="673">
        <f>'Registrering &amp; Resultat'!K36</f>
        <v>50</v>
      </c>
      <c r="C24" s="650" t="s">
        <v>209</v>
      </c>
      <c r="D24" s="692">
        <f>+L26</f>
        <v>276.58337142857141</v>
      </c>
      <c r="E24" s="625"/>
      <c r="F24" s="625"/>
      <c r="G24" s="691">
        <f t="shared" si="0"/>
        <v>13829.16857142857</v>
      </c>
      <c r="H24" s="647"/>
      <c r="I24" s="625"/>
      <c r="J24" s="853" t="s">
        <v>623</v>
      </c>
      <c r="M24" s="854"/>
      <c r="Z24" s="832" t="s">
        <v>290</v>
      </c>
      <c r="AA24" s="832"/>
    </row>
    <row r="25" spans="1:27" ht="15.75" x14ac:dyDescent="0.25">
      <c r="A25" s="654" t="s">
        <v>213</v>
      </c>
      <c r="B25" s="673">
        <f>'Registrering &amp; Resultat'!K37</f>
        <v>0</v>
      </c>
      <c r="C25" s="650" t="s">
        <v>209</v>
      </c>
      <c r="D25" s="690">
        <f>+L27</f>
        <v>44.8932</v>
      </c>
      <c r="E25" s="625"/>
      <c r="F25" s="625"/>
      <c r="G25" s="691">
        <f t="shared" si="0"/>
        <v>0</v>
      </c>
      <c r="H25" s="647"/>
      <c r="I25" s="625"/>
      <c r="J25" s="853"/>
      <c r="K25" s="621" t="s">
        <v>621</v>
      </c>
      <c r="L25" s="621" t="s">
        <v>627</v>
      </c>
      <c r="M25" s="854" t="s">
        <v>640</v>
      </c>
      <c r="Z25" s="832" t="s">
        <v>569</v>
      </c>
      <c r="AA25" s="834">
        <f ca="1">+E44/Lastbil!$F$9</f>
        <v>1051.6485714285714</v>
      </c>
    </row>
    <row r="26" spans="1:27" ht="15.75" x14ac:dyDescent="0.25">
      <c r="A26" s="654" t="s">
        <v>212</v>
      </c>
      <c r="B26" s="673">
        <f>'Registrering &amp; Resultat'!K38</f>
        <v>0</v>
      </c>
      <c r="C26" s="650" t="s">
        <v>209</v>
      </c>
      <c r="D26" s="690">
        <f>+L28</f>
        <v>68.03</v>
      </c>
      <c r="E26" s="625"/>
      <c r="F26" s="625"/>
      <c r="G26" s="691">
        <f t="shared" si="0"/>
        <v>0</v>
      </c>
      <c r="H26" s="647"/>
      <c r="I26" s="625"/>
      <c r="J26" s="853" t="s">
        <v>624</v>
      </c>
      <c r="K26" s="857">
        <f>+M26/168</f>
        <v>168.41071428571428</v>
      </c>
      <c r="L26" s="863">
        <f>+(K26+6.2)*1.32*1.2</f>
        <v>276.58337142857141</v>
      </c>
      <c r="M26" s="858">
        <v>28293</v>
      </c>
      <c r="Z26" s="832" t="s">
        <v>571</v>
      </c>
      <c r="AA26" s="834">
        <f ca="1">+F44/Lastbil!$F$9</f>
        <v>2780.873</v>
      </c>
    </row>
    <row r="27" spans="1:27" ht="15.75" x14ac:dyDescent="0.25">
      <c r="A27" s="654" t="s">
        <v>211</v>
      </c>
      <c r="B27" s="673">
        <f>'Registrering &amp; Resultat'!K41</f>
        <v>62.5</v>
      </c>
      <c r="C27" s="650" t="s">
        <v>209</v>
      </c>
      <c r="D27" s="690">
        <f>+L26</f>
        <v>276.58337142857141</v>
      </c>
      <c r="E27" s="625"/>
      <c r="F27" s="625"/>
      <c r="G27" s="675">
        <f t="shared" si="0"/>
        <v>17286.460714285713</v>
      </c>
      <c r="H27" s="647"/>
      <c r="I27" s="625"/>
      <c r="J27" s="853" t="s">
        <v>625</v>
      </c>
      <c r="K27" s="621">
        <v>34.01</v>
      </c>
      <c r="L27" s="863">
        <f>+(K27+0)*1.32</f>
        <v>44.8932</v>
      </c>
      <c r="M27" s="854"/>
      <c r="Z27" s="832" t="s">
        <v>570</v>
      </c>
      <c r="AA27" s="834">
        <f ca="1">+G44/Lastbil!$F$9</f>
        <v>4200.9882314285715</v>
      </c>
    </row>
    <row r="28" spans="1:27" ht="15.75" x14ac:dyDescent="0.25">
      <c r="A28" s="654" t="s">
        <v>650</v>
      </c>
      <c r="B28" s="862">
        <f>+'Registrering &amp; Resultat'!K39</f>
        <v>250</v>
      </c>
      <c r="C28" s="682" t="s">
        <v>652</v>
      </c>
      <c r="D28" s="690">
        <f>+O41</f>
        <v>403.92</v>
      </c>
      <c r="E28" s="625"/>
      <c r="F28" s="625"/>
      <c r="G28" s="691">
        <f t="shared" si="0"/>
        <v>100980</v>
      </c>
      <c r="H28" s="647"/>
      <c r="I28" s="625"/>
      <c r="J28" s="855" t="s">
        <v>626</v>
      </c>
      <c r="K28" s="855" t="s">
        <v>661</v>
      </c>
      <c r="L28" s="864">
        <v>68.03</v>
      </c>
      <c r="M28" s="856"/>
      <c r="O28" s="631" t="s">
        <v>648</v>
      </c>
      <c r="Z28" s="832"/>
      <c r="AA28" s="834"/>
    </row>
    <row r="29" spans="1:27" ht="15.75" x14ac:dyDescent="0.25">
      <c r="A29" s="654" t="s">
        <v>651</v>
      </c>
      <c r="B29" s="862">
        <f>+'Registrering &amp; Resultat'!K40</f>
        <v>500</v>
      </c>
      <c r="C29" s="682" t="s">
        <v>652</v>
      </c>
      <c r="D29" s="690">
        <f>+O42</f>
        <v>297.79200000000003</v>
      </c>
      <c r="E29" s="625"/>
      <c r="F29" s="625"/>
      <c r="G29" s="691">
        <f t="shared" si="0"/>
        <v>148896.00000000003</v>
      </c>
      <c r="H29" s="686">
        <f>SUM(G23:G29)</f>
        <v>972450.05785714276</v>
      </c>
      <c r="I29" s="625"/>
      <c r="Z29" s="832"/>
      <c r="AA29" s="834"/>
    </row>
    <row r="30" spans="1:27" ht="15.75" x14ac:dyDescent="0.25">
      <c r="A30" s="693" t="s">
        <v>210</v>
      </c>
      <c r="B30" s="682"/>
      <c r="C30" s="682"/>
      <c r="D30" s="688"/>
      <c r="E30" s="694"/>
      <c r="F30" s="694"/>
      <c r="G30" s="694"/>
      <c r="H30" s="695"/>
      <c r="I30" s="625"/>
      <c r="Z30" s="832" t="s">
        <v>136</v>
      </c>
      <c r="AA30" s="834">
        <f ca="1">SUM(AA25:AA27)</f>
        <v>8033.5098028571429</v>
      </c>
    </row>
    <row r="31" spans="1:27" hidden="1" outlineLevel="1" x14ac:dyDescent="0.2">
      <c r="A31" s="654"/>
      <c r="B31" s="696">
        <v>0</v>
      </c>
      <c r="C31" s="650" t="s">
        <v>209</v>
      </c>
      <c r="D31" s="697">
        <v>0</v>
      </c>
      <c r="E31" s="689"/>
      <c r="F31" s="698"/>
      <c r="G31" s="698">
        <f>+B31*D31</f>
        <v>0</v>
      </c>
      <c r="H31" s="686">
        <f>SUM(E31:G31)</f>
        <v>0</v>
      </c>
      <c r="I31" s="625"/>
      <c r="Z31" s="832"/>
      <c r="AA31" s="832"/>
    </row>
    <row r="32" spans="1:27" hidden="1" outlineLevel="1" x14ac:dyDescent="0.2">
      <c r="A32" s="699"/>
      <c r="B32" s="700"/>
      <c r="C32" s="701"/>
      <c r="D32" s="702"/>
      <c r="E32" s="703"/>
      <c r="F32" s="704"/>
      <c r="G32" s="705"/>
      <c r="H32" s="686"/>
      <c r="I32" s="625"/>
      <c r="Z32" s="832"/>
      <c r="AA32" s="832"/>
    </row>
    <row r="33" spans="1:27" hidden="1" outlineLevel="1" x14ac:dyDescent="0.2">
      <c r="A33" s="699"/>
      <c r="B33" s="700"/>
      <c r="C33" s="701"/>
      <c r="D33" s="702"/>
      <c r="E33" s="703"/>
      <c r="F33" s="704"/>
      <c r="G33" s="705"/>
      <c r="H33" s="686"/>
      <c r="I33" s="625"/>
      <c r="L33" s="621" t="s">
        <v>634</v>
      </c>
      <c r="M33" s="621" t="s">
        <v>633</v>
      </c>
      <c r="O33" s="621" t="s">
        <v>633</v>
      </c>
      <c r="P33" s="621" t="s">
        <v>649</v>
      </c>
      <c r="Z33" s="832"/>
      <c r="AA33" s="832"/>
    </row>
    <row r="34" spans="1:27" hidden="1" outlineLevel="1" x14ac:dyDescent="0.2">
      <c r="A34" s="699"/>
      <c r="B34" s="706"/>
      <c r="C34" s="707"/>
      <c r="D34" s="708"/>
      <c r="E34" s="709"/>
      <c r="F34" s="710"/>
      <c r="G34" s="711"/>
      <c r="H34" s="686">
        <f>SUM(E34:G34)</f>
        <v>0</v>
      </c>
      <c r="I34" s="625"/>
      <c r="J34" s="621" t="s">
        <v>630</v>
      </c>
      <c r="K34" s="621" t="s">
        <v>631</v>
      </c>
      <c r="L34" s="621">
        <v>28293</v>
      </c>
      <c r="M34" s="621">
        <v>28183</v>
      </c>
      <c r="O34" s="621">
        <v>27545</v>
      </c>
      <c r="P34" s="861">
        <f>+M34/O34-1</f>
        <v>2.3162098384461816E-2</v>
      </c>
      <c r="Z34" s="832"/>
      <c r="AA34" s="832"/>
    </row>
    <row r="35" spans="1:27" collapsed="1" x14ac:dyDescent="0.2">
      <c r="A35" s="712"/>
      <c r="B35" s="713"/>
      <c r="C35" s="713"/>
      <c r="D35" s="714"/>
      <c r="E35" s="715"/>
      <c r="F35" s="716"/>
      <c r="G35" s="717"/>
      <c r="H35" s="683"/>
      <c r="I35" s="625"/>
      <c r="J35" s="621" t="s">
        <v>635</v>
      </c>
      <c r="K35" s="621" t="s">
        <v>632</v>
      </c>
      <c r="L35" s="621">
        <v>28401</v>
      </c>
      <c r="M35" s="621">
        <v>28293</v>
      </c>
      <c r="O35" s="621">
        <v>27655</v>
      </c>
      <c r="P35" s="861">
        <f t="shared" ref="P35:P38" si="1">+M35/O35-1</f>
        <v>2.3069969264147616E-2</v>
      </c>
      <c r="Z35" s="832"/>
      <c r="AA35" s="832"/>
    </row>
    <row r="36" spans="1:27" x14ac:dyDescent="0.2">
      <c r="A36" s="718"/>
      <c r="B36" s="719"/>
      <c r="C36" s="719"/>
      <c r="D36" s="720"/>
      <c r="E36" s="721">
        <f>SUM(E12:E34)</f>
        <v>243437.14285714284</v>
      </c>
      <c r="F36" s="722">
        <f>SUM(F12:F34)</f>
        <v>643720.25</v>
      </c>
      <c r="G36" s="723">
        <f>SUM(G12:G34)</f>
        <v>972450.05785714276</v>
      </c>
      <c r="H36" s="724">
        <f>SUM(H12:H34)</f>
        <v>1859607.4507142855</v>
      </c>
      <c r="I36" s="625"/>
      <c r="K36" s="621" t="s">
        <v>636</v>
      </c>
      <c r="L36" s="621">
        <v>28623</v>
      </c>
      <c r="M36" s="621">
        <v>28514</v>
      </c>
      <c r="O36" s="621">
        <v>27876</v>
      </c>
      <c r="P36" s="861">
        <f t="shared" si="1"/>
        <v>2.2887071315827345E-2</v>
      </c>
      <c r="Z36" s="832"/>
      <c r="AA36" s="832"/>
    </row>
    <row r="37" spans="1:27" ht="18.75" x14ac:dyDescent="0.3">
      <c r="A37" s="725" t="s">
        <v>208</v>
      </c>
      <c r="B37" s="625"/>
      <c r="C37" s="625"/>
      <c r="D37" s="625"/>
      <c r="E37" s="726"/>
      <c r="F37" s="727"/>
      <c r="G37" s="728"/>
      <c r="H37" s="729"/>
      <c r="I37" s="625"/>
      <c r="K37" s="621" t="s">
        <v>637</v>
      </c>
      <c r="L37" s="621">
        <v>28665</v>
      </c>
      <c r="M37" s="621">
        <v>28546</v>
      </c>
      <c r="O37" s="621">
        <v>27908</v>
      </c>
      <c r="P37" s="861">
        <f t="shared" si="1"/>
        <v>2.2860828436290559E-2</v>
      </c>
      <c r="Z37" s="832"/>
      <c r="AA37" s="832"/>
    </row>
    <row r="38" spans="1:27" x14ac:dyDescent="0.2">
      <c r="A38" s="625" t="s">
        <v>473</v>
      </c>
      <c r="B38" s="625"/>
      <c r="C38" s="730" t="s">
        <v>161</v>
      </c>
      <c r="D38" s="690"/>
      <c r="E38" s="731"/>
      <c r="F38" s="732">
        <f>ROUND(D38*B16,0)</f>
        <v>0</v>
      </c>
      <c r="G38" s="733"/>
      <c r="H38" s="729"/>
      <c r="I38" s="625"/>
      <c r="K38" s="621" t="s">
        <v>638</v>
      </c>
      <c r="L38" s="621">
        <v>25462</v>
      </c>
      <c r="M38" s="621">
        <v>25365</v>
      </c>
      <c r="O38" s="621">
        <v>24792</v>
      </c>
      <c r="P38" s="861">
        <f t="shared" si="1"/>
        <v>2.3112294288480051E-2</v>
      </c>
    </row>
    <row r="39" spans="1:27" x14ac:dyDescent="0.2">
      <c r="A39" s="625" t="s">
        <v>474</v>
      </c>
      <c r="B39" s="625"/>
      <c r="C39" s="730" t="s">
        <v>161</v>
      </c>
      <c r="D39" s="690"/>
      <c r="E39" s="731"/>
      <c r="F39" s="734"/>
      <c r="G39" s="732">
        <f>ROUND(D39*B23,0)</f>
        <v>0</v>
      </c>
      <c r="H39" s="735"/>
      <c r="I39" s="625"/>
    </row>
    <row r="40" spans="1:27" x14ac:dyDescent="0.2">
      <c r="A40" s="625" t="s">
        <v>475</v>
      </c>
      <c r="B40" s="625"/>
      <c r="C40" s="730" t="s">
        <v>206</v>
      </c>
      <c r="D40" s="736">
        <f>'Registrering &amp; Resultat'!G25</f>
        <v>0.03</v>
      </c>
      <c r="E40" s="737">
        <f>ROUND(E36*($D$40),0)</f>
        <v>7303</v>
      </c>
      <c r="F40" s="738">
        <f>ROUND(F36*($D$40),0)</f>
        <v>19312</v>
      </c>
      <c r="G40" s="739">
        <f>ROUND(G36*($D$40),0)</f>
        <v>29174</v>
      </c>
      <c r="H40" s="729"/>
      <c r="I40" s="625"/>
      <c r="L40" s="621" t="s">
        <v>659</v>
      </c>
      <c r="O40" s="621" t="s">
        <v>660</v>
      </c>
    </row>
    <row r="41" spans="1:27" x14ac:dyDescent="0.2">
      <c r="A41" s="740"/>
      <c r="B41" s="740"/>
      <c r="C41" s="741"/>
      <c r="D41" s="742"/>
      <c r="E41" s="743">
        <f>SUM(E36:E40)</f>
        <v>250740.14285714284</v>
      </c>
      <c r="F41" s="744">
        <f>SUM(F36:F40)</f>
        <v>663032.25</v>
      </c>
      <c r="G41" s="745">
        <f>SUM(G36:G40)</f>
        <v>1001624.0578571428</v>
      </c>
      <c r="H41" s="729"/>
      <c r="I41" s="625"/>
      <c r="J41" s="621" t="s">
        <v>655</v>
      </c>
      <c r="K41" s="621" t="s">
        <v>656</v>
      </c>
      <c r="L41" s="621">
        <v>255</v>
      </c>
      <c r="O41" s="865">
        <f>+L41*1.32*1.2</f>
        <v>403.92</v>
      </c>
    </row>
    <row r="42" spans="1:27" x14ac:dyDescent="0.2">
      <c r="A42" s="625" t="s">
        <v>207</v>
      </c>
      <c r="B42" s="625"/>
      <c r="C42" s="730" t="s">
        <v>206</v>
      </c>
      <c r="D42" s="736">
        <f>'Registrering &amp; Resultat'!G26</f>
        <v>0.05</v>
      </c>
      <c r="E42" s="746">
        <f>ROUND(E36*$D$42,0)</f>
        <v>12172</v>
      </c>
      <c r="F42" s="732">
        <f>ROUND(F36*$D$42,0)</f>
        <v>32186</v>
      </c>
      <c r="G42" s="747">
        <f>ROUND(G36*$D$42,0)</f>
        <v>48623</v>
      </c>
      <c r="H42" s="729"/>
      <c r="I42" s="625"/>
      <c r="K42" s="621" t="s">
        <v>657</v>
      </c>
      <c r="L42" s="621">
        <v>188</v>
      </c>
      <c r="M42" s="621" t="s">
        <v>658</v>
      </c>
      <c r="O42" s="865">
        <f>+L42*1.32*1.2</f>
        <v>297.79200000000003</v>
      </c>
    </row>
    <row r="43" spans="1:27" ht="15" x14ac:dyDescent="0.25">
      <c r="A43" s="625" t="s">
        <v>205</v>
      </c>
      <c r="B43" s="625"/>
      <c r="C43" s="730" t="s">
        <v>204</v>
      </c>
      <c r="D43" s="748">
        <v>0</v>
      </c>
      <c r="E43" s="749">
        <f>(E36+E40+E42)*($D43/(1-$D$43))</f>
        <v>0</v>
      </c>
      <c r="F43" s="750">
        <f>(F41+F42)*($D43/(1-$D$43))</f>
        <v>0</v>
      </c>
      <c r="G43" s="751">
        <f>(G41+G42)*($D43/(1-$D$43))</f>
        <v>0</v>
      </c>
      <c r="H43" s="752"/>
      <c r="I43" s="625"/>
      <c r="J43" s="617" t="s">
        <v>639</v>
      </c>
    </row>
    <row r="44" spans="1:27" ht="15" x14ac:dyDescent="0.25">
      <c r="A44" s="753" t="s">
        <v>203</v>
      </c>
      <c r="B44" s="753"/>
      <c r="C44" s="753"/>
      <c r="D44" s="754"/>
      <c r="E44" s="755">
        <f ca="1">IF(C3=1,SUM(E41:E43),"")</f>
        <v>262912.14285714284</v>
      </c>
      <c r="F44" s="756">
        <f ca="1">IF(C3=1,SUM(F41:F43),"")</f>
        <v>695218.25</v>
      </c>
      <c r="G44" s="757">
        <f ca="1">IF(C3=1,SUM(G41:G43),"")</f>
        <v>1050247.0578571428</v>
      </c>
      <c r="H44" s="758">
        <f ca="1">IF(C3=1,SUM(E44:G44),"")</f>
        <v>2008377.4507142855</v>
      </c>
      <c r="I44" s="625"/>
    </row>
    <row r="45" spans="1:27" ht="18.75" x14ac:dyDescent="0.3">
      <c r="A45" s="725" t="s">
        <v>202</v>
      </c>
      <c r="B45" s="625"/>
      <c r="C45" s="625"/>
      <c r="D45" s="625"/>
      <c r="E45" s="759"/>
      <c r="F45" s="760"/>
      <c r="G45" s="761"/>
      <c r="H45" s="762"/>
      <c r="I45" s="625"/>
    </row>
    <row r="46" spans="1:27" ht="15" x14ac:dyDescent="0.25">
      <c r="A46" s="625" t="s">
        <v>201</v>
      </c>
      <c r="B46" s="625"/>
      <c r="C46" s="625"/>
      <c r="D46" s="625"/>
      <c r="E46" s="763">
        <f>+B23</f>
        <v>2500</v>
      </c>
      <c r="F46" s="764">
        <f>+B16</f>
        <v>5000</v>
      </c>
      <c r="G46" s="765">
        <f>+B23</f>
        <v>2500</v>
      </c>
      <c r="H46" s="766"/>
      <c r="I46" s="625"/>
    </row>
    <row r="47" spans="1:27" x14ac:dyDescent="0.2">
      <c r="A47" s="740" t="s">
        <v>200</v>
      </c>
      <c r="B47" s="740"/>
      <c r="C47" s="740"/>
      <c r="D47" s="740"/>
      <c r="E47" s="767">
        <f ca="1">IF(E46=0,0,ROUNDUP(E44/E46,2))</f>
        <v>105.17</v>
      </c>
      <c r="F47" s="768">
        <f ca="1">IF(F46=0,0,ROUNDUP(F44/F46,2))</f>
        <v>139.04999999999998</v>
      </c>
      <c r="G47" s="769">
        <f ca="1">IF(G46=0,0,ROUNDUP(G44/G46,2))</f>
        <v>420.09999999999997</v>
      </c>
      <c r="H47" s="770">
        <f>IF(H46=0,0,ROUND(H44/H46,2))</f>
        <v>0</v>
      </c>
      <c r="I47" s="625"/>
    </row>
    <row r="48" spans="1:27" x14ac:dyDescent="0.2">
      <c r="A48" s="625"/>
      <c r="B48" s="625"/>
      <c r="C48" s="625"/>
      <c r="D48" s="625"/>
      <c r="E48" s="625"/>
      <c r="F48" s="625"/>
      <c r="G48" s="625"/>
      <c r="H48" s="625"/>
      <c r="I48" s="625"/>
    </row>
    <row r="49" spans="1:9" x14ac:dyDescent="0.2">
      <c r="E49" s="826" t="s">
        <v>569</v>
      </c>
      <c r="F49" s="826" t="s">
        <v>599</v>
      </c>
      <c r="G49" s="827" t="s">
        <v>600</v>
      </c>
      <c r="H49" s="625"/>
      <c r="I49" s="625"/>
    </row>
    <row r="50" spans="1:9" x14ac:dyDescent="0.2">
      <c r="A50" s="621" t="s">
        <v>601</v>
      </c>
      <c r="D50" s="621">
        <f>Lastbil!F9</f>
        <v>250</v>
      </c>
      <c r="E50" s="828">
        <f ca="1">+E$44/$D50</f>
        <v>1051.6485714285714</v>
      </c>
      <c r="F50" s="828">
        <f t="shared" ref="F50:H52" ca="1" si="2">+F$44/$D50</f>
        <v>2780.873</v>
      </c>
      <c r="G50" s="828">
        <f t="shared" ca="1" si="2"/>
        <v>4200.9882314285715</v>
      </c>
      <c r="H50" s="828">
        <f t="shared" ca="1" si="2"/>
        <v>8033.5098028571419</v>
      </c>
      <c r="I50" s="625"/>
    </row>
    <row r="51" spans="1:9" x14ac:dyDescent="0.2">
      <c r="A51" s="621" t="s">
        <v>602</v>
      </c>
      <c r="D51" s="621">
        <v>50</v>
      </c>
      <c r="E51" s="828">
        <f t="shared" ref="E51:E52" ca="1" si="3">+E$44/$D51</f>
        <v>5258.2428571428572</v>
      </c>
      <c r="F51" s="828">
        <f t="shared" ca="1" si="2"/>
        <v>13904.365</v>
      </c>
      <c r="G51" s="828">
        <f t="shared" ca="1" si="2"/>
        <v>21004.941157142854</v>
      </c>
      <c r="H51" s="828">
        <f t="shared" ca="1" si="2"/>
        <v>40167.549014285709</v>
      </c>
      <c r="I51" s="625"/>
    </row>
    <row r="52" spans="1:9" x14ac:dyDescent="0.2">
      <c r="A52" s="621" t="s">
        <v>603</v>
      </c>
      <c r="D52" s="621">
        <v>12</v>
      </c>
      <c r="E52" s="828">
        <f t="shared" ca="1" si="3"/>
        <v>21909.345238095237</v>
      </c>
      <c r="F52" s="828">
        <f t="shared" ca="1" si="2"/>
        <v>57934.854166666664</v>
      </c>
      <c r="G52" s="828">
        <f t="shared" ca="1" si="2"/>
        <v>87520.588154761892</v>
      </c>
      <c r="H52" s="828">
        <f t="shared" ca="1" si="2"/>
        <v>167364.7875595238</v>
      </c>
      <c r="I52" s="625"/>
    </row>
    <row r="53" spans="1:9" x14ac:dyDescent="0.2">
      <c r="A53" s="621" t="s">
        <v>739</v>
      </c>
      <c r="E53" s="937">
        <f ca="1">+E52/$H$52</f>
        <v>0.13090773488003329</v>
      </c>
      <c r="F53" s="937">
        <f ca="1">+F52/$H$52</f>
        <v>0.34615915935161662</v>
      </c>
      <c r="G53" s="937">
        <f ca="1">+G52/$H$52</f>
        <v>0.52293310576835006</v>
      </c>
      <c r="H53" s="625"/>
      <c r="I53" s="625"/>
    </row>
    <row r="54" spans="1:9" x14ac:dyDescent="0.2">
      <c r="A54" s="771"/>
      <c r="B54" s="772"/>
      <c r="C54" s="773"/>
      <c r="D54" s="771"/>
      <c r="H54" s="625"/>
      <c r="I54" s="625"/>
    </row>
    <row r="55" spans="1:9" x14ac:dyDescent="0.2">
      <c r="A55" s="1017"/>
      <c r="B55" s="1017"/>
      <c r="C55" s="774"/>
      <c r="D55" s="625"/>
      <c r="G55" s="625"/>
      <c r="H55" s="625"/>
      <c r="I55" s="625"/>
    </row>
    <row r="56" spans="1:9" x14ac:dyDescent="0.2">
      <c r="A56" s="625" t="s">
        <v>740</v>
      </c>
      <c r="C56" s="774"/>
      <c r="D56" s="625"/>
      <c r="E56" s="775" t="s">
        <v>741</v>
      </c>
      <c r="F56" s="775" t="s">
        <v>58</v>
      </c>
      <c r="G56" s="625" t="s">
        <v>210</v>
      </c>
      <c r="H56" s="625"/>
      <c r="I56" s="625"/>
    </row>
    <row r="57" spans="1:9" x14ac:dyDescent="0.2">
      <c r="A57" s="625"/>
      <c r="C57" s="774"/>
      <c r="D57" s="625" t="s">
        <v>742</v>
      </c>
      <c r="E57" s="936">
        <f>+H29</f>
        <v>972450.05785714276</v>
      </c>
      <c r="F57" s="936">
        <f>IF(H6=1,SUM(Lastbil!K21*(Sammandrag!B16+Sammandrag!B17)+Sammandrag!B18*0.7*Lastbil!BH26),SUM(Lastbil!K21*(Sammandrag!B16+Sammandrag!B17)+Sammandrag!B18*0.7*Lastbil!BH26+Släp!BH27*0.7*Sammandrag!B21))</f>
        <v>460404</v>
      </c>
      <c r="G57" s="828">
        <f>+H36-F57-E57</f>
        <v>426753.39285714272</v>
      </c>
      <c r="H57" s="938">
        <f>SUM(E57:G57)</f>
        <v>1859607.4507142855</v>
      </c>
      <c r="I57" s="625"/>
    </row>
    <row r="58" spans="1:9" x14ac:dyDescent="0.2">
      <c r="A58" s="625"/>
      <c r="B58" s="625"/>
      <c r="C58" s="774"/>
      <c r="D58" s="625"/>
      <c r="E58" s="937">
        <f>+E57/$H$36</f>
        <v>0.52293297571141661</v>
      </c>
      <c r="F58" s="937">
        <f t="shared" ref="F58:G58" si="4">+F57/$H$36</f>
        <v>0.24758128379360725</v>
      </c>
      <c r="G58" s="937">
        <f t="shared" si="4"/>
        <v>0.22948574049497619</v>
      </c>
      <c r="I58" s="625"/>
    </row>
    <row r="59" spans="1:9" x14ac:dyDescent="0.2">
      <c r="A59" s="776"/>
      <c r="B59" s="776"/>
      <c r="C59" s="774"/>
      <c r="D59" s="625" t="s">
        <v>743</v>
      </c>
      <c r="I59" s="625"/>
    </row>
    <row r="60" spans="1:9" x14ac:dyDescent="0.2">
      <c r="A60" s="625"/>
      <c r="B60" s="625"/>
      <c r="C60" s="774"/>
      <c r="D60" s="625" t="s">
        <v>744</v>
      </c>
      <c r="F60" s="940">
        <f>+Lastbil!K21*(B16+B17)+Lastbil!BH26*Sammandrag!B18*0.7</f>
        <v>460404</v>
      </c>
    </row>
    <row r="61" spans="1:9" x14ac:dyDescent="0.2">
      <c r="A61" s="625"/>
      <c r="B61" s="625"/>
      <c r="C61" s="774"/>
      <c r="D61" s="625" t="s">
        <v>745</v>
      </c>
      <c r="F61" s="939">
        <f>+Släp!BH27*Sammandrag!B18*0.7</f>
        <v>0</v>
      </c>
    </row>
    <row r="64" spans="1:9" x14ac:dyDescent="0.2">
      <c r="A64" s="625"/>
      <c r="B64" s="625"/>
      <c r="C64" s="625"/>
      <c r="D64" s="625"/>
    </row>
    <row r="65" spans="1:3" x14ac:dyDescent="0.2">
      <c r="A65" s="625"/>
      <c r="C65" s="774"/>
    </row>
  </sheetData>
  <mergeCells count="2">
    <mergeCell ref="A55:B55"/>
    <mergeCell ref="F6:G6"/>
  </mergeCells>
  <phoneticPr fontId="68" type="noConversion"/>
  <conditionalFormatting sqref="D43">
    <cfRule type="cellIs" priority="1" stopIfTrue="1" operator="between">
      <formula>0</formula>
      <formula>1</formula>
    </cfRule>
  </conditionalFormatting>
  <hyperlinks>
    <hyperlink ref="J43" r:id="rId1" xr:uid="{345498D1-7303-4C95-8D8C-15260949496A}"/>
  </hyperlinks>
  <pageMargins left="0.75" right="0.75" top="0.67" bottom="1" header="0.5" footer="0.5"/>
  <pageSetup paperSize="9" scale="72" orientation="landscape" r:id="rId2"/>
  <headerFooter alignWithMargins="0">
    <oddFooter>&amp;L&amp;F&amp;R&amp;D</oddFooter>
  </headerFooter>
  <ignoredErrors>
    <ignoredError sqref="H6 B23:B27" unlockedFormula="1"/>
  </ignoredError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653E0-71D9-4886-ADE1-101AC3843A63}">
  <sheetPr>
    <tabColor rgb="FF993366"/>
  </sheetPr>
  <dimension ref="A1:AP62"/>
  <sheetViews>
    <sheetView showZeros="0" zoomScale="85" zoomScaleNormal="85" workbookViewId="0">
      <selection activeCell="E21" sqref="E21"/>
    </sheetView>
  </sheetViews>
  <sheetFormatPr defaultRowHeight="15" outlineLevelRow="1" x14ac:dyDescent="0.25"/>
  <cols>
    <col min="1" max="1" width="3.28515625" customWidth="1"/>
    <col min="2" max="2" width="1.42578125" customWidth="1"/>
    <col min="3" max="3" width="19.140625" customWidth="1"/>
    <col min="4" max="4" width="20.7109375" customWidth="1"/>
    <col min="5" max="5" width="19.7109375" customWidth="1"/>
    <col min="6" max="6" width="23" customWidth="1"/>
    <col min="7" max="7" width="9.42578125" customWidth="1"/>
    <col min="8" max="8" width="8.5703125" customWidth="1"/>
    <col min="11" max="11" width="11.42578125" customWidth="1"/>
    <col min="13" max="14" width="7.7109375" customWidth="1"/>
    <col min="15" max="15" width="9.28515625" customWidth="1"/>
    <col min="16" max="16" width="11.42578125" customWidth="1"/>
    <col min="17" max="19" width="9.28515625" customWidth="1"/>
    <col min="20" max="20" width="10.140625" customWidth="1"/>
    <col min="21" max="21" width="25.140625" customWidth="1"/>
    <col min="22" max="22" width="3.28515625" customWidth="1"/>
    <col min="36" max="36" width="9.140625" customWidth="1"/>
    <col min="37" max="40" width="9.140625" hidden="1" customWidth="1"/>
    <col min="41" max="41" width="12" hidden="1" customWidth="1"/>
    <col min="42" max="42" width="10.7109375" hidden="1" customWidth="1"/>
  </cols>
  <sheetData>
    <row r="1" spans="1:42" ht="78.75" customHeight="1" x14ac:dyDescent="0.25">
      <c r="A1" s="533"/>
      <c r="B1" s="533"/>
      <c r="C1" s="533"/>
      <c r="D1" s="533"/>
      <c r="E1" s="533"/>
      <c r="F1" s="533"/>
      <c r="G1" s="533"/>
      <c r="H1" s="533"/>
      <c r="I1" s="533"/>
      <c r="J1" s="533"/>
      <c r="K1" s="533"/>
      <c r="L1" s="533"/>
      <c r="M1" s="533"/>
      <c r="N1" s="533"/>
      <c r="O1" s="533"/>
      <c r="P1" s="533"/>
      <c r="Q1" s="533"/>
      <c r="R1" s="533"/>
      <c r="S1" s="533"/>
      <c r="T1" s="533"/>
      <c r="U1" s="533"/>
    </row>
    <row r="5" spans="1:42" x14ac:dyDescent="0.25">
      <c r="AK5" s="875" t="s">
        <v>713</v>
      </c>
      <c r="AL5" s="876" t="s">
        <v>712</v>
      </c>
      <c r="AM5" s="874" t="str">
        <f>CONCATENATE(D17,":",E17)</f>
        <v>16:30</v>
      </c>
      <c r="AN5" s="868">
        <v>1.0416666666666666E-2</v>
      </c>
      <c r="AO5" s="869" t="s">
        <v>41</v>
      </c>
      <c r="AP5" s="912">
        <f ca="1">TODAY()</f>
        <v>44838</v>
      </c>
    </row>
    <row r="6" spans="1:42" ht="18.75" x14ac:dyDescent="0.3">
      <c r="C6" t="s">
        <v>692</v>
      </c>
      <c r="D6" s="1019" t="s">
        <v>736</v>
      </c>
      <c r="E6" s="1020"/>
      <c r="AK6" s="875" t="s">
        <v>714</v>
      </c>
      <c r="AL6">
        <v>10</v>
      </c>
      <c r="AM6" s="874"/>
      <c r="AN6" s="868">
        <v>2.0833333333333332E-2</v>
      </c>
      <c r="AO6" s="870" t="s">
        <v>680</v>
      </c>
      <c r="AP6" s="912">
        <v>44926</v>
      </c>
    </row>
    <row r="7" spans="1:42" x14ac:dyDescent="0.25">
      <c r="AK7" s="875" t="s">
        <v>715</v>
      </c>
      <c r="AL7">
        <v>15</v>
      </c>
      <c r="AM7" s="874"/>
      <c r="AN7" s="868">
        <v>3.125E-2</v>
      </c>
    </row>
    <row r="8" spans="1:42" x14ac:dyDescent="0.25">
      <c r="C8" t="s">
        <v>662</v>
      </c>
      <c r="D8" s="924" t="s">
        <v>735</v>
      </c>
      <c r="P8" s="866"/>
      <c r="Q8" s="866"/>
      <c r="R8" s="866"/>
      <c r="S8" s="866"/>
      <c r="AK8" s="875" t="s">
        <v>716</v>
      </c>
      <c r="AL8">
        <v>20</v>
      </c>
      <c r="AM8" s="874"/>
      <c r="AN8" s="868">
        <v>4.1666666666666699E-2</v>
      </c>
    </row>
    <row r="9" spans="1:42" x14ac:dyDescent="0.25">
      <c r="C9" t="s">
        <v>663</v>
      </c>
      <c r="D9" s="925">
        <v>400</v>
      </c>
      <c r="E9" t="s">
        <v>693</v>
      </c>
      <c r="AK9" s="875" t="s">
        <v>717</v>
      </c>
      <c r="AL9">
        <v>25</v>
      </c>
      <c r="AM9" s="874"/>
      <c r="AN9" s="868">
        <v>5.2083333333333398E-2</v>
      </c>
    </row>
    <row r="10" spans="1:42" x14ac:dyDescent="0.25">
      <c r="C10" t="s">
        <v>724</v>
      </c>
      <c r="D10" s="925">
        <v>100</v>
      </c>
      <c r="E10" t="s">
        <v>664</v>
      </c>
      <c r="AK10" s="875" t="s">
        <v>712</v>
      </c>
      <c r="AL10">
        <v>30</v>
      </c>
      <c r="AM10" s="874"/>
      <c r="AN10" s="868">
        <v>6.25E-2</v>
      </c>
    </row>
    <row r="11" spans="1:42" x14ac:dyDescent="0.25">
      <c r="C11" t="s">
        <v>723</v>
      </c>
      <c r="D11" s="926">
        <v>1.3</v>
      </c>
      <c r="E11" t="s">
        <v>693</v>
      </c>
      <c r="AK11" s="875" t="s">
        <v>718</v>
      </c>
      <c r="AL11">
        <v>35</v>
      </c>
      <c r="AM11" s="874"/>
      <c r="AN11" s="868">
        <v>7.2916666666666699E-2</v>
      </c>
    </row>
    <row r="12" spans="1:42" x14ac:dyDescent="0.25">
      <c r="B12" s="778"/>
      <c r="C12" t="s">
        <v>725</v>
      </c>
      <c r="D12" s="919">
        <f>+D11*1.1</f>
        <v>1.4300000000000002</v>
      </c>
      <c r="E12" t="s">
        <v>693</v>
      </c>
      <c r="H12" s="867">
        <v>1.3</v>
      </c>
      <c r="AK12" s="875" t="s">
        <v>719</v>
      </c>
      <c r="AL12">
        <v>40</v>
      </c>
      <c r="AM12" s="874"/>
      <c r="AN12" s="868">
        <v>8.3333333333333398E-2</v>
      </c>
    </row>
    <row r="13" spans="1:42" x14ac:dyDescent="0.25">
      <c r="C13" t="s">
        <v>726</v>
      </c>
      <c r="D13" s="920">
        <f>+D11/1.05</f>
        <v>1.2380952380952381</v>
      </c>
      <c r="E13" t="s">
        <v>693</v>
      </c>
      <c r="H13" s="867">
        <v>1.3</v>
      </c>
      <c r="AK13" s="875" t="s">
        <v>720</v>
      </c>
      <c r="AL13">
        <v>45</v>
      </c>
      <c r="AM13" s="874"/>
      <c r="AN13" s="868">
        <v>9.375E-2</v>
      </c>
    </row>
    <row r="14" spans="1:42" x14ac:dyDescent="0.25">
      <c r="C14" t="s">
        <v>665</v>
      </c>
      <c r="D14" s="921">
        <f>+I42</f>
        <v>454</v>
      </c>
      <c r="E14" t="s">
        <v>666</v>
      </c>
      <c r="H14" s="867">
        <f>160/30</f>
        <v>5.333333333333333</v>
      </c>
      <c r="AK14" s="875" t="s">
        <v>721</v>
      </c>
      <c r="AL14">
        <v>50</v>
      </c>
      <c r="AM14" s="874"/>
      <c r="AN14" s="868">
        <v>0.104166666666667</v>
      </c>
    </row>
    <row r="15" spans="1:42" x14ac:dyDescent="0.25">
      <c r="C15" t="s">
        <v>667</v>
      </c>
      <c r="D15" s="922">
        <f ca="1">MIN(Table1456[SOC_start])</f>
        <v>0.1686035714285713</v>
      </c>
      <c r="F15" s="867"/>
      <c r="AK15">
        <v>10</v>
      </c>
      <c r="AL15">
        <v>55</v>
      </c>
      <c r="AM15" s="874"/>
      <c r="AN15" s="868">
        <v>0.11458333333333399</v>
      </c>
    </row>
    <row r="16" spans="1:42" x14ac:dyDescent="0.25">
      <c r="D16" s="878" t="s">
        <v>722</v>
      </c>
      <c r="E16" s="878" t="s">
        <v>678</v>
      </c>
      <c r="W16" s="871" t="s">
        <v>694</v>
      </c>
      <c r="X16" s="872"/>
      <c r="Y16" s="872"/>
      <c r="Z16" s="872"/>
      <c r="AA16" s="872"/>
      <c r="AB16" s="872"/>
      <c r="AC16" s="872"/>
      <c r="AD16" s="872"/>
      <c r="AE16" s="872"/>
      <c r="AF16" s="872"/>
      <c r="AG16" s="872"/>
      <c r="AH16" s="873"/>
      <c r="AK16">
        <v>11</v>
      </c>
      <c r="AL16">
        <v>60</v>
      </c>
      <c r="AM16" s="874"/>
      <c r="AN16" s="868">
        <v>0.125</v>
      </c>
    </row>
    <row r="17" spans="2:40" x14ac:dyDescent="0.25">
      <c r="C17" t="s">
        <v>711</v>
      </c>
      <c r="D17" s="923">
        <v>16</v>
      </c>
      <c r="E17" s="923">
        <v>30</v>
      </c>
      <c r="W17" s="929"/>
      <c r="X17" s="148"/>
      <c r="Y17" s="148"/>
      <c r="Z17" s="148"/>
      <c r="AA17" s="148"/>
      <c r="AB17" s="148"/>
      <c r="AC17" s="148"/>
      <c r="AD17" s="148"/>
      <c r="AE17" s="148"/>
      <c r="AF17" s="148"/>
      <c r="AG17" s="148"/>
      <c r="AH17" s="930"/>
      <c r="AK17">
        <v>12</v>
      </c>
      <c r="AM17" s="874"/>
      <c r="AN17" s="868">
        <v>0.13541666666666699</v>
      </c>
    </row>
    <row r="18" spans="2:40" x14ac:dyDescent="0.25">
      <c r="W18" s="929"/>
      <c r="X18" s="148"/>
      <c r="Y18" s="148"/>
      <c r="Z18" s="148"/>
      <c r="AA18" s="148"/>
      <c r="AB18" s="148"/>
      <c r="AC18" s="148"/>
      <c r="AD18" s="148"/>
      <c r="AE18" s="148"/>
      <c r="AF18" s="148"/>
      <c r="AG18" s="148"/>
      <c r="AH18" s="930"/>
      <c r="AK18">
        <v>13</v>
      </c>
      <c r="AN18" s="868">
        <v>0.14583333333333401</v>
      </c>
    </row>
    <row r="19" spans="2:40" ht="30" customHeight="1" x14ac:dyDescent="0.25">
      <c r="B19" s="603"/>
      <c r="C19" s="885" t="s">
        <v>669</v>
      </c>
      <c r="D19" s="884" t="s">
        <v>670</v>
      </c>
      <c r="E19" s="884" t="s">
        <v>671</v>
      </c>
      <c r="F19" s="884" t="s">
        <v>672</v>
      </c>
      <c r="G19" s="884" t="s">
        <v>673</v>
      </c>
      <c r="H19" s="884" t="s">
        <v>731</v>
      </c>
      <c r="I19" s="884" t="s">
        <v>674</v>
      </c>
      <c r="J19" s="884" t="s">
        <v>695</v>
      </c>
      <c r="K19" s="884" t="s">
        <v>696</v>
      </c>
      <c r="L19" s="884" t="s">
        <v>732</v>
      </c>
      <c r="M19" s="884" t="s">
        <v>668</v>
      </c>
      <c r="N19" s="884" t="s">
        <v>675</v>
      </c>
      <c r="O19" s="884" t="s">
        <v>676</v>
      </c>
      <c r="P19" s="884" t="s">
        <v>730</v>
      </c>
      <c r="Q19" s="884" t="s">
        <v>729</v>
      </c>
      <c r="R19" s="884" t="s">
        <v>728</v>
      </c>
      <c r="S19" s="884" t="s">
        <v>677</v>
      </c>
      <c r="T19" s="884" t="s">
        <v>678</v>
      </c>
      <c r="U19" s="886" t="s">
        <v>679</v>
      </c>
      <c r="V19" s="603"/>
      <c r="W19" s="929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  <c r="AH19" s="930"/>
      <c r="AK19">
        <v>14</v>
      </c>
      <c r="AN19" s="868">
        <v>0.15625</v>
      </c>
    </row>
    <row r="20" spans="2:40" x14ac:dyDescent="0.25">
      <c r="C20" s="879"/>
      <c r="D20" s="879"/>
      <c r="E20" s="881"/>
      <c r="F20" s="879"/>
      <c r="G20" s="879"/>
      <c r="H20" s="879"/>
      <c r="I20" s="879"/>
      <c r="J20" s="879"/>
      <c r="K20" s="882"/>
      <c r="L20" s="882"/>
      <c r="M20" s="879"/>
      <c r="N20" s="883"/>
      <c r="O20" s="883"/>
      <c r="P20" s="887"/>
      <c r="Q20" s="888">
        <f ca="1">IF(AP6&lt;AP5,"Update",D9)</f>
        <v>400</v>
      </c>
      <c r="R20" s="889">
        <f ca="1">IFERROR(SUM(Table1456[[#This Row],[Batterikapacitet, kvar]]/$D$9),"")</f>
        <v>1</v>
      </c>
      <c r="S20" s="881"/>
      <c r="T20" s="881"/>
      <c r="U20" s="881"/>
      <c r="W20" s="929"/>
      <c r="X20" s="148"/>
      <c r="Y20" s="148"/>
      <c r="Z20" s="148" t="s">
        <v>698</v>
      </c>
      <c r="AA20" s="148"/>
      <c r="AB20" s="148"/>
      <c r="AC20" s="148"/>
      <c r="AD20" s="148"/>
      <c r="AE20" s="148"/>
      <c r="AF20" s="148"/>
      <c r="AG20" s="148"/>
      <c r="AH20" s="930"/>
      <c r="AK20">
        <v>15</v>
      </c>
      <c r="AN20" s="868">
        <v>0.16666666666666699</v>
      </c>
    </row>
    <row r="21" spans="2:40" x14ac:dyDescent="0.25">
      <c r="C21" s="148" t="s">
        <v>697</v>
      </c>
      <c r="D21" s="148" t="s">
        <v>683</v>
      </c>
      <c r="E21" s="905" t="s">
        <v>701</v>
      </c>
      <c r="F21" s="148" t="s">
        <v>700</v>
      </c>
      <c r="G21" s="913" t="str">
        <f>AM5</f>
        <v>16:30</v>
      </c>
      <c r="H21" s="913">
        <f>IF(Table1456[[#This Row],[Aktivitet]]="Trp",+Table1456[[#This Row],[Avg Tid]]+Table1456[[#This Row],[Körtid]],Table1456[[#This Row],[Avg Tid]]+Table1456[[#This Row],[Stopptid]])</f>
        <v>0.75</v>
      </c>
      <c r="I21" s="148">
        <v>110</v>
      </c>
      <c r="J21" s="906">
        <v>6.25E-2</v>
      </c>
      <c r="K21" s="907"/>
      <c r="L21" s="907">
        <f>+Table1456[[#This Row],[Ank Tid]]+Table1456[[#This Row],[Stopptid]]</f>
        <v>0.75</v>
      </c>
      <c r="M21" s="148" t="s">
        <v>680</v>
      </c>
      <c r="N21" s="908">
        <v>0</v>
      </c>
      <c r="O21" s="915">
        <f>IF(Table1456[[#This Row],[Lastad]]="Ja",$D$12,IF(Table1456[[#This Row],[Lastad]]="Nej",$D$13,0))</f>
        <v>1.2380952380952381</v>
      </c>
      <c r="P21" s="916">
        <f>IF(C21="Laddning",$D$10*(-T21),O21*I21)*-1</f>
        <v>-136.1904761904762</v>
      </c>
      <c r="Q21" s="916">
        <f ca="1">IFERROR(IF(SUM(Q20+P21)&gt;$D$9,$D$9,SUM(Q20+P21)),"")</f>
        <v>263.8095238095238</v>
      </c>
      <c r="R21" s="917">
        <f ca="1">IFERROR(SUM(Table1456[[#This Row],[Batterikapacitet, kvar]]/$D$9),"")</f>
        <v>0.65952380952380951</v>
      </c>
      <c r="S21" s="918">
        <f>+L21-G21</f>
        <v>6.25E-2</v>
      </c>
      <c r="T21" s="915">
        <f>+Table1456[[#This Row],[Tid]]*24</f>
        <v>1.5</v>
      </c>
      <c r="U21" s="909" t="s">
        <v>727</v>
      </c>
      <c r="W21" s="929"/>
      <c r="X21" s="148"/>
      <c r="Y21" s="148"/>
      <c r="Z21" s="148" t="s">
        <v>699</v>
      </c>
      <c r="AA21" s="148"/>
      <c r="AB21" s="148"/>
      <c r="AC21" s="148"/>
      <c r="AD21" s="148"/>
      <c r="AE21" s="148"/>
      <c r="AF21" s="148"/>
      <c r="AG21" s="148"/>
      <c r="AH21" s="930"/>
      <c r="AK21">
        <v>16</v>
      </c>
      <c r="AN21" s="868">
        <v>0.17708333333333401</v>
      </c>
    </row>
    <row r="22" spans="2:40" x14ac:dyDescent="0.25">
      <c r="C22" s="148" t="s">
        <v>682</v>
      </c>
      <c r="D22" s="148"/>
      <c r="E22" s="905"/>
      <c r="F22" s="148"/>
      <c r="G22" s="914">
        <f>+L21</f>
        <v>0.75</v>
      </c>
      <c r="H22" s="913">
        <f>IF(Table1456[[#This Row],[Aktivitet]]="Trp",+Table1456[[#This Row],[Avg Tid]]+Table1456[[#This Row],[Körtid]],Table1456[[#This Row],[Avg Tid]])</f>
        <v>0.75</v>
      </c>
      <c r="I22" s="148"/>
      <c r="J22" s="906"/>
      <c r="K22" s="907">
        <v>3.125E-2</v>
      </c>
      <c r="L22" s="907">
        <f>+Table1456[[#This Row],[Ank Tid]]+Table1456[[#This Row],[Stopptid]]</f>
        <v>0.78125</v>
      </c>
      <c r="M22" s="148"/>
      <c r="N22" s="908"/>
      <c r="O22" s="915">
        <f>IF(Table1456[[#This Row],[Lastad]]="Ja",$D$12,IF(Table1456[[#This Row],[Lastad]]="Nej",$D$13,0))</f>
        <v>0</v>
      </c>
      <c r="P22" s="916">
        <f t="shared" ref="P22:P31" si="0">IF(C22="Laddning",$D$10*(-T22),O22*I22)*-1</f>
        <v>75</v>
      </c>
      <c r="Q22" s="916">
        <f t="shared" ref="Q22:Q38" ca="1" si="1">IFERROR(IF(SUM(Q21+P22)&gt;$D$9,$D$9,SUM(Q21+P22)),"")</f>
        <v>338.8095238095238</v>
      </c>
      <c r="R22" s="917">
        <f ca="1">IFERROR(SUM(Table1456[[#This Row],[Batterikapacitet, kvar]]/$D$9),"")</f>
        <v>0.84702380952380951</v>
      </c>
      <c r="S22" s="918">
        <f>+L22-G22</f>
        <v>3.125E-2</v>
      </c>
      <c r="T22" s="915">
        <f>+Table1456[[#This Row],[Tid]]*24</f>
        <v>0.75</v>
      </c>
      <c r="U22" s="910"/>
      <c r="W22" s="929"/>
      <c r="X22" s="148"/>
      <c r="Y22" s="148"/>
      <c r="Z22" s="148" t="s">
        <v>701</v>
      </c>
      <c r="AA22" s="148"/>
      <c r="AB22" s="148"/>
      <c r="AC22" s="148"/>
      <c r="AD22" s="148"/>
      <c r="AE22" s="148"/>
      <c r="AF22" s="148"/>
      <c r="AG22" s="148"/>
      <c r="AH22" s="930"/>
      <c r="AK22">
        <v>17</v>
      </c>
    </row>
    <row r="23" spans="2:40" x14ac:dyDescent="0.25">
      <c r="C23" s="148" t="s">
        <v>697</v>
      </c>
      <c r="D23" s="148" t="s">
        <v>700</v>
      </c>
      <c r="E23" s="905" t="s">
        <v>701</v>
      </c>
      <c r="F23" s="148" t="s">
        <v>681</v>
      </c>
      <c r="G23" s="914">
        <f t="shared" ref="G23:G31" si="2">+H22+K22</f>
        <v>0.78125</v>
      </c>
      <c r="H23" s="913">
        <f>IF(Table1456[[#This Row],[Aktivitet]]="Trp",+Table1456[[#This Row],[Avg Tid]]+Table1456[[#This Row],[Körtid]],Table1456[[#This Row],[Avg Tid]])</f>
        <v>0.83333333333333337</v>
      </c>
      <c r="I23" s="148">
        <v>105</v>
      </c>
      <c r="J23" s="906">
        <v>5.2083333333333398E-2</v>
      </c>
      <c r="K23" s="907"/>
      <c r="L23" s="907">
        <f>+Table1456[[#This Row],[Ank Tid]]+Table1456[[#This Row],[Stopptid]]</f>
        <v>0.83333333333333337</v>
      </c>
      <c r="M23" s="148" t="s">
        <v>41</v>
      </c>
      <c r="N23" s="908">
        <v>1</v>
      </c>
      <c r="O23" s="915">
        <f>IF(Table1456[[#This Row],[Lastad]]="Ja",$D$12,IF(Table1456[[#This Row],[Lastad]]="Nej",$D$13,0))</f>
        <v>1.4300000000000002</v>
      </c>
      <c r="P23" s="916">
        <f t="shared" si="0"/>
        <v>-150.15</v>
      </c>
      <c r="Q23" s="916">
        <f t="shared" ca="1" si="1"/>
        <v>188.65952380952379</v>
      </c>
      <c r="R23" s="917">
        <f ca="1">IFERROR(SUM(Table1456[[#This Row],[Batterikapacitet, kvar]]/$D$9),"")</f>
        <v>0.4716488095238095</v>
      </c>
      <c r="S23" s="918">
        <f>+L23-G23</f>
        <v>5.208333333333337E-2</v>
      </c>
      <c r="T23" s="915">
        <f>+Table1456[[#This Row],[Tid]]*24</f>
        <v>1.2500000000000009</v>
      </c>
      <c r="U23" s="909" t="s">
        <v>702</v>
      </c>
      <c r="W23" s="929"/>
      <c r="X23" s="148"/>
      <c r="Y23" s="148"/>
      <c r="Z23" s="148" t="s">
        <v>703</v>
      </c>
      <c r="AA23" s="148"/>
      <c r="AB23" s="148"/>
      <c r="AC23" s="148"/>
      <c r="AD23" s="148"/>
      <c r="AE23" s="148"/>
      <c r="AF23" s="148"/>
      <c r="AG23" s="148"/>
      <c r="AH23" s="930"/>
      <c r="AK23">
        <v>18</v>
      </c>
    </row>
    <row r="24" spans="2:40" x14ac:dyDescent="0.25">
      <c r="C24" s="148" t="s">
        <v>682</v>
      </c>
      <c r="D24" s="148"/>
      <c r="E24" s="905"/>
      <c r="F24" s="148"/>
      <c r="G24" s="914">
        <f t="shared" si="2"/>
        <v>0.83333333333333337</v>
      </c>
      <c r="H24" s="913">
        <f>IF(Table1456[[#This Row],[Aktivitet]]="Trp",+Table1456[[#This Row],[Avg Tid]]+Table1456[[#This Row],[Körtid]],Table1456[[#This Row],[Avg Tid]])</f>
        <v>0.83333333333333337</v>
      </c>
      <c r="I24" s="148"/>
      <c r="J24" s="906"/>
      <c r="K24" s="907">
        <v>0.125</v>
      </c>
      <c r="L24" s="907">
        <f>+Table1456[[#This Row],[Ank Tid]]+Table1456[[#This Row],[Stopptid]]</f>
        <v>0.95833333333333337</v>
      </c>
      <c r="M24" s="148"/>
      <c r="N24" s="908"/>
      <c r="O24" s="915">
        <f>IF(Table1456[[#This Row],[Lastad]]="Ja",$D$12,IF(Table1456[[#This Row],[Lastad]]="Nej",$D$13,0))</f>
        <v>0</v>
      </c>
      <c r="P24" s="916">
        <f t="shared" si="0"/>
        <v>300</v>
      </c>
      <c r="Q24" s="916">
        <f t="shared" ca="1" si="1"/>
        <v>400</v>
      </c>
      <c r="R24" s="917">
        <f ca="1">IFERROR(SUM(Table1456[[#This Row],[Batterikapacitet, kvar]]/$D$9),"")</f>
        <v>1</v>
      </c>
      <c r="S24" s="918">
        <f t="shared" ref="S24:S31" si="3">+L24-G24</f>
        <v>0.125</v>
      </c>
      <c r="T24" s="915">
        <f>+Table1456[[#This Row],[Tid]]*24</f>
        <v>3</v>
      </c>
      <c r="U24" s="909"/>
      <c r="W24" s="929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930"/>
      <c r="AK24">
        <v>19</v>
      </c>
    </row>
    <row r="25" spans="2:40" x14ac:dyDescent="0.25">
      <c r="C25" s="148" t="s">
        <v>697</v>
      </c>
      <c r="D25" s="148" t="s">
        <v>681</v>
      </c>
      <c r="E25" s="905"/>
      <c r="F25" s="148" t="s">
        <v>683</v>
      </c>
      <c r="G25" s="914">
        <f t="shared" si="2"/>
        <v>0.95833333333333337</v>
      </c>
      <c r="H25" s="913">
        <f>IF(Table1456[[#This Row],[Aktivitet]]="Trp",+Table1456[[#This Row],[Avg Tid]]+Table1456[[#This Row],[Körtid]],Table1456[[#This Row],[Avg Tid]])</f>
        <v>1.03125</v>
      </c>
      <c r="I25" s="148">
        <v>125</v>
      </c>
      <c r="J25" s="906">
        <v>7.2916666666666699E-2</v>
      </c>
      <c r="K25" s="907">
        <v>1.0416666666666666E-2</v>
      </c>
      <c r="L25" s="907">
        <f>+Table1456[[#This Row],[Ank Tid]]+Table1456[[#This Row],[Stopptid]]</f>
        <v>1.0416666666666667</v>
      </c>
      <c r="M25" s="148" t="s">
        <v>41</v>
      </c>
      <c r="N25" s="908">
        <v>1</v>
      </c>
      <c r="O25" s="915">
        <f>IF(Table1456[[#This Row],[Lastad]]="Ja",$D$12,IF(Table1456[[#This Row],[Lastad]]="Nej",$D$13,0))</f>
        <v>1.4300000000000002</v>
      </c>
      <c r="P25" s="916">
        <f t="shared" si="0"/>
        <v>-178.75000000000003</v>
      </c>
      <c r="Q25" s="916">
        <f t="shared" ca="1" si="1"/>
        <v>221.24999999999997</v>
      </c>
      <c r="R25" s="917">
        <f ca="1">IFERROR(SUM(Table1456[[#This Row],[Batterikapacitet, kvar]]/$D$9),"")</f>
        <v>0.55312499999999998</v>
      </c>
      <c r="S25" s="918">
        <f t="shared" si="3"/>
        <v>8.333333333333337E-2</v>
      </c>
      <c r="T25" s="915">
        <f>+Table1456[[#This Row],[Tid]]*24</f>
        <v>2.0000000000000009</v>
      </c>
      <c r="U25" s="909" t="s">
        <v>684</v>
      </c>
      <c r="W25" s="929"/>
      <c r="X25" s="148"/>
      <c r="Y25" s="148"/>
      <c r="Z25" s="148" t="s">
        <v>705</v>
      </c>
      <c r="AA25" s="148"/>
      <c r="AB25" s="148"/>
      <c r="AC25" s="148"/>
      <c r="AD25" s="148"/>
      <c r="AE25" s="148"/>
      <c r="AF25" s="148"/>
      <c r="AG25" s="148"/>
      <c r="AH25" s="930"/>
      <c r="AK25">
        <v>20</v>
      </c>
    </row>
    <row r="26" spans="2:40" x14ac:dyDescent="0.25">
      <c r="C26" s="148" t="s">
        <v>697</v>
      </c>
      <c r="D26" s="148" t="s">
        <v>683</v>
      </c>
      <c r="E26" s="905"/>
      <c r="F26" s="148" t="s">
        <v>685</v>
      </c>
      <c r="G26" s="914">
        <f t="shared" si="2"/>
        <v>1.0416666666666667</v>
      </c>
      <c r="H26" s="913">
        <f>IF(Table1456[[#This Row],[Aktivitet]]="Trp",+Table1456[[#This Row],[Avg Tid]]+Table1456[[#This Row],[Körtid]],Table1456[[#This Row],[Avg Tid]])</f>
        <v>1.0729166666666667</v>
      </c>
      <c r="I26" s="148">
        <v>35</v>
      </c>
      <c r="J26" s="906">
        <v>3.125E-2</v>
      </c>
      <c r="K26" s="907">
        <v>1.0416666666666666E-2</v>
      </c>
      <c r="L26" s="907">
        <f>+Table1456[[#This Row],[Ank Tid]]+Table1456[[#This Row],[Stopptid]]</f>
        <v>1.0833333333333335</v>
      </c>
      <c r="M26" s="148" t="s">
        <v>41</v>
      </c>
      <c r="N26" s="908">
        <v>0.75</v>
      </c>
      <c r="O26" s="915">
        <f>IF(Table1456[[#This Row],[Lastad]]="Ja",$D$12,IF(Table1456[[#This Row],[Lastad]]="Nej",$D$13,0))</f>
        <v>1.4300000000000002</v>
      </c>
      <c r="P26" s="916">
        <f t="shared" si="0"/>
        <v>-50.050000000000004</v>
      </c>
      <c r="Q26" s="916">
        <f t="shared" ca="1" si="1"/>
        <v>171.19999999999996</v>
      </c>
      <c r="R26" s="917">
        <f ca="1">IFERROR(SUM(Table1456[[#This Row],[Batterikapacitet, kvar]]/$D$9),"")</f>
        <v>0.42799999999999988</v>
      </c>
      <c r="S26" s="918">
        <f t="shared" si="3"/>
        <v>4.1666666666666741E-2</v>
      </c>
      <c r="T26" s="915">
        <f>+Table1456[[#This Row],[Tid]]*24</f>
        <v>1.0000000000000018</v>
      </c>
      <c r="U26" s="909" t="s">
        <v>686</v>
      </c>
      <c r="W26" s="929"/>
      <c r="X26" s="148"/>
      <c r="Y26" s="148"/>
      <c r="Z26" s="148" t="s">
        <v>706</v>
      </c>
      <c r="AA26" s="148"/>
      <c r="AB26" s="148"/>
      <c r="AC26" s="148"/>
      <c r="AD26" s="148"/>
      <c r="AE26" s="148"/>
      <c r="AF26" s="148"/>
      <c r="AG26" s="148"/>
      <c r="AH26" s="930"/>
      <c r="AK26">
        <v>21</v>
      </c>
    </row>
    <row r="27" spans="2:40" x14ac:dyDescent="0.25">
      <c r="C27" s="148" t="s">
        <v>697</v>
      </c>
      <c r="D27" s="148" t="s">
        <v>685</v>
      </c>
      <c r="E27" s="905"/>
      <c r="F27" s="148" t="s">
        <v>687</v>
      </c>
      <c r="G27" s="914">
        <f t="shared" si="2"/>
        <v>1.0833333333333335</v>
      </c>
      <c r="H27" s="913">
        <f>IF(Table1456[[#This Row],[Aktivitet]]="Trp",+Table1456[[#This Row],[Avg Tid]]+Table1456[[#This Row],[Körtid]],Table1456[[#This Row],[Avg Tid]])</f>
        <v>1.0937500000000002</v>
      </c>
      <c r="I27" s="148">
        <v>15</v>
      </c>
      <c r="J27" s="906">
        <v>1.0416666666666666E-2</v>
      </c>
      <c r="K27" s="907">
        <v>1.0416666666666666E-2</v>
      </c>
      <c r="L27" s="907">
        <f>+Table1456[[#This Row],[Ank Tid]]+Table1456[[#This Row],[Stopptid]]</f>
        <v>1.104166666666667</v>
      </c>
      <c r="M27" s="148" t="s">
        <v>704</v>
      </c>
      <c r="N27" s="908">
        <v>0.5</v>
      </c>
      <c r="O27" s="915">
        <f>IF(Table1456[[#This Row],[Lastad]]="Ja",$D$12,IF(Table1456[[#This Row],[Lastad]]="Nej",$D$13,0))</f>
        <v>1.4300000000000002</v>
      </c>
      <c r="P27" s="916">
        <f t="shared" si="0"/>
        <v>-21.450000000000003</v>
      </c>
      <c r="Q27" s="916">
        <f t="shared" ca="1" si="1"/>
        <v>149.74999999999994</v>
      </c>
      <c r="R27" s="917">
        <f ca="1">IFERROR(SUM(Table1456[[#This Row],[Batterikapacitet, kvar]]/$D$9),"")</f>
        <v>0.37437499999999985</v>
      </c>
      <c r="S27" s="918">
        <f>+L27-G27</f>
        <v>2.0833333333333481E-2</v>
      </c>
      <c r="T27" s="915">
        <f>+Table1456[[#This Row],[Tid]]*24</f>
        <v>0.50000000000000355</v>
      </c>
      <c r="U27" s="909" t="s">
        <v>688</v>
      </c>
      <c r="W27" s="929"/>
      <c r="X27" s="148"/>
      <c r="Y27" s="148"/>
      <c r="Z27" s="148" t="s">
        <v>707</v>
      </c>
      <c r="AA27" s="148"/>
      <c r="AB27" s="148"/>
      <c r="AC27" s="148"/>
      <c r="AD27" s="148"/>
      <c r="AE27" s="148"/>
      <c r="AF27" s="148"/>
      <c r="AG27" s="148"/>
      <c r="AH27" s="930"/>
      <c r="AK27">
        <v>22</v>
      </c>
    </row>
    <row r="28" spans="2:40" x14ac:dyDescent="0.25">
      <c r="C28" s="148" t="s">
        <v>697</v>
      </c>
      <c r="D28" s="148" t="s">
        <v>687</v>
      </c>
      <c r="E28" s="905"/>
      <c r="F28" s="148" t="s">
        <v>689</v>
      </c>
      <c r="G28" s="914">
        <f t="shared" si="2"/>
        <v>1.104166666666667</v>
      </c>
      <c r="H28" s="913">
        <f>IF(Table1456[[#This Row],[Aktivitet]]="Trp",+Table1456[[#This Row],[Avg Tid]]+Table1456[[#This Row],[Körtid]],Table1456[[#This Row],[Avg Tid]])</f>
        <v>1.1250000000000002</v>
      </c>
      <c r="I28" s="148">
        <v>16</v>
      </c>
      <c r="J28" s="906">
        <v>2.0833333333333332E-2</v>
      </c>
      <c r="K28" s="907">
        <v>1.0416666666666666E-2</v>
      </c>
      <c r="L28" s="907">
        <f>+Table1456[[#This Row],[Ank Tid]]+Table1456[[#This Row],[Stopptid]]</f>
        <v>1.135416666666667</v>
      </c>
      <c r="M28" s="148" t="s">
        <v>41</v>
      </c>
      <c r="N28" s="908">
        <v>0.25</v>
      </c>
      <c r="O28" s="915">
        <f>IF(Table1456[[#This Row],[Lastad]]="Ja",$D$12,IF(Table1456[[#This Row],[Lastad]]="Nej",$D$13,0))</f>
        <v>1.4300000000000002</v>
      </c>
      <c r="P28" s="916">
        <f t="shared" si="0"/>
        <v>-22.880000000000003</v>
      </c>
      <c r="Q28" s="916">
        <f t="shared" ca="1" si="1"/>
        <v>126.86999999999995</v>
      </c>
      <c r="R28" s="917">
        <f ca="1">IFERROR(SUM(Table1456[[#This Row],[Batterikapacitet, kvar]]/$D$9),"")</f>
        <v>0.31717499999999987</v>
      </c>
      <c r="S28" s="918">
        <f t="shared" si="3"/>
        <v>3.125E-2</v>
      </c>
      <c r="T28" s="915">
        <f>+Table1456[[#This Row],[Tid]]*24</f>
        <v>0.75</v>
      </c>
      <c r="U28" s="909" t="s">
        <v>690</v>
      </c>
      <c r="W28" s="929"/>
      <c r="X28" s="148"/>
      <c r="Y28" s="148"/>
      <c r="Z28" s="148" t="s">
        <v>710</v>
      </c>
      <c r="AA28" s="148"/>
      <c r="AB28" s="148"/>
      <c r="AC28" s="148"/>
      <c r="AD28" s="148"/>
      <c r="AE28" s="148"/>
      <c r="AF28" s="148"/>
      <c r="AG28" s="148"/>
      <c r="AH28" s="930"/>
      <c r="AK28">
        <v>23</v>
      </c>
    </row>
    <row r="29" spans="2:40" x14ac:dyDescent="0.25">
      <c r="C29" s="148" t="s">
        <v>697</v>
      </c>
      <c r="D29" s="148" t="s">
        <v>689</v>
      </c>
      <c r="E29" s="905"/>
      <c r="F29" s="148" t="s">
        <v>683</v>
      </c>
      <c r="G29" s="914">
        <f t="shared" si="2"/>
        <v>1.135416666666667</v>
      </c>
      <c r="H29" s="913">
        <f>IF(Table1456[[#This Row],[Aktivitet]]="Trp",+Table1456[[#This Row],[Avg Tid]]+Table1456[[#This Row],[Körtid]],Table1456[[#This Row],[Avg Tid]])</f>
        <v>1.166666666666667</v>
      </c>
      <c r="I29" s="148">
        <v>48</v>
      </c>
      <c r="J29" s="906">
        <v>3.125E-2</v>
      </c>
      <c r="K29" s="907">
        <v>1.0416666666666666E-2</v>
      </c>
      <c r="L29" s="907">
        <f>+Table1456[[#This Row],[Ank Tid]]+Table1456[[#This Row],[Stopptid]]</f>
        <v>1.1770833333333337</v>
      </c>
      <c r="M29" s="148" t="s">
        <v>680</v>
      </c>
      <c r="N29" s="908"/>
      <c r="O29" s="915">
        <f>IF(Table1456[[#This Row],[Lastad]]="Ja",$D$12,IF(Table1456[[#This Row],[Lastad]]="Nej",$D$13,0))</f>
        <v>1.2380952380952381</v>
      </c>
      <c r="P29" s="916">
        <f t="shared" si="0"/>
        <v>-59.428571428571431</v>
      </c>
      <c r="Q29" s="916">
        <f t="shared" ca="1" si="1"/>
        <v>67.441428571428517</v>
      </c>
      <c r="R29" s="917">
        <f ca="1">IFERROR(SUM(Table1456[[#This Row],[Batterikapacitet, kvar]]/$D$9),"")</f>
        <v>0.1686035714285713</v>
      </c>
      <c r="S29" s="918">
        <f t="shared" si="3"/>
        <v>4.1666666666666741E-2</v>
      </c>
      <c r="T29" s="915">
        <f>+Table1456[[#This Row],[Tid]]*24</f>
        <v>1.0000000000000018</v>
      </c>
      <c r="U29" s="909" t="s">
        <v>733</v>
      </c>
      <c r="W29" s="929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930"/>
    </row>
    <row r="30" spans="2:40" outlineLevel="1" x14ac:dyDescent="0.25">
      <c r="C30" s="148" t="s">
        <v>697</v>
      </c>
      <c r="D30" s="148"/>
      <c r="E30" s="905"/>
      <c r="F30" s="148"/>
      <c r="G30" s="914">
        <f t="shared" si="2"/>
        <v>1.1770833333333337</v>
      </c>
      <c r="H30" s="913">
        <f>IF(Table1456[[#This Row],[Aktivitet]]="Trp",+Table1456[[#This Row],[Avg Tid]]+Table1456[[#This Row],[Körtid]],Table1456[[#This Row],[Avg Tid]])</f>
        <v>1.1770833333333337</v>
      </c>
      <c r="I30" s="148"/>
      <c r="J30" s="906"/>
      <c r="K30" s="907"/>
      <c r="L30" s="907">
        <f>+Table1456[[#This Row],[Ank Tid]]+Table1456[[#This Row],[Stopptid]]</f>
        <v>1.1770833333333337</v>
      </c>
      <c r="M30" s="148"/>
      <c r="N30" s="908"/>
      <c r="O30" s="915">
        <f>IF(Table1456[[#This Row],[Lastad]]="Ja",$D$12,IF(Table1456[[#This Row],[Lastad]]="Nej",$D$13,0))</f>
        <v>0</v>
      </c>
      <c r="P30" s="916">
        <f t="shared" si="0"/>
        <v>0</v>
      </c>
      <c r="Q30" s="916">
        <f t="shared" ca="1" si="1"/>
        <v>67.441428571428517</v>
      </c>
      <c r="R30" s="917">
        <f ca="1">IFERROR(SUM(Table1456[[#This Row],[Batterikapacitet, kvar]]/$D$9),"")</f>
        <v>0.1686035714285713</v>
      </c>
      <c r="S30" s="918">
        <f t="shared" si="3"/>
        <v>0</v>
      </c>
      <c r="T30" s="915">
        <f>+Table1456[[#This Row],[Tid]]*24</f>
        <v>0</v>
      </c>
      <c r="U30" s="909"/>
      <c r="W30" s="929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930"/>
    </row>
    <row r="31" spans="2:40" outlineLevel="1" x14ac:dyDescent="0.25">
      <c r="C31" s="148" t="s">
        <v>697</v>
      </c>
      <c r="D31" s="148"/>
      <c r="E31" s="905"/>
      <c r="F31" s="148"/>
      <c r="G31" s="914">
        <f t="shared" si="2"/>
        <v>1.1770833333333337</v>
      </c>
      <c r="H31" s="913">
        <f>IF(Table1456[[#This Row],[Aktivitet]]="Trp",+Table1456[[#This Row],[Avg Tid]]+Table1456[[#This Row],[Körtid]],Table1456[[#This Row],[Avg Tid]])</f>
        <v>1.1770833333333337</v>
      </c>
      <c r="I31" s="148"/>
      <c r="J31" s="907"/>
      <c r="K31" s="907"/>
      <c r="L31" s="907">
        <f>+Table1456[[#This Row],[Ank Tid]]+Table1456[[#This Row],[Stopptid]]</f>
        <v>1.1770833333333337</v>
      </c>
      <c r="M31" s="148"/>
      <c r="N31" s="908"/>
      <c r="O31" s="915">
        <f>IF(Table1456[[#This Row],[Lastad]]="Ja",$D$12,IF(Table1456[[#This Row],[Lastad]]="Nej",$D$13,0))</f>
        <v>0</v>
      </c>
      <c r="P31" s="916">
        <f t="shared" si="0"/>
        <v>0</v>
      </c>
      <c r="Q31" s="916">
        <f t="shared" ca="1" si="1"/>
        <v>67.441428571428517</v>
      </c>
      <c r="R31" s="917">
        <f ca="1">IFERROR(SUM(Table1456[[#This Row],[Batterikapacitet, kvar]]/$D$9),"")</f>
        <v>0.1686035714285713</v>
      </c>
      <c r="S31" s="918">
        <f t="shared" si="3"/>
        <v>0</v>
      </c>
      <c r="T31" s="915">
        <f>+Table1456[[#This Row],[Tid]]*24</f>
        <v>0</v>
      </c>
      <c r="U31" s="909"/>
      <c r="W31" s="929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930"/>
    </row>
    <row r="32" spans="2:40" outlineLevel="1" x14ac:dyDescent="0.25">
      <c r="C32" s="148"/>
      <c r="D32" s="148"/>
      <c r="E32" s="905"/>
      <c r="F32" s="148"/>
      <c r="G32" s="914">
        <f t="shared" ref="G32:G38" si="4">+H31+K31</f>
        <v>1.1770833333333337</v>
      </c>
      <c r="H32" s="913">
        <f>IF(Table1456[[#This Row],[Aktivitet]]="Trp",+Table1456[[#This Row],[Avg Tid]]+Table1456[[#This Row],[Körtid]],Table1456[[#This Row],[Avg Tid]])</f>
        <v>1.1770833333333337</v>
      </c>
      <c r="I32" s="148"/>
      <c r="J32" s="907"/>
      <c r="K32" s="907"/>
      <c r="L32" s="907">
        <f>+Table1456[[#This Row],[Ank Tid]]+Table1456[[#This Row],[Stopptid]]</f>
        <v>1.1770833333333337</v>
      </c>
      <c r="M32" s="148"/>
      <c r="N32" s="908"/>
      <c r="O32" s="915">
        <f>IF(Table1456[[#This Row],[Lastad]]="Ja",$D$12,IF(Table1456[[#This Row],[Lastad]]="Nej",$D$13,0))</f>
        <v>0</v>
      </c>
      <c r="P32" s="916">
        <f t="shared" ref="P32:P38" si="5">IF(C32="Laddning",$D$10*(-T32),O32*I32)*-1</f>
        <v>0</v>
      </c>
      <c r="Q32" s="916">
        <f t="shared" ca="1" si="1"/>
        <v>67.441428571428517</v>
      </c>
      <c r="R32" s="917">
        <f ca="1">IFERROR(SUM(Table1456[[#This Row],[Batterikapacitet, kvar]]/$D$9),"")</f>
        <v>0.1686035714285713</v>
      </c>
      <c r="S32" s="918">
        <f t="shared" ref="S32:S38" si="6">+L32-G32</f>
        <v>0</v>
      </c>
      <c r="T32" s="915">
        <f>+Table1456[[#This Row],[Tid]]*24</f>
        <v>0</v>
      </c>
      <c r="U32" s="909"/>
      <c r="W32" s="929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930"/>
    </row>
    <row r="33" spans="3:34" outlineLevel="1" x14ac:dyDescent="0.25">
      <c r="C33" s="148"/>
      <c r="D33" s="148"/>
      <c r="E33" s="905"/>
      <c r="F33" s="148"/>
      <c r="G33" s="914">
        <f t="shared" si="4"/>
        <v>1.1770833333333337</v>
      </c>
      <c r="H33" s="913">
        <f>IF(Table1456[[#This Row],[Aktivitet]]="Trp",+Table1456[[#This Row],[Avg Tid]]+Table1456[[#This Row],[Körtid]],Table1456[[#This Row],[Avg Tid]])</f>
        <v>1.1770833333333337</v>
      </c>
      <c r="I33" s="148"/>
      <c r="J33" s="907"/>
      <c r="K33" s="907"/>
      <c r="L33" s="907">
        <f>+Table1456[[#This Row],[Ank Tid]]+Table1456[[#This Row],[Stopptid]]</f>
        <v>1.1770833333333337</v>
      </c>
      <c r="M33" s="148"/>
      <c r="N33" s="908"/>
      <c r="O33" s="915">
        <f>IF(Table1456[[#This Row],[Lastad]]="Ja",$D$12,IF(Table1456[[#This Row],[Lastad]]="Nej",$D$13,0))</f>
        <v>0</v>
      </c>
      <c r="P33" s="916">
        <f t="shared" si="5"/>
        <v>0</v>
      </c>
      <c r="Q33" s="916">
        <f t="shared" ca="1" si="1"/>
        <v>67.441428571428517</v>
      </c>
      <c r="R33" s="917">
        <f ca="1">IFERROR(SUM(Table1456[[#This Row],[Batterikapacitet, kvar]]/$D$9),"")</f>
        <v>0.1686035714285713</v>
      </c>
      <c r="S33" s="918">
        <f t="shared" si="6"/>
        <v>0</v>
      </c>
      <c r="T33" s="915">
        <f>+Table1456[[#This Row],[Tid]]*24</f>
        <v>0</v>
      </c>
      <c r="U33" s="911"/>
      <c r="W33" s="929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930"/>
    </row>
    <row r="34" spans="3:34" outlineLevel="1" x14ac:dyDescent="0.25">
      <c r="C34" s="148"/>
      <c r="D34" s="148"/>
      <c r="E34" s="905"/>
      <c r="F34" s="148"/>
      <c r="G34" s="914">
        <f t="shared" si="4"/>
        <v>1.1770833333333337</v>
      </c>
      <c r="H34" s="913">
        <f>IF(Table1456[[#This Row],[Aktivitet]]="Trp",+Table1456[[#This Row],[Avg Tid]]+Table1456[[#This Row],[Körtid]],Table1456[[#This Row],[Avg Tid]])</f>
        <v>1.1770833333333337</v>
      </c>
      <c r="I34" s="148"/>
      <c r="J34" s="907"/>
      <c r="K34" s="907"/>
      <c r="L34" s="907">
        <f>+Table1456[[#This Row],[Ank Tid]]+Table1456[[#This Row],[Stopptid]]</f>
        <v>1.1770833333333337</v>
      </c>
      <c r="M34" s="148"/>
      <c r="N34" s="908"/>
      <c r="O34" s="915">
        <f>IF(Table1456[[#This Row],[Lastad]]="Ja",$D$12,IF(Table1456[[#This Row],[Lastad]]="Nej",$D$13,0))</f>
        <v>0</v>
      </c>
      <c r="P34" s="916">
        <f t="shared" si="5"/>
        <v>0</v>
      </c>
      <c r="Q34" s="916">
        <f t="shared" ca="1" si="1"/>
        <v>67.441428571428517</v>
      </c>
      <c r="R34" s="917">
        <f ca="1">IFERROR(SUM(Table1456[[#This Row],[Batterikapacitet, kvar]]/$D$9),"")</f>
        <v>0.1686035714285713</v>
      </c>
      <c r="S34" s="918">
        <f t="shared" si="6"/>
        <v>0</v>
      </c>
      <c r="T34" s="915">
        <f>+Table1456[[#This Row],[Tid]]*24</f>
        <v>0</v>
      </c>
      <c r="U34" s="911"/>
      <c r="W34" s="929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930"/>
    </row>
    <row r="35" spans="3:34" outlineLevel="1" x14ac:dyDescent="0.25">
      <c r="C35" s="148"/>
      <c r="D35" s="148"/>
      <c r="E35" s="905"/>
      <c r="F35" s="148"/>
      <c r="G35" s="914">
        <f t="shared" si="4"/>
        <v>1.1770833333333337</v>
      </c>
      <c r="H35" s="913">
        <f>IF(Table1456[[#This Row],[Aktivitet]]="Trp",+Table1456[[#This Row],[Avg Tid]]+Table1456[[#This Row],[Körtid]],Table1456[[#This Row],[Avg Tid]])</f>
        <v>1.1770833333333337</v>
      </c>
      <c r="I35" s="148"/>
      <c r="J35" s="907"/>
      <c r="K35" s="907"/>
      <c r="L35" s="907">
        <f>+Table1456[[#This Row],[Ank Tid]]+Table1456[[#This Row],[Stopptid]]</f>
        <v>1.1770833333333337</v>
      </c>
      <c r="M35" s="148"/>
      <c r="N35" s="908"/>
      <c r="O35" s="915">
        <f>IF(Table1456[[#This Row],[Lastad]]="Ja",$D$12,IF(Table1456[[#This Row],[Lastad]]="Nej",$D$13,0))</f>
        <v>0</v>
      </c>
      <c r="P35" s="916">
        <f t="shared" si="5"/>
        <v>0</v>
      </c>
      <c r="Q35" s="916">
        <f t="shared" ca="1" si="1"/>
        <v>67.441428571428517</v>
      </c>
      <c r="R35" s="917">
        <f ca="1">IFERROR(SUM(Table1456[[#This Row],[Batterikapacitet, kvar]]/$D$9),"")</f>
        <v>0.1686035714285713</v>
      </c>
      <c r="S35" s="918">
        <f t="shared" si="6"/>
        <v>0</v>
      </c>
      <c r="T35" s="915">
        <f>+Table1456[[#This Row],[Tid]]*24</f>
        <v>0</v>
      </c>
      <c r="U35" s="911"/>
      <c r="W35" s="929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930"/>
    </row>
    <row r="36" spans="3:34" outlineLevel="1" x14ac:dyDescent="0.25">
      <c r="C36" s="148"/>
      <c r="D36" s="148"/>
      <c r="E36" s="905"/>
      <c r="F36" s="148"/>
      <c r="G36" s="914">
        <f t="shared" si="4"/>
        <v>1.1770833333333337</v>
      </c>
      <c r="H36" s="913">
        <f>IF(Table1456[[#This Row],[Aktivitet]]="Trp",+Table1456[[#This Row],[Avg Tid]]+Table1456[[#This Row],[Körtid]],Table1456[[#This Row],[Avg Tid]])</f>
        <v>1.1770833333333337</v>
      </c>
      <c r="I36" s="148"/>
      <c r="J36" s="907"/>
      <c r="K36" s="907"/>
      <c r="L36" s="907">
        <f>+Table1456[[#This Row],[Ank Tid]]+Table1456[[#This Row],[Stopptid]]</f>
        <v>1.1770833333333337</v>
      </c>
      <c r="M36" s="148"/>
      <c r="N36" s="908"/>
      <c r="O36" s="915">
        <f>IF(Table1456[[#This Row],[Lastad]]="Ja",$D$12,IF(Table1456[[#This Row],[Lastad]]="Nej",$D$13,0))</f>
        <v>0</v>
      </c>
      <c r="P36" s="916">
        <f t="shared" si="5"/>
        <v>0</v>
      </c>
      <c r="Q36" s="916">
        <f t="shared" ca="1" si="1"/>
        <v>67.441428571428517</v>
      </c>
      <c r="R36" s="917">
        <f ca="1">IFERROR(SUM(Table1456[[#This Row],[Batterikapacitet, kvar]]/$D$9),"")</f>
        <v>0.1686035714285713</v>
      </c>
      <c r="S36" s="918">
        <f t="shared" si="6"/>
        <v>0</v>
      </c>
      <c r="T36" s="915">
        <f>+Table1456[[#This Row],[Tid]]*24</f>
        <v>0</v>
      </c>
      <c r="U36" s="911"/>
      <c r="W36" s="929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930"/>
    </row>
    <row r="37" spans="3:34" outlineLevel="1" x14ac:dyDescent="0.25">
      <c r="C37" s="148" t="s">
        <v>697</v>
      </c>
      <c r="D37" s="148"/>
      <c r="E37" s="905"/>
      <c r="F37" s="148"/>
      <c r="G37" s="914">
        <f t="shared" si="4"/>
        <v>1.1770833333333337</v>
      </c>
      <c r="H37" s="913">
        <f>IF(Table1456[[#This Row],[Aktivitet]]="Trp",+Table1456[[#This Row],[Avg Tid]]+Table1456[[#This Row],[Körtid]],Table1456[[#This Row],[Avg Tid]])</f>
        <v>1.1770833333333337</v>
      </c>
      <c r="I37" s="148"/>
      <c r="J37" s="907"/>
      <c r="K37" s="907"/>
      <c r="L37" s="907">
        <f>+Table1456[[#This Row],[Ank Tid]]+Table1456[[#This Row],[Stopptid]]</f>
        <v>1.1770833333333337</v>
      </c>
      <c r="M37" s="148"/>
      <c r="N37" s="908"/>
      <c r="O37" s="915">
        <f>IF(Table1456[[#This Row],[Lastad]]="Ja",$D$12,IF(Table1456[[#This Row],[Lastad]]="Nej",$D$13,0))</f>
        <v>0</v>
      </c>
      <c r="P37" s="916">
        <f t="shared" si="5"/>
        <v>0</v>
      </c>
      <c r="Q37" s="916">
        <f t="shared" ca="1" si="1"/>
        <v>67.441428571428517</v>
      </c>
      <c r="R37" s="917">
        <f ca="1">IFERROR(SUM(Table1456[[#This Row],[Batterikapacitet, kvar]]/$D$9),"")</f>
        <v>0.1686035714285713</v>
      </c>
      <c r="S37" s="918">
        <f t="shared" si="6"/>
        <v>0</v>
      </c>
      <c r="T37" s="915">
        <f>+Table1456[[#This Row],[Tid]]*24</f>
        <v>0</v>
      </c>
      <c r="U37" s="911"/>
      <c r="W37" s="929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930"/>
    </row>
    <row r="38" spans="3:34" outlineLevel="1" x14ac:dyDescent="0.25">
      <c r="C38" s="148" t="s">
        <v>697</v>
      </c>
      <c r="D38" s="148"/>
      <c r="E38" s="905"/>
      <c r="F38" s="148"/>
      <c r="G38" s="914">
        <f t="shared" si="4"/>
        <v>1.1770833333333337</v>
      </c>
      <c r="H38" s="913">
        <f>IF(Table1456[[#This Row],[Aktivitet]]="Trp",+Table1456[[#This Row],[Avg Tid]]+Table1456[[#This Row],[Körtid]],Table1456[[#This Row],[Avg Tid]])</f>
        <v>1.1770833333333337</v>
      </c>
      <c r="I38" s="148"/>
      <c r="J38" s="907"/>
      <c r="K38" s="907"/>
      <c r="L38" s="907">
        <f>+Table1456[[#This Row],[Ank Tid]]+Table1456[[#This Row],[Stopptid]]</f>
        <v>1.1770833333333337</v>
      </c>
      <c r="M38" s="148"/>
      <c r="N38" s="908"/>
      <c r="O38" s="915">
        <f>IF(Table1456[[#This Row],[Lastad]]="Ja",$D$12,IF(Table1456[[#This Row],[Lastad]]="Nej",$D$13,0))</f>
        <v>0</v>
      </c>
      <c r="P38" s="916">
        <f t="shared" si="5"/>
        <v>0</v>
      </c>
      <c r="Q38" s="916">
        <f t="shared" ca="1" si="1"/>
        <v>67.441428571428517</v>
      </c>
      <c r="R38" s="917">
        <f ca="1">IFERROR(SUM(Table1456[[#This Row],[Batterikapacitet, kvar]]/$D$9),"")</f>
        <v>0.1686035714285713</v>
      </c>
      <c r="S38" s="918">
        <f t="shared" si="6"/>
        <v>0</v>
      </c>
      <c r="T38" s="915">
        <f>+Table1456[[#This Row],[Tid]]*24</f>
        <v>0</v>
      </c>
      <c r="U38" s="911"/>
      <c r="W38" s="929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930"/>
    </row>
    <row r="39" spans="3:34" x14ac:dyDescent="0.25">
      <c r="C39" s="877" t="s">
        <v>708</v>
      </c>
      <c r="D39" s="877"/>
      <c r="E39" s="895"/>
      <c r="F39" s="877"/>
      <c r="G39" s="896" t="s">
        <v>708</v>
      </c>
      <c r="H39" s="897"/>
      <c r="I39" s="877"/>
      <c r="J39" s="877"/>
      <c r="K39" s="898"/>
      <c r="L39" s="898">
        <f>+Table1456[[#This Row],[Ank Tid]]+Table1456[[#This Row],[Stopptid]]</f>
        <v>0</v>
      </c>
      <c r="M39" s="877"/>
      <c r="N39" s="899"/>
      <c r="O39" s="900">
        <f>IF(Table1456[[#This Row],[Lastad]]="Ja",$D$12,IF(Table1456[[#This Row],[Lastad]]="Nej",$D$13,0))</f>
        <v>0</v>
      </c>
      <c r="P39" s="901">
        <f t="shared" ref="P39" si="7">IF(C39="Laddning",$D$10*(-T39),O39*I39)*-1</f>
        <v>0</v>
      </c>
      <c r="Q39" s="901">
        <f ca="1">IFERROR(IF(SUM(Q38+P39)&gt;$D$9,$D$9,SUM(Q38+P39)),"")</f>
        <v>67.441428571428517</v>
      </c>
      <c r="R39" s="902">
        <f ca="1">IFERROR(SUM(Table1456[[#This Row],[Batterikapacitet, kvar]]/$D$9),"")</f>
        <v>0.1686035714285713</v>
      </c>
      <c r="S39" s="903"/>
      <c r="T39" s="900"/>
      <c r="U39" s="904"/>
      <c r="W39" s="929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930"/>
    </row>
    <row r="40" spans="3:34" x14ac:dyDescent="0.25">
      <c r="W40" s="929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930"/>
    </row>
    <row r="41" spans="3:34" ht="25.5" x14ac:dyDescent="0.25">
      <c r="I41" s="894" t="s">
        <v>691</v>
      </c>
      <c r="J41" s="894" t="s">
        <v>695</v>
      </c>
      <c r="K41" s="894" t="s">
        <v>734</v>
      </c>
      <c r="L41" s="783"/>
      <c r="W41" s="929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930"/>
    </row>
    <row r="42" spans="3:34" ht="15.75" x14ac:dyDescent="0.25">
      <c r="H42" t="s">
        <v>136</v>
      </c>
      <c r="I42" s="880">
        <f>SUM(I20:I39)</f>
        <v>454</v>
      </c>
      <c r="J42" s="893">
        <f>SUM(J21:J38)*24</f>
        <v>6.7500000000000027</v>
      </c>
      <c r="K42" s="891">
        <f>IF(G21&gt;H38,SUM(24-G21*24)+(24-H38*24)*-1,0)</f>
        <v>11.750000000000007</v>
      </c>
      <c r="L42" s="783"/>
      <c r="W42" s="929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930"/>
    </row>
    <row r="43" spans="3:34" x14ac:dyDescent="0.25">
      <c r="C43" t="s">
        <v>709</v>
      </c>
      <c r="K43" s="892"/>
      <c r="L43" s="783"/>
      <c r="T43" s="890"/>
      <c r="W43" s="929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930"/>
    </row>
    <row r="44" spans="3:34" x14ac:dyDescent="0.25">
      <c r="C44" s="927"/>
      <c r="D44" s="927"/>
      <c r="E44" s="927"/>
      <c r="W44" s="929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930"/>
    </row>
    <row r="45" spans="3:34" x14ac:dyDescent="0.25">
      <c r="C45" s="927"/>
      <c r="D45" s="928"/>
      <c r="E45" s="927"/>
      <c r="W45" s="929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930"/>
    </row>
    <row r="46" spans="3:34" x14ac:dyDescent="0.25">
      <c r="C46" s="927"/>
      <c r="D46" s="927"/>
      <c r="E46" s="927"/>
      <c r="W46" s="929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930"/>
    </row>
    <row r="47" spans="3:34" x14ac:dyDescent="0.25">
      <c r="C47" s="927"/>
      <c r="D47" s="927"/>
      <c r="E47" s="927"/>
      <c r="W47" s="929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930"/>
    </row>
    <row r="48" spans="3:34" x14ac:dyDescent="0.25">
      <c r="C48" s="927"/>
      <c r="D48" s="927"/>
      <c r="E48" s="927"/>
      <c r="W48" s="931"/>
      <c r="X48" s="932"/>
      <c r="Y48" s="932"/>
      <c r="Z48" s="932"/>
      <c r="AA48" s="932"/>
      <c r="AB48" s="932"/>
      <c r="AC48" s="932"/>
      <c r="AD48" s="932"/>
      <c r="AE48" s="932"/>
      <c r="AF48" s="932"/>
      <c r="AG48" s="932"/>
      <c r="AH48" s="933"/>
    </row>
    <row r="55" spans="6:7" x14ac:dyDescent="0.25">
      <c r="F55" s="868"/>
      <c r="G55" s="868"/>
    </row>
    <row r="56" spans="6:7" x14ac:dyDescent="0.25">
      <c r="F56" s="868"/>
      <c r="G56" s="868"/>
    </row>
    <row r="57" spans="6:7" x14ac:dyDescent="0.25">
      <c r="F57" s="868"/>
      <c r="G57" s="868"/>
    </row>
    <row r="58" spans="6:7" x14ac:dyDescent="0.25">
      <c r="F58" s="868"/>
      <c r="G58" s="868"/>
    </row>
    <row r="59" spans="6:7" x14ac:dyDescent="0.25">
      <c r="F59" s="868"/>
      <c r="G59" s="868"/>
    </row>
    <row r="60" spans="6:7" x14ac:dyDescent="0.25">
      <c r="F60" s="868"/>
      <c r="G60" s="868"/>
    </row>
    <row r="61" spans="6:7" x14ac:dyDescent="0.25">
      <c r="F61" s="868"/>
      <c r="G61" s="868"/>
    </row>
    <row r="62" spans="6:7" x14ac:dyDescent="0.25">
      <c r="F62" s="868"/>
      <c r="G62" s="868"/>
    </row>
  </sheetData>
  <mergeCells count="1">
    <mergeCell ref="D6:E6"/>
  </mergeCells>
  <phoneticPr fontId="68" type="noConversion"/>
  <conditionalFormatting sqref="R20:R39">
    <cfRule type="cellIs" dxfId="14" priority="1" operator="lessThan">
      <formula>0</formula>
    </cfRule>
  </conditionalFormatting>
  <dataValidations count="6">
    <dataValidation type="list" allowBlank="1" showInputMessage="1" showErrorMessage="1" sqref="D17" xr:uid="{EABCFAA7-6995-4089-AE9F-6315E795F1A0}">
      <formula1>$AK$5:$AK$28</formula1>
    </dataValidation>
    <dataValidation type="list" allowBlank="1" showInputMessage="1" showErrorMessage="1" sqref="E17" xr:uid="{4354661A-E70C-4983-B98A-E084762DF2BD}">
      <formula1>$AL$5:$AL$15</formula1>
    </dataValidation>
    <dataValidation type="list" allowBlank="1" sqref="E20:E39" xr:uid="{6649F5A2-9BB0-44CA-B451-3C2F9B410E45}">
      <formula1>$Z$20:$Z$37</formula1>
    </dataValidation>
    <dataValidation type="list" errorStyle="warning" allowBlank="1" showInputMessage="1" showErrorMessage="1" sqref="J20:K39" xr:uid="{8B439117-6B96-43BD-B09D-B98E92A20C28}">
      <formula1>$AN$5:$AN$21</formula1>
    </dataValidation>
    <dataValidation errorStyle="warning" allowBlank="1" showInputMessage="1" showErrorMessage="1" sqref="L20:L39" xr:uid="{43AB14B5-F803-47A7-9E07-A11AC8C68B12}"/>
    <dataValidation type="list" allowBlank="1" showInputMessage="1" showErrorMessage="1" sqref="M21:M39" xr:uid="{8DBC862B-547F-4F03-99BD-A9B5FED5ACDF}">
      <formula1>$AO$5:$AO$6</formula1>
    </dataValidation>
  </dataValidations>
  <hyperlinks>
    <hyperlink ref="U21" r:id="rId1" xr:uid="{EC0CA0A3-C5D6-41F1-9E61-05FFA8F60087}"/>
    <hyperlink ref="U25" r:id="rId2" xr:uid="{57F9D62E-8417-4C97-9BFF-02B2C2E58FB3}"/>
    <hyperlink ref="U26" r:id="rId3" xr:uid="{B0FD105C-5E56-4E2D-A2B6-95097136D2A2}"/>
    <hyperlink ref="U27" r:id="rId4" xr:uid="{1EDCEB72-A96E-4115-ADB5-855BBA487C6C}"/>
    <hyperlink ref="U28" r:id="rId5" xr:uid="{7FA24E57-72B5-4469-B862-7E8C925A07F7}"/>
    <hyperlink ref="U23" r:id="rId6" xr:uid="{265F5E87-FF6F-4B1B-9562-9EFB4967947B}"/>
    <hyperlink ref="U29" r:id="rId7" xr:uid="{C9B2188E-F5E5-4257-8F4C-1DE9C01B0743}"/>
  </hyperlinks>
  <pageMargins left="0.31496062992125984" right="0.31496062992125984" top="0.35433070866141736" bottom="0.35433070866141736" header="0.31496062992125984" footer="0.31496062992125984"/>
  <pageSetup paperSize="8" scale="90" orientation="landscape" r:id="rId8"/>
  <drawing r:id="rId9"/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D9EF2-9233-4B3E-A787-BD1D115E8817}">
  <sheetPr>
    <tabColor rgb="FF993366"/>
  </sheetPr>
  <dimension ref="A1:AP62"/>
  <sheetViews>
    <sheetView showGridLines="0" showRowColHeaders="0" showZeros="0" zoomScale="85" zoomScaleNormal="85" workbookViewId="0">
      <selection activeCell="Q24" sqref="Q24"/>
    </sheetView>
  </sheetViews>
  <sheetFormatPr defaultRowHeight="15" outlineLevelRow="1" x14ac:dyDescent="0.25"/>
  <cols>
    <col min="1" max="1" width="3.28515625" customWidth="1"/>
    <col min="2" max="2" width="1.42578125" customWidth="1"/>
    <col min="3" max="3" width="19.140625" customWidth="1"/>
    <col min="4" max="4" width="20.7109375" customWidth="1"/>
    <col min="5" max="5" width="19.7109375" customWidth="1"/>
    <col min="6" max="6" width="23" customWidth="1"/>
    <col min="7" max="7" width="9.42578125" customWidth="1"/>
    <col min="8" max="8" width="8.5703125" customWidth="1"/>
    <col min="11" max="11" width="11.42578125" customWidth="1"/>
    <col min="13" max="14" width="7.7109375" customWidth="1"/>
    <col min="15" max="15" width="9.28515625" customWidth="1"/>
    <col min="16" max="16" width="11.42578125" customWidth="1"/>
    <col min="17" max="19" width="9.28515625" customWidth="1"/>
    <col min="20" max="20" width="10.140625" customWidth="1"/>
    <col min="21" max="21" width="25.140625" customWidth="1"/>
    <col min="22" max="22" width="3.28515625" customWidth="1"/>
    <col min="36" max="40" width="9.140625" hidden="1" customWidth="1"/>
    <col min="41" max="41" width="12" hidden="1" customWidth="1"/>
    <col min="42" max="42" width="10.7109375" hidden="1" customWidth="1"/>
  </cols>
  <sheetData>
    <row r="1" spans="1:42" ht="78.75" customHeight="1" x14ac:dyDescent="0.25">
      <c r="A1" s="533"/>
      <c r="B1" s="533"/>
      <c r="C1" s="533"/>
      <c r="D1" s="533"/>
      <c r="E1" s="533"/>
      <c r="F1" s="533"/>
      <c r="G1" s="533"/>
      <c r="H1" s="533"/>
      <c r="I1" s="533"/>
      <c r="J1" s="533"/>
      <c r="K1" s="533"/>
      <c r="L1" s="533"/>
      <c r="M1" s="533"/>
      <c r="N1" s="533"/>
      <c r="O1" s="533"/>
      <c r="P1" s="533"/>
      <c r="Q1" s="533"/>
      <c r="R1" s="533"/>
      <c r="S1" s="533"/>
      <c r="T1" s="533"/>
      <c r="U1" s="533"/>
    </row>
    <row r="5" spans="1:42" x14ac:dyDescent="0.25">
      <c r="AK5" s="875" t="s">
        <v>713</v>
      </c>
      <c r="AL5" s="876" t="s">
        <v>712</v>
      </c>
      <c r="AM5" s="874" t="str">
        <f>CONCATENATE(D17,":",E17)</f>
        <v>16:30</v>
      </c>
      <c r="AN5" s="868">
        <v>1.0416666666666666E-2</v>
      </c>
      <c r="AO5" s="869" t="s">
        <v>41</v>
      </c>
      <c r="AP5" s="912">
        <f ca="1">TODAY()</f>
        <v>44838</v>
      </c>
    </row>
    <row r="6" spans="1:42" ht="18.75" x14ac:dyDescent="0.3">
      <c r="C6" t="s">
        <v>692</v>
      </c>
      <c r="D6" s="1019" t="s">
        <v>736</v>
      </c>
      <c r="E6" s="1020"/>
      <c r="AK6" s="875" t="s">
        <v>714</v>
      </c>
      <c r="AL6">
        <v>10</v>
      </c>
      <c r="AM6" s="874"/>
      <c r="AN6" s="868">
        <v>2.0833333333333332E-2</v>
      </c>
      <c r="AO6" s="870" t="s">
        <v>680</v>
      </c>
      <c r="AP6" s="912">
        <v>44804</v>
      </c>
    </row>
    <row r="7" spans="1:42" x14ac:dyDescent="0.25">
      <c r="AK7" s="875" t="s">
        <v>715</v>
      </c>
      <c r="AL7">
        <v>15</v>
      </c>
      <c r="AM7" s="874"/>
      <c r="AN7" s="868">
        <v>3.125E-2</v>
      </c>
    </row>
    <row r="8" spans="1:42" x14ac:dyDescent="0.25">
      <c r="C8" t="s">
        <v>662</v>
      </c>
      <c r="D8" s="924" t="s">
        <v>735</v>
      </c>
      <c r="P8" s="866"/>
      <c r="Q8" s="866"/>
      <c r="R8" s="866"/>
      <c r="S8" s="866"/>
      <c r="AK8" s="875" t="s">
        <v>716</v>
      </c>
      <c r="AL8">
        <v>20</v>
      </c>
      <c r="AM8" s="874"/>
      <c r="AN8" s="868">
        <v>4.1666666666666699E-2</v>
      </c>
    </row>
    <row r="9" spans="1:42" x14ac:dyDescent="0.25">
      <c r="C9" t="s">
        <v>663</v>
      </c>
      <c r="D9" s="925">
        <v>400</v>
      </c>
      <c r="E9" t="s">
        <v>693</v>
      </c>
      <c r="AK9" s="875" t="s">
        <v>717</v>
      </c>
      <c r="AL9">
        <v>25</v>
      </c>
      <c r="AM9" s="874"/>
      <c r="AN9" s="868">
        <v>5.2083333333333398E-2</v>
      </c>
    </row>
    <row r="10" spans="1:42" x14ac:dyDescent="0.25">
      <c r="C10" t="s">
        <v>724</v>
      </c>
      <c r="D10" s="925">
        <v>100</v>
      </c>
      <c r="E10" t="s">
        <v>664</v>
      </c>
      <c r="AK10" s="875" t="s">
        <v>712</v>
      </c>
      <c r="AL10">
        <v>30</v>
      </c>
      <c r="AM10" s="874"/>
      <c r="AN10" s="868">
        <v>6.25E-2</v>
      </c>
    </row>
    <row r="11" spans="1:42" x14ac:dyDescent="0.25">
      <c r="C11" t="s">
        <v>723</v>
      </c>
      <c r="D11" s="926">
        <v>1.3</v>
      </c>
      <c r="E11" t="s">
        <v>693</v>
      </c>
      <c r="AK11" s="875" t="s">
        <v>718</v>
      </c>
      <c r="AL11">
        <v>35</v>
      </c>
      <c r="AM11" s="874"/>
      <c r="AN11" s="868">
        <v>7.2916666666666699E-2</v>
      </c>
    </row>
    <row r="12" spans="1:42" x14ac:dyDescent="0.25">
      <c r="B12" s="778"/>
      <c r="C12" t="s">
        <v>725</v>
      </c>
      <c r="D12" s="919">
        <f>+D11*1.1</f>
        <v>1.4300000000000002</v>
      </c>
      <c r="E12" t="s">
        <v>693</v>
      </c>
      <c r="H12" s="867">
        <v>1.3</v>
      </c>
      <c r="AK12" s="875" t="s">
        <v>719</v>
      </c>
      <c r="AL12">
        <v>40</v>
      </c>
      <c r="AM12" s="874"/>
      <c r="AN12" s="868">
        <v>8.3333333333333398E-2</v>
      </c>
    </row>
    <row r="13" spans="1:42" x14ac:dyDescent="0.25">
      <c r="C13" t="s">
        <v>726</v>
      </c>
      <c r="D13" s="920">
        <f>+D11/1.05</f>
        <v>1.2380952380952381</v>
      </c>
      <c r="E13" t="s">
        <v>693</v>
      </c>
      <c r="H13" s="867">
        <v>1.3</v>
      </c>
      <c r="AK13" s="875" t="s">
        <v>720</v>
      </c>
      <c r="AL13">
        <v>45</v>
      </c>
      <c r="AM13" s="874"/>
      <c r="AN13" s="868">
        <v>9.375E-2</v>
      </c>
    </row>
    <row r="14" spans="1:42" x14ac:dyDescent="0.25">
      <c r="C14" t="s">
        <v>665</v>
      </c>
      <c r="D14" s="921">
        <f>+I42</f>
        <v>454</v>
      </c>
      <c r="E14" t="s">
        <v>666</v>
      </c>
      <c r="H14" s="867">
        <f>160/30</f>
        <v>5.333333333333333</v>
      </c>
      <c r="AK14" s="875" t="s">
        <v>721</v>
      </c>
      <c r="AL14">
        <v>50</v>
      </c>
      <c r="AM14" s="874"/>
      <c r="AN14" s="868">
        <v>0.104166666666667</v>
      </c>
    </row>
    <row r="15" spans="1:42" x14ac:dyDescent="0.25">
      <c r="C15" t="s">
        <v>667</v>
      </c>
      <c r="D15" s="922">
        <f ca="1">MIN(Table14567[SOC_start])</f>
        <v>0</v>
      </c>
      <c r="F15" s="867"/>
      <c r="AK15">
        <v>10</v>
      </c>
      <c r="AL15">
        <v>55</v>
      </c>
      <c r="AM15" s="874"/>
      <c r="AN15" s="868">
        <v>0.11458333333333399</v>
      </c>
    </row>
    <row r="16" spans="1:42" x14ac:dyDescent="0.25">
      <c r="D16" s="878" t="s">
        <v>722</v>
      </c>
      <c r="E16" s="878" t="s">
        <v>678</v>
      </c>
      <c r="W16" s="871" t="s">
        <v>694</v>
      </c>
      <c r="X16" s="872"/>
      <c r="Y16" s="872"/>
      <c r="Z16" s="872"/>
      <c r="AA16" s="872"/>
      <c r="AB16" s="872"/>
      <c r="AC16" s="872"/>
      <c r="AD16" s="872"/>
      <c r="AE16" s="872"/>
      <c r="AF16" s="872"/>
      <c r="AG16" s="872"/>
      <c r="AH16" s="873"/>
      <c r="AK16">
        <v>11</v>
      </c>
      <c r="AL16">
        <v>60</v>
      </c>
      <c r="AM16" s="874"/>
      <c r="AN16" s="868">
        <v>0.125</v>
      </c>
    </row>
    <row r="17" spans="2:40" x14ac:dyDescent="0.25">
      <c r="C17" t="s">
        <v>711</v>
      </c>
      <c r="D17" s="923">
        <v>16</v>
      </c>
      <c r="E17" s="923">
        <v>30</v>
      </c>
      <c r="W17" s="929"/>
      <c r="X17" s="148"/>
      <c r="Y17" s="148"/>
      <c r="Z17" s="148"/>
      <c r="AA17" s="148"/>
      <c r="AB17" s="148"/>
      <c r="AC17" s="148"/>
      <c r="AD17" s="148"/>
      <c r="AE17" s="148"/>
      <c r="AF17" s="148"/>
      <c r="AG17" s="148"/>
      <c r="AH17" s="930"/>
      <c r="AK17">
        <v>12</v>
      </c>
      <c r="AM17" s="874"/>
      <c r="AN17" s="868">
        <v>0.13541666666666699</v>
      </c>
    </row>
    <row r="18" spans="2:40" x14ac:dyDescent="0.25">
      <c r="W18" s="929"/>
      <c r="X18" s="148"/>
      <c r="Y18" s="148"/>
      <c r="Z18" s="148"/>
      <c r="AA18" s="148"/>
      <c r="AB18" s="148"/>
      <c r="AC18" s="148"/>
      <c r="AD18" s="148"/>
      <c r="AE18" s="148"/>
      <c r="AF18" s="148"/>
      <c r="AG18" s="148"/>
      <c r="AH18" s="930"/>
      <c r="AK18">
        <v>13</v>
      </c>
      <c r="AN18" s="868">
        <v>0.14583333333333401</v>
      </c>
    </row>
    <row r="19" spans="2:40" ht="30" customHeight="1" x14ac:dyDescent="0.25">
      <c r="B19" s="603"/>
      <c r="C19" s="885" t="s">
        <v>669</v>
      </c>
      <c r="D19" s="884" t="s">
        <v>670</v>
      </c>
      <c r="E19" s="884" t="s">
        <v>671</v>
      </c>
      <c r="F19" s="884" t="s">
        <v>672</v>
      </c>
      <c r="G19" s="884" t="s">
        <v>673</v>
      </c>
      <c r="H19" s="884" t="s">
        <v>731</v>
      </c>
      <c r="I19" s="884" t="s">
        <v>674</v>
      </c>
      <c r="J19" s="884" t="s">
        <v>695</v>
      </c>
      <c r="K19" s="884" t="s">
        <v>696</v>
      </c>
      <c r="L19" s="884" t="s">
        <v>732</v>
      </c>
      <c r="M19" s="884" t="s">
        <v>668</v>
      </c>
      <c r="N19" s="884" t="s">
        <v>675</v>
      </c>
      <c r="O19" s="884" t="s">
        <v>676</v>
      </c>
      <c r="P19" s="884" t="s">
        <v>730</v>
      </c>
      <c r="Q19" s="884" t="s">
        <v>729</v>
      </c>
      <c r="R19" s="884" t="s">
        <v>728</v>
      </c>
      <c r="S19" s="884" t="s">
        <v>677</v>
      </c>
      <c r="T19" s="884" t="s">
        <v>678</v>
      </c>
      <c r="U19" s="886" t="s">
        <v>679</v>
      </c>
      <c r="V19" s="603"/>
      <c r="W19" s="929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  <c r="AH19" s="930"/>
      <c r="AK19">
        <v>14</v>
      </c>
      <c r="AN19" s="868">
        <v>0.15625</v>
      </c>
    </row>
    <row r="20" spans="2:40" x14ac:dyDescent="0.25">
      <c r="C20" s="879"/>
      <c r="D20" s="879"/>
      <c r="E20" s="881"/>
      <c r="F20" s="879"/>
      <c r="G20" s="879"/>
      <c r="H20" s="879"/>
      <c r="I20" s="879"/>
      <c r="J20" s="879"/>
      <c r="K20" s="882"/>
      <c r="L20" s="882"/>
      <c r="M20" s="879"/>
      <c r="N20" s="883"/>
      <c r="O20" s="883"/>
      <c r="P20" s="887"/>
      <c r="Q20" s="888" t="str">
        <f ca="1">IF(AP6&lt;AP5,"Update",D9)</f>
        <v>Update</v>
      </c>
      <c r="R20" s="889" t="str">
        <f ca="1">IFERROR(SUM(Table14567[[#This Row],[Batterikapacitet, kvar]]/$D$9),"")</f>
        <v/>
      </c>
      <c r="S20" s="881"/>
      <c r="T20" s="881"/>
      <c r="U20" s="881"/>
      <c r="W20" s="929"/>
      <c r="X20" s="148"/>
      <c r="Y20" s="148"/>
      <c r="Z20" s="148" t="s">
        <v>698</v>
      </c>
      <c r="AA20" s="148"/>
      <c r="AB20" s="148"/>
      <c r="AC20" s="148"/>
      <c r="AD20" s="148"/>
      <c r="AE20" s="148"/>
      <c r="AF20" s="148"/>
      <c r="AG20" s="148"/>
      <c r="AH20" s="930"/>
      <c r="AK20">
        <v>15</v>
      </c>
      <c r="AN20" s="868">
        <v>0.16666666666666699</v>
      </c>
    </row>
    <row r="21" spans="2:40" x14ac:dyDescent="0.25">
      <c r="C21" s="148" t="s">
        <v>697</v>
      </c>
      <c r="D21" s="148" t="s">
        <v>683</v>
      </c>
      <c r="E21" s="905" t="s">
        <v>710</v>
      </c>
      <c r="F21" s="148" t="s">
        <v>700</v>
      </c>
      <c r="G21" s="913" t="str">
        <f>AM5</f>
        <v>16:30</v>
      </c>
      <c r="H21" s="913">
        <f>IF(Table14567[[#This Row],[Aktivitet]]="Trp",+Table14567[[#This Row],[Avg Tid]]+Table14567[[#This Row],[Körtid]],Table14567[[#This Row],[Avg Tid]]+Table14567[[#This Row],[Stopptid]])</f>
        <v>0.75</v>
      </c>
      <c r="I21" s="148">
        <v>110</v>
      </c>
      <c r="J21" s="906">
        <v>6.25E-2</v>
      </c>
      <c r="K21" s="907"/>
      <c r="L21" s="907">
        <f>+Table14567[[#This Row],[Ank Tid]]+Table14567[[#This Row],[Stopptid]]</f>
        <v>0.75</v>
      </c>
      <c r="M21" s="148" t="s">
        <v>680</v>
      </c>
      <c r="N21" s="908">
        <v>0</v>
      </c>
      <c r="O21" s="915">
        <f>IF(Table14567[[#This Row],[Lastad]]="Ja",$D$12,IF(Table14567[[#This Row],[Lastad]]="Nej",$D$13,0))</f>
        <v>1.2380952380952381</v>
      </c>
      <c r="P21" s="916">
        <f>IF(C21="Laddning",$D$10*(-T21),O21*I21)*-1</f>
        <v>-136.1904761904762</v>
      </c>
      <c r="Q21" s="916" t="str">
        <f ca="1">IFERROR(IF(SUM(Q20+P21)&gt;$D$9,$D$9,SUM(Q20+P21)),"")</f>
        <v/>
      </c>
      <c r="R21" s="917" t="str">
        <f ca="1">IFERROR(SUM(Table14567[[#This Row],[Batterikapacitet, kvar]]/$D$9),"")</f>
        <v/>
      </c>
      <c r="S21" s="918">
        <f>+L21-G21</f>
        <v>6.25E-2</v>
      </c>
      <c r="T21" s="915">
        <f>+Table14567[[#This Row],[Tid]]*24</f>
        <v>1.5</v>
      </c>
      <c r="U21" s="909" t="s">
        <v>727</v>
      </c>
      <c r="W21" s="929"/>
      <c r="X21" s="148"/>
      <c r="Y21" s="148"/>
      <c r="Z21" s="148" t="s">
        <v>699</v>
      </c>
      <c r="AA21" s="148"/>
      <c r="AB21" s="148"/>
      <c r="AC21" s="148"/>
      <c r="AD21" s="148"/>
      <c r="AE21" s="148"/>
      <c r="AF21" s="148"/>
      <c r="AG21" s="148"/>
      <c r="AH21" s="930"/>
      <c r="AK21">
        <v>16</v>
      </c>
      <c r="AN21" s="868">
        <v>0.17708333333333401</v>
      </c>
    </row>
    <row r="22" spans="2:40" x14ac:dyDescent="0.25">
      <c r="C22" s="148" t="s">
        <v>682</v>
      </c>
      <c r="D22" s="148"/>
      <c r="E22" s="905"/>
      <c r="F22" s="148"/>
      <c r="G22" s="914">
        <f>+L21</f>
        <v>0.75</v>
      </c>
      <c r="H22" s="913">
        <f>IF(Table14567[[#This Row],[Aktivitet]]="Trp",+Table14567[[#This Row],[Avg Tid]]+Table14567[[#This Row],[Körtid]],Table14567[[#This Row],[Avg Tid]])</f>
        <v>0.75</v>
      </c>
      <c r="I22" s="148"/>
      <c r="J22" s="906"/>
      <c r="K22" s="907">
        <v>3.125E-2</v>
      </c>
      <c r="L22" s="907">
        <f>+Table14567[[#This Row],[Ank Tid]]+Table14567[[#This Row],[Stopptid]]</f>
        <v>0.78125</v>
      </c>
      <c r="M22" s="148"/>
      <c r="N22" s="908"/>
      <c r="O22" s="915">
        <f>IF(Table14567[[#This Row],[Lastad]]="Ja",$D$12,IF(Table14567[[#This Row],[Lastad]]="Nej",$D$13,0))</f>
        <v>0</v>
      </c>
      <c r="P22" s="916">
        <f t="shared" ref="P22:P39" si="0">IF(C22="Laddning",$D$10*(-T22),O22*I22)*-1</f>
        <v>75</v>
      </c>
      <c r="Q22" s="916" t="str">
        <f t="shared" ref="Q22:Q38" ca="1" si="1">IFERROR(IF(SUM(Q21+P22)&gt;$D$9,$D$9,SUM(Q21+P22)),"")</f>
        <v/>
      </c>
      <c r="R22" s="917" t="str">
        <f ca="1">IFERROR(SUM(Table14567[[#This Row],[Batterikapacitet, kvar]]/$D$9),"")</f>
        <v/>
      </c>
      <c r="S22" s="918">
        <f>+L22-G22</f>
        <v>3.125E-2</v>
      </c>
      <c r="T22" s="915">
        <f>+Table14567[[#This Row],[Tid]]*24</f>
        <v>0.75</v>
      </c>
      <c r="U22" s="910"/>
      <c r="W22" s="929"/>
      <c r="X22" s="148"/>
      <c r="Y22" s="148"/>
      <c r="Z22" s="148" t="s">
        <v>701</v>
      </c>
      <c r="AA22" s="148"/>
      <c r="AB22" s="148"/>
      <c r="AC22" s="148"/>
      <c r="AD22" s="148"/>
      <c r="AE22" s="148"/>
      <c r="AF22" s="148"/>
      <c r="AG22" s="148"/>
      <c r="AH22" s="930"/>
      <c r="AK22">
        <v>17</v>
      </c>
    </row>
    <row r="23" spans="2:40" x14ac:dyDescent="0.25">
      <c r="C23" s="148" t="s">
        <v>697</v>
      </c>
      <c r="D23" s="148" t="s">
        <v>700</v>
      </c>
      <c r="E23" s="905" t="s">
        <v>701</v>
      </c>
      <c r="F23" s="148" t="s">
        <v>681</v>
      </c>
      <c r="G23" s="914">
        <f t="shared" ref="G23:G38" si="2">+H22+K22</f>
        <v>0.78125</v>
      </c>
      <c r="H23" s="913">
        <f>IF(Table14567[[#This Row],[Aktivitet]]="Trp",+Table14567[[#This Row],[Avg Tid]]+Table14567[[#This Row],[Körtid]],Table14567[[#This Row],[Avg Tid]])</f>
        <v>0.83333333333333337</v>
      </c>
      <c r="I23" s="148">
        <v>105</v>
      </c>
      <c r="J23" s="906">
        <v>5.2083333333333398E-2</v>
      </c>
      <c r="K23" s="907"/>
      <c r="L23" s="907">
        <f>+Table14567[[#This Row],[Ank Tid]]+Table14567[[#This Row],[Stopptid]]</f>
        <v>0.83333333333333337</v>
      </c>
      <c r="M23" s="148" t="s">
        <v>41</v>
      </c>
      <c r="N23" s="908">
        <v>1</v>
      </c>
      <c r="O23" s="915">
        <f>IF(Table14567[[#This Row],[Lastad]]="Ja",$D$12,IF(Table14567[[#This Row],[Lastad]]="Nej",$D$13,0))</f>
        <v>1.4300000000000002</v>
      </c>
      <c r="P23" s="916">
        <f t="shared" si="0"/>
        <v>-150.15</v>
      </c>
      <c r="Q23" s="916" t="str">
        <f t="shared" ca="1" si="1"/>
        <v/>
      </c>
      <c r="R23" s="917" t="str">
        <f ca="1">IFERROR(SUM(Table14567[[#This Row],[Batterikapacitet, kvar]]/$D$9),"")</f>
        <v/>
      </c>
      <c r="S23" s="918">
        <f>+L23-G23</f>
        <v>5.208333333333337E-2</v>
      </c>
      <c r="T23" s="915">
        <f>+Table14567[[#This Row],[Tid]]*24</f>
        <v>1.2500000000000009</v>
      </c>
      <c r="U23" s="909" t="s">
        <v>702</v>
      </c>
      <c r="W23" s="929"/>
      <c r="X23" s="148"/>
      <c r="Y23" s="148"/>
      <c r="Z23" s="148" t="s">
        <v>703</v>
      </c>
      <c r="AA23" s="148"/>
      <c r="AB23" s="148"/>
      <c r="AC23" s="148"/>
      <c r="AD23" s="148"/>
      <c r="AE23" s="148"/>
      <c r="AF23" s="148"/>
      <c r="AG23" s="148"/>
      <c r="AH23" s="930"/>
      <c r="AK23">
        <v>18</v>
      </c>
    </row>
    <row r="24" spans="2:40" x14ac:dyDescent="0.25">
      <c r="C24" s="148" t="s">
        <v>682</v>
      </c>
      <c r="D24" s="148"/>
      <c r="E24" s="905"/>
      <c r="F24" s="148"/>
      <c r="G24" s="914">
        <f t="shared" si="2"/>
        <v>0.83333333333333337</v>
      </c>
      <c r="H24" s="913">
        <f>IF(Table14567[[#This Row],[Aktivitet]]="Trp",+Table14567[[#This Row],[Avg Tid]]+Table14567[[#This Row],[Körtid]],Table14567[[#This Row],[Avg Tid]])</f>
        <v>0.83333333333333337</v>
      </c>
      <c r="I24" s="148"/>
      <c r="J24" s="906"/>
      <c r="K24" s="907">
        <v>0.125</v>
      </c>
      <c r="L24" s="907">
        <f>+Table14567[[#This Row],[Ank Tid]]+Table14567[[#This Row],[Stopptid]]</f>
        <v>0.95833333333333337</v>
      </c>
      <c r="M24" s="148"/>
      <c r="N24" s="908"/>
      <c r="O24" s="915">
        <f>IF(Table14567[[#This Row],[Lastad]]="Ja",$D$12,IF(Table14567[[#This Row],[Lastad]]="Nej",$D$13,0))</f>
        <v>0</v>
      </c>
      <c r="P24" s="916">
        <f t="shared" si="0"/>
        <v>300</v>
      </c>
      <c r="Q24" s="916" t="str">
        <f t="shared" ca="1" si="1"/>
        <v/>
      </c>
      <c r="R24" s="917" t="str">
        <f ca="1">IFERROR(SUM(Table14567[[#This Row],[Batterikapacitet, kvar]]/$D$9),"")</f>
        <v/>
      </c>
      <c r="S24" s="918">
        <f t="shared" ref="S24:S38" si="3">+L24-G24</f>
        <v>0.125</v>
      </c>
      <c r="T24" s="915">
        <f>+Table14567[[#This Row],[Tid]]*24</f>
        <v>3</v>
      </c>
      <c r="U24" s="909"/>
      <c r="W24" s="929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930"/>
      <c r="AK24">
        <v>19</v>
      </c>
    </row>
    <row r="25" spans="2:40" x14ac:dyDescent="0.25">
      <c r="C25" s="148" t="s">
        <v>697</v>
      </c>
      <c r="D25" s="148" t="s">
        <v>681</v>
      </c>
      <c r="E25" s="905"/>
      <c r="F25" s="148" t="s">
        <v>683</v>
      </c>
      <c r="G25" s="914">
        <f t="shared" si="2"/>
        <v>0.95833333333333337</v>
      </c>
      <c r="H25" s="913">
        <f>IF(Table14567[[#This Row],[Aktivitet]]="Trp",+Table14567[[#This Row],[Avg Tid]]+Table14567[[#This Row],[Körtid]],Table14567[[#This Row],[Avg Tid]])</f>
        <v>1.03125</v>
      </c>
      <c r="I25" s="148">
        <v>125</v>
      </c>
      <c r="J25" s="906">
        <v>7.2916666666666699E-2</v>
      </c>
      <c r="K25" s="907">
        <v>1.0416666666666666E-2</v>
      </c>
      <c r="L25" s="907">
        <f>+Table14567[[#This Row],[Ank Tid]]+Table14567[[#This Row],[Stopptid]]</f>
        <v>1.0416666666666667</v>
      </c>
      <c r="M25" s="148" t="s">
        <v>41</v>
      </c>
      <c r="N25" s="908">
        <v>1</v>
      </c>
      <c r="O25" s="915">
        <f>IF(Table14567[[#This Row],[Lastad]]="Ja",$D$12,IF(Table14567[[#This Row],[Lastad]]="Nej",$D$13,0))</f>
        <v>1.4300000000000002</v>
      </c>
      <c r="P25" s="916">
        <f t="shared" si="0"/>
        <v>-178.75000000000003</v>
      </c>
      <c r="Q25" s="916" t="str">
        <f t="shared" ca="1" si="1"/>
        <v/>
      </c>
      <c r="R25" s="917" t="str">
        <f ca="1">IFERROR(SUM(Table14567[[#This Row],[Batterikapacitet, kvar]]/$D$9),"")</f>
        <v/>
      </c>
      <c r="S25" s="918">
        <f t="shared" si="3"/>
        <v>8.333333333333337E-2</v>
      </c>
      <c r="T25" s="915">
        <f>+Table14567[[#This Row],[Tid]]*24</f>
        <v>2.0000000000000009</v>
      </c>
      <c r="U25" s="909" t="s">
        <v>684</v>
      </c>
      <c r="W25" s="929"/>
      <c r="X25" s="148"/>
      <c r="Y25" s="148"/>
      <c r="Z25" s="148" t="s">
        <v>705</v>
      </c>
      <c r="AA25" s="148"/>
      <c r="AB25" s="148"/>
      <c r="AC25" s="148"/>
      <c r="AD25" s="148"/>
      <c r="AE25" s="148"/>
      <c r="AF25" s="148"/>
      <c r="AG25" s="148"/>
      <c r="AH25" s="930"/>
      <c r="AK25">
        <v>20</v>
      </c>
    </row>
    <row r="26" spans="2:40" x14ac:dyDescent="0.25">
      <c r="C26" s="148" t="s">
        <v>697</v>
      </c>
      <c r="D26" s="148" t="s">
        <v>683</v>
      </c>
      <c r="E26" s="905"/>
      <c r="F26" s="148" t="s">
        <v>685</v>
      </c>
      <c r="G26" s="914">
        <f t="shared" si="2"/>
        <v>1.0416666666666667</v>
      </c>
      <c r="H26" s="913">
        <f>IF(Table14567[[#This Row],[Aktivitet]]="Trp",+Table14567[[#This Row],[Avg Tid]]+Table14567[[#This Row],[Körtid]],Table14567[[#This Row],[Avg Tid]])</f>
        <v>1.0729166666666667</v>
      </c>
      <c r="I26" s="148">
        <v>35</v>
      </c>
      <c r="J26" s="906">
        <v>3.125E-2</v>
      </c>
      <c r="K26" s="907">
        <v>1.0416666666666666E-2</v>
      </c>
      <c r="L26" s="907">
        <f>+Table14567[[#This Row],[Ank Tid]]+Table14567[[#This Row],[Stopptid]]</f>
        <v>1.0833333333333335</v>
      </c>
      <c r="M26" s="148" t="s">
        <v>41</v>
      </c>
      <c r="N26" s="908">
        <v>0.75</v>
      </c>
      <c r="O26" s="915">
        <f>IF(Table14567[[#This Row],[Lastad]]="Ja",$D$12,IF(Table14567[[#This Row],[Lastad]]="Nej",$D$13,0))</f>
        <v>1.4300000000000002</v>
      </c>
      <c r="P26" s="916">
        <f t="shared" si="0"/>
        <v>-50.050000000000004</v>
      </c>
      <c r="Q26" s="916" t="str">
        <f t="shared" ca="1" si="1"/>
        <v/>
      </c>
      <c r="R26" s="917" t="str">
        <f ca="1">IFERROR(SUM(Table14567[[#This Row],[Batterikapacitet, kvar]]/$D$9),"")</f>
        <v/>
      </c>
      <c r="S26" s="918">
        <f t="shared" si="3"/>
        <v>4.1666666666666741E-2</v>
      </c>
      <c r="T26" s="915">
        <f>+Table14567[[#This Row],[Tid]]*24</f>
        <v>1.0000000000000018</v>
      </c>
      <c r="U26" s="909" t="s">
        <v>686</v>
      </c>
      <c r="W26" s="929"/>
      <c r="X26" s="148"/>
      <c r="Y26" s="148"/>
      <c r="Z26" s="148" t="s">
        <v>706</v>
      </c>
      <c r="AA26" s="148"/>
      <c r="AB26" s="148"/>
      <c r="AC26" s="148"/>
      <c r="AD26" s="148"/>
      <c r="AE26" s="148"/>
      <c r="AF26" s="148"/>
      <c r="AG26" s="148"/>
      <c r="AH26" s="930"/>
      <c r="AK26">
        <v>21</v>
      </c>
    </row>
    <row r="27" spans="2:40" x14ac:dyDescent="0.25">
      <c r="C27" s="148" t="s">
        <v>697</v>
      </c>
      <c r="D27" s="148" t="s">
        <v>685</v>
      </c>
      <c r="E27" s="905"/>
      <c r="F27" s="148" t="s">
        <v>687</v>
      </c>
      <c r="G27" s="914">
        <f t="shared" si="2"/>
        <v>1.0833333333333335</v>
      </c>
      <c r="H27" s="913">
        <f>IF(Table14567[[#This Row],[Aktivitet]]="Trp",+Table14567[[#This Row],[Avg Tid]]+Table14567[[#This Row],[Körtid]],Table14567[[#This Row],[Avg Tid]])</f>
        <v>1.0937500000000002</v>
      </c>
      <c r="I27" s="148">
        <v>15</v>
      </c>
      <c r="J27" s="906">
        <v>1.0416666666666666E-2</v>
      </c>
      <c r="K27" s="907">
        <v>1.0416666666666666E-2</v>
      </c>
      <c r="L27" s="907">
        <f>+Table14567[[#This Row],[Ank Tid]]+Table14567[[#This Row],[Stopptid]]</f>
        <v>1.104166666666667</v>
      </c>
      <c r="M27" s="148" t="s">
        <v>704</v>
      </c>
      <c r="N27" s="908">
        <v>0.5</v>
      </c>
      <c r="O27" s="915">
        <f>IF(Table14567[[#This Row],[Lastad]]="Ja",$D$12,IF(Table14567[[#This Row],[Lastad]]="Nej",$D$13,0))</f>
        <v>1.4300000000000002</v>
      </c>
      <c r="P27" s="916">
        <f t="shared" si="0"/>
        <v>-21.450000000000003</v>
      </c>
      <c r="Q27" s="916" t="str">
        <f t="shared" ca="1" si="1"/>
        <v/>
      </c>
      <c r="R27" s="917" t="str">
        <f ca="1">IFERROR(SUM(Table14567[[#This Row],[Batterikapacitet, kvar]]/$D$9),"")</f>
        <v/>
      </c>
      <c r="S27" s="918">
        <f>+L27-G27</f>
        <v>2.0833333333333481E-2</v>
      </c>
      <c r="T27" s="915">
        <f>+Table14567[[#This Row],[Tid]]*24</f>
        <v>0.50000000000000355</v>
      </c>
      <c r="U27" s="909" t="s">
        <v>688</v>
      </c>
      <c r="W27" s="929"/>
      <c r="X27" s="148"/>
      <c r="Y27" s="148"/>
      <c r="Z27" s="148" t="s">
        <v>707</v>
      </c>
      <c r="AA27" s="148"/>
      <c r="AB27" s="148"/>
      <c r="AC27" s="148"/>
      <c r="AD27" s="148"/>
      <c r="AE27" s="148"/>
      <c r="AF27" s="148"/>
      <c r="AG27" s="148"/>
      <c r="AH27" s="930"/>
      <c r="AK27">
        <v>22</v>
      </c>
    </row>
    <row r="28" spans="2:40" x14ac:dyDescent="0.25">
      <c r="C28" s="148" t="s">
        <v>697</v>
      </c>
      <c r="D28" s="148" t="s">
        <v>687</v>
      </c>
      <c r="E28" s="905"/>
      <c r="F28" s="148" t="s">
        <v>689</v>
      </c>
      <c r="G28" s="914">
        <f t="shared" si="2"/>
        <v>1.104166666666667</v>
      </c>
      <c r="H28" s="913">
        <f>IF(Table14567[[#This Row],[Aktivitet]]="Trp",+Table14567[[#This Row],[Avg Tid]]+Table14567[[#This Row],[Körtid]],Table14567[[#This Row],[Avg Tid]])</f>
        <v>1.1250000000000002</v>
      </c>
      <c r="I28" s="148">
        <v>16</v>
      </c>
      <c r="J28" s="906">
        <v>2.0833333333333332E-2</v>
      </c>
      <c r="K28" s="907">
        <v>1.0416666666666666E-2</v>
      </c>
      <c r="L28" s="907">
        <f>+Table14567[[#This Row],[Ank Tid]]+Table14567[[#This Row],[Stopptid]]</f>
        <v>1.135416666666667</v>
      </c>
      <c r="M28" s="148" t="s">
        <v>41</v>
      </c>
      <c r="N28" s="908">
        <v>0.25</v>
      </c>
      <c r="O28" s="915">
        <f>IF(Table14567[[#This Row],[Lastad]]="Ja",$D$12,IF(Table14567[[#This Row],[Lastad]]="Nej",$D$13,0))</f>
        <v>1.4300000000000002</v>
      </c>
      <c r="P28" s="916">
        <f t="shared" si="0"/>
        <v>-22.880000000000003</v>
      </c>
      <c r="Q28" s="916" t="str">
        <f t="shared" ca="1" si="1"/>
        <v/>
      </c>
      <c r="R28" s="917" t="str">
        <f ca="1">IFERROR(SUM(Table14567[[#This Row],[Batterikapacitet, kvar]]/$D$9),"")</f>
        <v/>
      </c>
      <c r="S28" s="918">
        <f t="shared" si="3"/>
        <v>3.125E-2</v>
      </c>
      <c r="T28" s="915">
        <f>+Table14567[[#This Row],[Tid]]*24</f>
        <v>0.75</v>
      </c>
      <c r="U28" s="909" t="s">
        <v>690</v>
      </c>
      <c r="W28" s="929"/>
      <c r="X28" s="148"/>
      <c r="Y28" s="148"/>
      <c r="Z28" s="148" t="s">
        <v>710</v>
      </c>
      <c r="AA28" s="148"/>
      <c r="AB28" s="148"/>
      <c r="AC28" s="148"/>
      <c r="AD28" s="148"/>
      <c r="AE28" s="148"/>
      <c r="AF28" s="148"/>
      <c r="AG28" s="148"/>
      <c r="AH28" s="930"/>
      <c r="AK28">
        <v>23</v>
      </c>
    </row>
    <row r="29" spans="2:40" x14ac:dyDescent="0.25">
      <c r="C29" s="148" t="s">
        <v>697</v>
      </c>
      <c r="D29" s="148" t="s">
        <v>689</v>
      </c>
      <c r="E29" s="905"/>
      <c r="F29" s="148" t="s">
        <v>683</v>
      </c>
      <c r="G29" s="914">
        <f t="shared" si="2"/>
        <v>1.135416666666667</v>
      </c>
      <c r="H29" s="913">
        <f>IF(Table14567[[#This Row],[Aktivitet]]="Trp",+Table14567[[#This Row],[Avg Tid]]+Table14567[[#This Row],[Körtid]],Table14567[[#This Row],[Avg Tid]])</f>
        <v>1.166666666666667</v>
      </c>
      <c r="I29" s="148">
        <v>48</v>
      </c>
      <c r="J29" s="906">
        <v>3.125E-2</v>
      </c>
      <c r="K29" s="907">
        <v>1.0416666666666666E-2</v>
      </c>
      <c r="L29" s="907">
        <f>+Table14567[[#This Row],[Ank Tid]]+Table14567[[#This Row],[Stopptid]]</f>
        <v>1.1770833333333337</v>
      </c>
      <c r="M29" s="148" t="s">
        <v>680</v>
      </c>
      <c r="N29" s="908"/>
      <c r="O29" s="915">
        <f>IF(Table14567[[#This Row],[Lastad]]="Ja",$D$12,IF(Table14567[[#This Row],[Lastad]]="Nej",$D$13,0))</f>
        <v>1.2380952380952381</v>
      </c>
      <c r="P29" s="916">
        <f t="shared" si="0"/>
        <v>-59.428571428571431</v>
      </c>
      <c r="Q29" s="916" t="str">
        <f t="shared" ca="1" si="1"/>
        <v/>
      </c>
      <c r="R29" s="917" t="str">
        <f ca="1">IFERROR(SUM(Table14567[[#This Row],[Batterikapacitet, kvar]]/$D$9),"")</f>
        <v/>
      </c>
      <c r="S29" s="918">
        <f t="shared" si="3"/>
        <v>4.1666666666666741E-2</v>
      </c>
      <c r="T29" s="915">
        <f>+Table14567[[#This Row],[Tid]]*24</f>
        <v>1.0000000000000018</v>
      </c>
      <c r="U29" s="909" t="s">
        <v>733</v>
      </c>
      <c r="W29" s="929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930"/>
    </row>
    <row r="30" spans="2:40" outlineLevel="1" x14ac:dyDescent="0.25">
      <c r="C30" s="148" t="s">
        <v>697</v>
      </c>
      <c r="D30" s="148"/>
      <c r="E30" s="905"/>
      <c r="F30" s="148"/>
      <c r="G30" s="914">
        <f t="shared" si="2"/>
        <v>1.1770833333333337</v>
      </c>
      <c r="H30" s="913">
        <f>IF(Table14567[[#This Row],[Aktivitet]]="Trp",+Table14567[[#This Row],[Avg Tid]]+Table14567[[#This Row],[Körtid]],Table14567[[#This Row],[Avg Tid]])</f>
        <v>1.1770833333333337</v>
      </c>
      <c r="I30" s="148"/>
      <c r="J30" s="906"/>
      <c r="K30" s="907"/>
      <c r="L30" s="907">
        <f>+Table14567[[#This Row],[Ank Tid]]+Table14567[[#This Row],[Stopptid]]</f>
        <v>1.1770833333333337</v>
      </c>
      <c r="M30" s="148"/>
      <c r="N30" s="908"/>
      <c r="O30" s="915">
        <f>IF(Table14567[[#This Row],[Lastad]]="Ja",$D$12,IF(Table14567[[#This Row],[Lastad]]="Nej",$D$13,0))</f>
        <v>0</v>
      </c>
      <c r="P30" s="916">
        <f t="shared" si="0"/>
        <v>0</v>
      </c>
      <c r="Q30" s="916" t="str">
        <f t="shared" ca="1" si="1"/>
        <v/>
      </c>
      <c r="R30" s="917" t="str">
        <f ca="1">IFERROR(SUM(Table14567[[#This Row],[Batterikapacitet, kvar]]/$D$9),"")</f>
        <v/>
      </c>
      <c r="S30" s="918">
        <f t="shared" si="3"/>
        <v>0</v>
      </c>
      <c r="T30" s="915">
        <f>+Table14567[[#This Row],[Tid]]*24</f>
        <v>0</v>
      </c>
      <c r="U30" s="909"/>
      <c r="W30" s="929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930"/>
    </row>
    <row r="31" spans="2:40" outlineLevel="1" x14ac:dyDescent="0.25">
      <c r="C31" s="148" t="s">
        <v>697</v>
      </c>
      <c r="D31" s="148"/>
      <c r="E31" s="905"/>
      <c r="F31" s="148"/>
      <c r="G31" s="914">
        <f t="shared" si="2"/>
        <v>1.1770833333333337</v>
      </c>
      <c r="H31" s="913">
        <f>IF(Table14567[[#This Row],[Aktivitet]]="Trp",+Table14567[[#This Row],[Avg Tid]]+Table14567[[#This Row],[Körtid]],Table14567[[#This Row],[Avg Tid]])</f>
        <v>1.1770833333333337</v>
      </c>
      <c r="I31" s="148"/>
      <c r="J31" s="907"/>
      <c r="K31" s="907"/>
      <c r="L31" s="907">
        <f>+Table14567[[#This Row],[Ank Tid]]+Table14567[[#This Row],[Stopptid]]</f>
        <v>1.1770833333333337</v>
      </c>
      <c r="M31" s="148"/>
      <c r="N31" s="908"/>
      <c r="O31" s="915">
        <f>IF(Table14567[[#This Row],[Lastad]]="Ja",$D$12,IF(Table14567[[#This Row],[Lastad]]="Nej",$D$13,0))</f>
        <v>0</v>
      </c>
      <c r="P31" s="916">
        <f t="shared" si="0"/>
        <v>0</v>
      </c>
      <c r="Q31" s="916" t="str">
        <f t="shared" ca="1" si="1"/>
        <v/>
      </c>
      <c r="R31" s="917" t="str">
        <f ca="1">IFERROR(SUM(Table14567[[#This Row],[Batterikapacitet, kvar]]/$D$9),"")</f>
        <v/>
      </c>
      <c r="S31" s="918">
        <f t="shared" si="3"/>
        <v>0</v>
      </c>
      <c r="T31" s="915">
        <f>+Table14567[[#This Row],[Tid]]*24</f>
        <v>0</v>
      </c>
      <c r="U31" s="909"/>
      <c r="W31" s="929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930"/>
    </row>
    <row r="32" spans="2:40" outlineLevel="1" x14ac:dyDescent="0.25">
      <c r="C32" s="148"/>
      <c r="D32" s="148"/>
      <c r="E32" s="905"/>
      <c r="F32" s="148"/>
      <c r="G32" s="914">
        <f t="shared" si="2"/>
        <v>1.1770833333333337</v>
      </c>
      <c r="H32" s="913">
        <f>IF(Table14567[[#This Row],[Aktivitet]]="Trp",+Table14567[[#This Row],[Avg Tid]]+Table14567[[#This Row],[Körtid]],Table14567[[#This Row],[Avg Tid]])</f>
        <v>1.1770833333333337</v>
      </c>
      <c r="I32" s="148"/>
      <c r="J32" s="907"/>
      <c r="K32" s="907"/>
      <c r="L32" s="907">
        <f>+Table14567[[#This Row],[Ank Tid]]+Table14567[[#This Row],[Stopptid]]</f>
        <v>1.1770833333333337</v>
      </c>
      <c r="M32" s="148"/>
      <c r="N32" s="908"/>
      <c r="O32" s="915">
        <f>IF(Table14567[[#This Row],[Lastad]]="Ja",$D$12,IF(Table14567[[#This Row],[Lastad]]="Nej",$D$13,0))</f>
        <v>0</v>
      </c>
      <c r="P32" s="916">
        <f t="shared" si="0"/>
        <v>0</v>
      </c>
      <c r="Q32" s="916" t="str">
        <f t="shared" ca="1" si="1"/>
        <v/>
      </c>
      <c r="R32" s="917" t="str">
        <f ca="1">IFERROR(SUM(Table14567[[#This Row],[Batterikapacitet, kvar]]/$D$9),"")</f>
        <v/>
      </c>
      <c r="S32" s="918">
        <f t="shared" si="3"/>
        <v>0</v>
      </c>
      <c r="T32" s="915">
        <f>+Table14567[[#This Row],[Tid]]*24</f>
        <v>0</v>
      </c>
      <c r="U32" s="909"/>
      <c r="W32" s="929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930"/>
    </row>
    <row r="33" spans="3:34" outlineLevel="1" x14ac:dyDescent="0.25">
      <c r="C33" s="148"/>
      <c r="D33" s="148"/>
      <c r="E33" s="905"/>
      <c r="F33" s="148"/>
      <c r="G33" s="914">
        <f t="shared" si="2"/>
        <v>1.1770833333333337</v>
      </c>
      <c r="H33" s="913">
        <f>IF(Table14567[[#This Row],[Aktivitet]]="Trp",+Table14567[[#This Row],[Avg Tid]]+Table14567[[#This Row],[Körtid]],Table14567[[#This Row],[Avg Tid]])</f>
        <v>1.1770833333333337</v>
      </c>
      <c r="I33" s="148"/>
      <c r="J33" s="907"/>
      <c r="K33" s="907"/>
      <c r="L33" s="907">
        <f>+Table14567[[#This Row],[Ank Tid]]+Table14567[[#This Row],[Stopptid]]</f>
        <v>1.1770833333333337</v>
      </c>
      <c r="M33" s="148"/>
      <c r="N33" s="908"/>
      <c r="O33" s="915">
        <f>IF(Table14567[[#This Row],[Lastad]]="Ja",$D$12,IF(Table14567[[#This Row],[Lastad]]="Nej",$D$13,0))</f>
        <v>0</v>
      </c>
      <c r="P33" s="916">
        <f t="shared" si="0"/>
        <v>0</v>
      </c>
      <c r="Q33" s="916" t="str">
        <f t="shared" ca="1" si="1"/>
        <v/>
      </c>
      <c r="R33" s="917" t="str">
        <f ca="1">IFERROR(SUM(Table14567[[#This Row],[Batterikapacitet, kvar]]/$D$9),"")</f>
        <v/>
      </c>
      <c r="S33" s="918">
        <f t="shared" si="3"/>
        <v>0</v>
      </c>
      <c r="T33" s="915">
        <f>+Table14567[[#This Row],[Tid]]*24</f>
        <v>0</v>
      </c>
      <c r="U33" s="911"/>
      <c r="W33" s="929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930"/>
    </row>
    <row r="34" spans="3:34" outlineLevel="1" x14ac:dyDescent="0.25">
      <c r="C34" s="148"/>
      <c r="D34" s="148"/>
      <c r="E34" s="905"/>
      <c r="F34" s="148"/>
      <c r="G34" s="914">
        <f t="shared" si="2"/>
        <v>1.1770833333333337</v>
      </c>
      <c r="H34" s="913">
        <f>IF(Table14567[[#This Row],[Aktivitet]]="Trp",+Table14567[[#This Row],[Avg Tid]]+Table14567[[#This Row],[Körtid]],Table14567[[#This Row],[Avg Tid]])</f>
        <v>1.1770833333333337</v>
      </c>
      <c r="I34" s="148"/>
      <c r="J34" s="907"/>
      <c r="K34" s="907"/>
      <c r="L34" s="907">
        <f>+Table14567[[#This Row],[Ank Tid]]+Table14567[[#This Row],[Stopptid]]</f>
        <v>1.1770833333333337</v>
      </c>
      <c r="M34" s="148"/>
      <c r="N34" s="908"/>
      <c r="O34" s="915">
        <f>IF(Table14567[[#This Row],[Lastad]]="Ja",$D$12,IF(Table14567[[#This Row],[Lastad]]="Nej",$D$13,0))</f>
        <v>0</v>
      </c>
      <c r="P34" s="916">
        <f t="shared" si="0"/>
        <v>0</v>
      </c>
      <c r="Q34" s="916" t="str">
        <f t="shared" ca="1" si="1"/>
        <v/>
      </c>
      <c r="R34" s="917" t="str">
        <f ca="1">IFERROR(SUM(Table14567[[#This Row],[Batterikapacitet, kvar]]/$D$9),"")</f>
        <v/>
      </c>
      <c r="S34" s="918">
        <f t="shared" si="3"/>
        <v>0</v>
      </c>
      <c r="T34" s="915">
        <f>+Table14567[[#This Row],[Tid]]*24</f>
        <v>0</v>
      </c>
      <c r="U34" s="911"/>
      <c r="W34" s="929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930"/>
    </row>
    <row r="35" spans="3:34" outlineLevel="1" x14ac:dyDescent="0.25">
      <c r="C35" s="148"/>
      <c r="D35" s="148"/>
      <c r="E35" s="905"/>
      <c r="F35" s="148"/>
      <c r="G35" s="914">
        <f t="shared" si="2"/>
        <v>1.1770833333333337</v>
      </c>
      <c r="H35" s="913">
        <f>IF(Table14567[[#This Row],[Aktivitet]]="Trp",+Table14567[[#This Row],[Avg Tid]]+Table14567[[#This Row],[Körtid]],Table14567[[#This Row],[Avg Tid]])</f>
        <v>1.1770833333333337</v>
      </c>
      <c r="I35" s="148"/>
      <c r="J35" s="907"/>
      <c r="K35" s="907"/>
      <c r="L35" s="907">
        <f>+Table14567[[#This Row],[Ank Tid]]+Table14567[[#This Row],[Stopptid]]</f>
        <v>1.1770833333333337</v>
      </c>
      <c r="M35" s="148"/>
      <c r="N35" s="908"/>
      <c r="O35" s="915">
        <f>IF(Table14567[[#This Row],[Lastad]]="Ja",$D$12,IF(Table14567[[#This Row],[Lastad]]="Nej",$D$13,0))</f>
        <v>0</v>
      </c>
      <c r="P35" s="916">
        <f t="shared" si="0"/>
        <v>0</v>
      </c>
      <c r="Q35" s="916" t="str">
        <f t="shared" ca="1" si="1"/>
        <v/>
      </c>
      <c r="R35" s="917" t="str">
        <f ca="1">IFERROR(SUM(Table14567[[#This Row],[Batterikapacitet, kvar]]/$D$9),"")</f>
        <v/>
      </c>
      <c r="S35" s="918">
        <f t="shared" si="3"/>
        <v>0</v>
      </c>
      <c r="T35" s="915">
        <f>+Table14567[[#This Row],[Tid]]*24</f>
        <v>0</v>
      </c>
      <c r="U35" s="911"/>
      <c r="W35" s="929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930"/>
    </row>
    <row r="36" spans="3:34" outlineLevel="1" x14ac:dyDescent="0.25">
      <c r="C36" s="148"/>
      <c r="D36" s="148"/>
      <c r="E36" s="905"/>
      <c r="F36" s="148"/>
      <c r="G36" s="914">
        <f t="shared" si="2"/>
        <v>1.1770833333333337</v>
      </c>
      <c r="H36" s="913">
        <f>IF(Table14567[[#This Row],[Aktivitet]]="Trp",+Table14567[[#This Row],[Avg Tid]]+Table14567[[#This Row],[Körtid]],Table14567[[#This Row],[Avg Tid]])</f>
        <v>1.1770833333333337</v>
      </c>
      <c r="I36" s="148"/>
      <c r="J36" s="907"/>
      <c r="K36" s="907"/>
      <c r="L36" s="907">
        <f>+Table14567[[#This Row],[Ank Tid]]+Table14567[[#This Row],[Stopptid]]</f>
        <v>1.1770833333333337</v>
      </c>
      <c r="M36" s="148"/>
      <c r="N36" s="908"/>
      <c r="O36" s="915">
        <f>IF(Table14567[[#This Row],[Lastad]]="Ja",$D$12,IF(Table14567[[#This Row],[Lastad]]="Nej",$D$13,0))</f>
        <v>0</v>
      </c>
      <c r="P36" s="916">
        <f t="shared" si="0"/>
        <v>0</v>
      </c>
      <c r="Q36" s="916" t="str">
        <f t="shared" ca="1" si="1"/>
        <v/>
      </c>
      <c r="R36" s="917" t="str">
        <f ca="1">IFERROR(SUM(Table14567[[#This Row],[Batterikapacitet, kvar]]/$D$9),"")</f>
        <v/>
      </c>
      <c r="S36" s="918">
        <f t="shared" si="3"/>
        <v>0</v>
      </c>
      <c r="T36" s="915">
        <f>+Table14567[[#This Row],[Tid]]*24</f>
        <v>0</v>
      </c>
      <c r="U36" s="911"/>
      <c r="W36" s="929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930"/>
    </row>
    <row r="37" spans="3:34" outlineLevel="1" x14ac:dyDescent="0.25">
      <c r="C37" s="148" t="s">
        <v>697</v>
      </c>
      <c r="D37" s="148"/>
      <c r="E37" s="905"/>
      <c r="F37" s="148"/>
      <c r="G37" s="914">
        <f t="shared" si="2"/>
        <v>1.1770833333333337</v>
      </c>
      <c r="H37" s="913">
        <f>IF(Table14567[[#This Row],[Aktivitet]]="Trp",+Table14567[[#This Row],[Avg Tid]]+Table14567[[#This Row],[Körtid]],Table14567[[#This Row],[Avg Tid]])</f>
        <v>1.1770833333333337</v>
      </c>
      <c r="I37" s="148"/>
      <c r="J37" s="907"/>
      <c r="K37" s="907"/>
      <c r="L37" s="907">
        <f>+Table14567[[#This Row],[Ank Tid]]+Table14567[[#This Row],[Stopptid]]</f>
        <v>1.1770833333333337</v>
      </c>
      <c r="M37" s="148"/>
      <c r="N37" s="908"/>
      <c r="O37" s="915">
        <f>IF(Table14567[[#This Row],[Lastad]]="Ja",$D$12,IF(Table14567[[#This Row],[Lastad]]="Nej",$D$13,0))</f>
        <v>0</v>
      </c>
      <c r="P37" s="916">
        <f t="shared" si="0"/>
        <v>0</v>
      </c>
      <c r="Q37" s="916" t="str">
        <f t="shared" ca="1" si="1"/>
        <v/>
      </c>
      <c r="R37" s="917" t="str">
        <f ca="1">IFERROR(SUM(Table14567[[#This Row],[Batterikapacitet, kvar]]/$D$9),"")</f>
        <v/>
      </c>
      <c r="S37" s="918">
        <f t="shared" si="3"/>
        <v>0</v>
      </c>
      <c r="T37" s="915">
        <f>+Table14567[[#This Row],[Tid]]*24</f>
        <v>0</v>
      </c>
      <c r="U37" s="911"/>
      <c r="W37" s="929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930"/>
    </row>
    <row r="38" spans="3:34" outlineLevel="1" x14ac:dyDescent="0.25">
      <c r="C38" s="148" t="s">
        <v>697</v>
      </c>
      <c r="D38" s="148"/>
      <c r="E38" s="905"/>
      <c r="F38" s="148"/>
      <c r="G38" s="914">
        <f t="shared" si="2"/>
        <v>1.1770833333333337</v>
      </c>
      <c r="H38" s="913">
        <f>IF(Table14567[[#This Row],[Aktivitet]]="Trp",+Table14567[[#This Row],[Avg Tid]]+Table14567[[#This Row],[Körtid]],Table14567[[#This Row],[Avg Tid]])</f>
        <v>1.1770833333333337</v>
      </c>
      <c r="I38" s="148"/>
      <c r="J38" s="907"/>
      <c r="K38" s="907"/>
      <c r="L38" s="907">
        <f>+Table14567[[#This Row],[Ank Tid]]+Table14567[[#This Row],[Stopptid]]</f>
        <v>1.1770833333333337</v>
      </c>
      <c r="M38" s="148"/>
      <c r="N38" s="908"/>
      <c r="O38" s="915">
        <f>IF(Table14567[[#This Row],[Lastad]]="Ja",$D$12,IF(Table14567[[#This Row],[Lastad]]="Nej",$D$13,0))</f>
        <v>0</v>
      </c>
      <c r="P38" s="916">
        <f t="shared" si="0"/>
        <v>0</v>
      </c>
      <c r="Q38" s="916" t="str">
        <f t="shared" ca="1" si="1"/>
        <v/>
      </c>
      <c r="R38" s="917" t="str">
        <f ca="1">IFERROR(SUM(Table14567[[#This Row],[Batterikapacitet, kvar]]/$D$9),"")</f>
        <v/>
      </c>
      <c r="S38" s="918">
        <f t="shared" si="3"/>
        <v>0</v>
      </c>
      <c r="T38" s="915">
        <f>+Table14567[[#This Row],[Tid]]*24</f>
        <v>0</v>
      </c>
      <c r="U38" s="911"/>
      <c r="W38" s="929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930"/>
    </row>
    <row r="39" spans="3:34" x14ac:dyDescent="0.25">
      <c r="C39" s="877" t="s">
        <v>708</v>
      </c>
      <c r="D39" s="877"/>
      <c r="E39" s="895"/>
      <c r="F39" s="877"/>
      <c r="G39" s="896" t="s">
        <v>708</v>
      </c>
      <c r="H39" s="897"/>
      <c r="I39" s="877"/>
      <c r="J39" s="877"/>
      <c r="K39" s="898"/>
      <c r="L39" s="898">
        <f>+Table14567[[#This Row],[Ank Tid]]+Table14567[[#This Row],[Stopptid]]</f>
        <v>0</v>
      </c>
      <c r="M39" s="877"/>
      <c r="N39" s="899"/>
      <c r="O39" s="900">
        <f>IF(Table14567[[#This Row],[Lastad]]="Ja",$D$12,IF(Table14567[[#This Row],[Lastad]]="Nej",$D$13,0))</f>
        <v>0</v>
      </c>
      <c r="P39" s="901">
        <f t="shared" si="0"/>
        <v>0</v>
      </c>
      <c r="Q39" s="901" t="str">
        <f ca="1">IFERROR(IF(SUM(Q38+P39)&gt;$D$9,$D$9,SUM(Q38+P39)),"")</f>
        <v/>
      </c>
      <c r="R39" s="902" t="str">
        <f ca="1">IFERROR(SUM(Table14567[[#This Row],[Batterikapacitet, kvar]]/$D$9),"")</f>
        <v/>
      </c>
      <c r="S39" s="903"/>
      <c r="T39" s="900"/>
      <c r="U39" s="904"/>
      <c r="W39" s="929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930"/>
    </row>
    <row r="40" spans="3:34" x14ac:dyDescent="0.25">
      <c r="W40" s="929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930"/>
    </row>
    <row r="41" spans="3:34" ht="25.5" x14ac:dyDescent="0.25">
      <c r="I41" s="894" t="s">
        <v>691</v>
      </c>
      <c r="J41" s="894" t="s">
        <v>695</v>
      </c>
      <c r="K41" s="894" t="s">
        <v>734</v>
      </c>
      <c r="L41" s="783"/>
      <c r="W41" s="929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930"/>
    </row>
    <row r="42" spans="3:34" ht="15.75" x14ac:dyDescent="0.25">
      <c r="H42" t="s">
        <v>136</v>
      </c>
      <c r="I42" s="880">
        <f>SUM(I20:I39)</f>
        <v>454</v>
      </c>
      <c r="J42" s="893">
        <f>SUM(J21:J38)*24</f>
        <v>6.7500000000000027</v>
      </c>
      <c r="K42" s="891">
        <f>IF(G21&gt;H38,SUM(24-G21*24)+(24-H38*24)*-1,0)</f>
        <v>11.750000000000007</v>
      </c>
      <c r="L42" s="783"/>
      <c r="W42" s="929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930"/>
    </row>
    <row r="43" spans="3:34" x14ac:dyDescent="0.25">
      <c r="C43" t="s">
        <v>709</v>
      </c>
      <c r="K43" s="892"/>
      <c r="L43" s="783"/>
      <c r="T43" s="890"/>
      <c r="W43" s="929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930"/>
    </row>
    <row r="44" spans="3:34" x14ac:dyDescent="0.25">
      <c r="C44" s="927"/>
      <c r="D44" s="927"/>
      <c r="E44" s="927"/>
      <c r="W44" s="929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930"/>
    </row>
    <row r="45" spans="3:34" x14ac:dyDescent="0.25">
      <c r="C45" s="927"/>
      <c r="D45" s="928"/>
      <c r="E45" s="927"/>
      <c r="W45" s="929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930"/>
    </row>
    <row r="46" spans="3:34" x14ac:dyDescent="0.25">
      <c r="C46" s="927"/>
      <c r="D46" s="927"/>
      <c r="E46" s="927"/>
      <c r="W46" s="929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930"/>
    </row>
    <row r="47" spans="3:34" x14ac:dyDescent="0.25">
      <c r="C47" s="927"/>
      <c r="D47" s="927"/>
      <c r="E47" s="927"/>
      <c r="W47" s="929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930"/>
    </row>
    <row r="48" spans="3:34" x14ac:dyDescent="0.25">
      <c r="C48" s="927"/>
      <c r="D48" s="927"/>
      <c r="E48" s="927"/>
      <c r="W48" s="931"/>
      <c r="X48" s="932"/>
      <c r="Y48" s="932"/>
      <c r="Z48" s="932"/>
      <c r="AA48" s="932"/>
      <c r="AB48" s="932"/>
      <c r="AC48" s="932"/>
      <c r="AD48" s="932"/>
      <c r="AE48" s="932"/>
      <c r="AF48" s="932"/>
      <c r="AG48" s="932"/>
      <c r="AH48" s="933"/>
    </row>
    <row r="55" spans="6:7" x14ac:dyDescent="0.25">
      <c r="F55" s="868"/>
      <c r="G55" s="868"/>
    </row>
    <row r="56" spans="6:7" x14ac:dyDescent="0.25">
      <c r="F56" s="868"/>
      <c r="G56" s="868"/>
    </row>
    <row r="57" spans="6:7" x14ac:dyDescent="0.25">
      <c r="F57" s="868"/>
      <c r="G57" s="868"/>
    </row>
    <row r="58" spans="6:7" x14ac:dyDescent="0.25">
      <c r="F58" s="868"/>
      <c r="G58" s="868"/>
    </row>
    <row r="59" spans="6:7" x14ac:dyDescent="0.25">
      <c r="F59" s="868"/>
      <c r="G59" s="868"/>
    </row>
    <row r="60" spans="6:7" x14ac:dyDescent="0.25">
      <c r="F60" s="868"/>
      <c r="G60" s="868"/>
    </row>
    <row r="61" spans="6:7" x14ac:dyDescent="0.25">
      <c r="F61" s="868"/>
      <c r="G61" s="868"/>
    </row>
    <row r="62" spans="6:7" x14ac:dyDescent="0.25">
      <c r="F62" s="868"/>
      <c r="G62" s="868"/>
    </row>
  </sheetData>
  <mergeCells count="1">
    <mergeCell ref="D6:E6"/>
  </mergeCells>
  <conditionalFormatting sqref="R20:R39">
    <cfRule type="cellIs" dxfId="13" priority="1" operator="lessThan">
      <formula>0</formula>
    </cfRule>
  </conditionalFormatting>
  <dataValidations count="6">
    <dataValidation type="list" allowBlank="1" showInputMessage="1" showErrorMessage="1" sqref="M21:M39" xr:uid="{7C6F5733-0F32-47FF-B47B-E25E981AC46A}">
      <formula1>$AO$5:$AO$6</formula1>
    </dataValidation>
    <dataValidation errorStyle="warning" allowBlank="1" showInputMessage="1" showErrorMessage="1" sqref="L20:L39" xr:uid="{E16BF672-F0C5-4E1C-91E1-C42BDF9E18E1}"/>
    <dataValidation type="list" errorStyle="warning" allowBlank="1" showInputMessage="1" showErrorMessage="1" sqref="J20:K39" xr:uid="{9F77AA33-8926-49BE-BA9C-B1FC6FEE2198}">
      <formula1>$AN$5:$AN$21</formula1>
    </dataValidation>
    <dataValidation type="list" allowBlank="1" sqref="E20:E39" xr:uid="{13D29F25-18F6-45C4-BC6D-10CE7D897506}">
      <formula1>$Z$20:$Z$37</formula1>
    </dataValidation>
    <dataValidation type="list" allowBlank="1" showInputMessage="1" showErrorMessage="1" sqref="E17" xr:uid="{60F56477-AE0C-4FBF-B712-7B43DB1CD251}">
      <formula1>$AL$5:$AL$15</formula1>
    </dataValidation>
    <dataValidation type="list" allowBlank="1" showInputMessage="1" showErrorMessage="1" sqref="D17" xr:uid="{5483B34C-424A-4BA2-B762-8D049283DDB0}">
      <formula1>$AK$5:$AK$28</formula1>
    </dataValidation>
  </dataValidations>
  <hyperlinks>
    <hyperlink ref="U21" r:id="rId1" xr:uid="{1654F45D-52A5-4379-BDB0-E01AD5DC4737}"/>
    <hyperlink ref="U25" r:id="rId2" xr:uid="{A9FE9AB4-E0A3-481A-8817-0C8DE050C82C}"/>
    <hyperlink ref="U26" r:id="rId3" xr:uid="{AB660B49-53DF-4AEB-A590-BA7DFB472FDF}"/>
    <hyperlink ref="U27" r:id="rId4" xr:uid="{73D33557-9EE0-4186-8044-BD7493D3FDE8}"/>
    <hyperlink ref="U28" r:id="rId5" xr:uid="{47AE5852-243B-4A51-B0A1-95DF4B1F6D30}"/>
    <hyperlink ref="U23" r:id="rId6" xr:uid="{A4AA6983-56DE-442F-8F84-02D3EACA6DB9}"/>
    <hyperlink ref="U29" r:id="rId7" xr:uid="{EDE4F017-24C1-45EE-8A57-C0E10921E8A8}"/>
  </hyperlinks>
  <pageMargins left="0.31496062992125984" right="0.31496062992125984" top="0.35433070866141736" bottom="0.35433070866141736" header="0.31496062992125984" footer="0.31496062992125984"/>
  <pageSetup paperSize="8" scale="90" orientation="landscape" r:id="rId8"/>
  <drawing r:id="rId9"/>
  <tableParts count="1">
    <tablePart r:id="rId10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C9239-74C0-4DA3-A852-3FFBF78A09D4}">
  <sheetPr codeName="Sheet6"/>
  <dimension ref="A1:P46"/>
  <sheetViews>
    <sheetView workbookViewId="0">
      <selection activeCell="I60" sqref="I60"/>
    </sheetView>
  </sheetViews>
  <sheetFormatPr defaultRowHeight="15" x14ac:dyDescent="0.25"/>
  <cols>
    <col min="4" max="4" width="11.85546875" customWidth="1"/>
    <col min="7" max="7" width="33.28515625" customWidth="1"/>
    <col min="9" max="9" width="12" customWidth="1"/>
  </cols>
  <sheetData>
    <row r="1" spans="1:16" x14ac:dyDescent="0.25">
      <c r="A1" s="785"/>
      <c r="B1" s="785"/>
      <c r="C1" s="785"/>
      <c r="D1" s="785"/>
      <c r="E1" s="785"/>
      <c r="F1" s="785"/>
      <c r="G1" s="785"/>
      <c r="H1" s="785"/>
      <c r="I1" s="785"/>
      <c r="J1" s="785"/>
      <c r="K1" s="785"/>
      <c r="L1" s="785"/>
      <c r="M1" s="785"/>
      <c r="N1" s="785"/>
      <c r="O1" s="785"/>
      <c r="P1" s="785"/>
    </row>
    <row r="2" spans="1:16" ht="31.5" x14ac:dyDescent="0.5">
      <c r="A2" s="785"/>
      <c r="B2" s="784" t="s">
        <v>582</v>
      </c>
      <c r="C2" s="785"/>
      <c r="D2" s="785"/>
      <c r="E2" s="785"/>
      <c r="F2" s="785"/>
      <c r="G2" s="785"/>
      <c r="H2" s="785"/>
      <c r="I2" s="785"/>
      <c r="J2" s="785"/>
      <c r="K2" s="785"/>
      <c r="L2" s="785"/>
      <c r="M2" s="785"/>
      <c r="N2" s="785"/>
      <c r="O2" s="785"/>
      <c r="P2" s="785"/>
    </row>
    <row r="3" spans="1:16" x14ac:dyDescent="0.25">
      <c r="A3" s="785"/>
      <c r="B3" s="785"/>
      <c r="C3" s="785"/>
      <c r="D3" s="785"/>
      <c r="E3" s="785"/>
      <c r="F3" s="785"/>
      <c r="G3" s="785"/>
      <c r="H3" s="785"/>
      <c r="I3" s="785"/>
      <c r="J3" s="785"/>
      <c r="K3" s="785"/>
      <c r="L3" s="785"/>
      <c r="M3" s="785"/>
      <c r="N3" s="785"/>
      <c r="O3" s="785"/>
      <c r="P3" s="785"/>
    </row>
    <row r="5" spans="1:16" x14ac:dyDescent="0.25">
      <c r="B5" t="s">
        <v>583</v>
      </c>
    </row>
    <row r="7" spans="1:16" x14ac:dyDescent="0.25">
      <c r="B7" t="s">
        <v>518</v>
      </c>
    </row>
    <row r="8" spans="1:16" x14ac:dyDescent="0.25">
      <c r="B8" t="s">
        <v>524</v>
      </c>
    </row>
    <row r="9" spans="1:16" x14ac:dyDescent="0.25">
      <c r="B9" t="s">
        <v>584</v>
      </c>
    </row>
    <row r="10" spans="1:16" x14ac:dyDescent="0.25">
      <c r="B10" t="s">
        <v>519</v>
      </c>
    </row>
    <row r="12" spans="1:16" x14ac:dyDescent="0.25">
      <c r="B12" t="s">
        <v>520</v>
      </c>
    </row>
    <row r="13" spans="1:16" x14ac:dyDescent="0.25">
      <c r="B13" t="s">
        <v>511</v>
      </c>
      <c r="C13" t="s">
        <v>522</v>
      </c>
      <c r="D13" t="s">
        <v>530</v>
      </c>
      <c r="E13" t="s">
        <v>534</v>
      </c>
      <c r="F13" t="s">
        <v>532</v>
      </c>
      <c r="G13" t="s">
        <v>533</v>
      </c>
      <c r="H13" t="s">
        <v>535</v>
      </c>
      <c r="I13" t="s">
        <v>523</v>
      </c>
    </row>
    <row r="14" spans="1:16" x14ac:dyDescent="0.25">
      <c r="B14" s="777" t="s">
        <v>521</v>
      </c>
      <c r="C14" s="777" t="s">
        <v>47</v>
      </c>
      <c r="D14" s="777"/>
      <c r="E14" s="777"/>
      <c r="F14" s="777"/>
      <c r="G14" s="777"/>
      <c r="H14" s="777"/>
      <c r="I14" s="777"/>
    </row>
    <row r="15" spans="1:16" x14ac:dyDescent="0.25">
      <c r="B15" s="777" t="s">
        <v>525</v>
      </c>
      <c r="C15" s="777" t="s">
        <v>526</v>
      </c>
      <c r="D15" s="777"/>
      <c r="E15" s="777"/>
      <c r="F15" s="777"/>
      <c r="G15" s="777"/>
      <c r="H15" s="777"/>
      <c r="I15" s="777"/>
    </row>
    <row r="16" spans="1:16" x14ac:dyDescent="0.25">
      <c r="B16" s="777" t="s">
        <v>527</v>
      </c>
      <c r="C16" s="777" t="s">
        <v>47</v>
      </c>
      <c r="D16" s="777"/>
      <c r="E16" s="777"/>
      <c r="F16" s="777"/>
      <c r="G16" s="777"/>
      <c r="H16" s="777"/>
      <c r="I16" s="777"/>
    </row>
    <row r="17" spans="2:10" x14ac:dyDescent="0.25">
      <c r="B17" s="777" t="s">
        <v>528</v>
      </c>
      <c r="C17" s="777" t="s">
        <v>526</v>
      </c>
      <c r="D17" s="777"/>
      <c r="E17" s="777"/>
      <c r="F17" s="777"/>
      <c r="G17" s="777"/>
      <c r="H17" s="777"/>
      <c r="I17" s="777"/>
    </row>
    <row r="18" spans="2:10" x14ac:dyDescent="0.25">
      <c r="B18" s="777" t="s">
        <v>529</v>
      </c>
      <c r="C18" s="777" t="s">
        <v>526</v>
      </c>
      <c r="D18" s="777"/>
      <c r="E18" s="777"/>
      <c r="F18" s="777"/>
      <c r="G18" s="777"/>
      <c r="H18" s="777"/>
      <c r="I18" s="777"/>
    </row>
    <row r="20" spans="2:10" x14ac:dyDescent="0.25">
      <c r="B20" t="s">
        <v>536</v>
      </c>
    </row>
    <row r="21" spans="2:10" x14ac:dyDescent="0.25">
      <c r="B21" t="s">
        <v>531</v>
      </c>
    </row>
    <row r="23" spans="2:10" x14ac:dyDescent="0.25">
      <c r="B23" s="787" t="s">
        <v>258</v>
      </c>
      <c r="C23" s="786" t="s">
        <v>537</v>
      </c>
      <c r="D23" s="786" t="s">
        <v>538</v>
      </c>
      <c r="E23" s="786" t="s">
        <v>539</v>
      </c>
      <c r="F23" s="786" t="s">
        <v>533</v>
      </c>
      <c r="G23" s="786" t="s">
        <v>540</v>
      </c>
      <c r="H23" s="786" t="s">
        <v>541</v>
      </c>
      <c r="I23" s="786" t="s">
        <v>542</v>
      </c>
      <c r="J23" s="786" t="s">
        <v>487</v>
      </c>
    </row>
    <row r="24" spans="2:10" x14ac:dyDescent="0.25">
      <c r="B24" s="788"/>
      <c r="C24" s="789"/>
      <c r="D24" s="789"/>
      <c r="E24" s="789"/>
      <c r="F24" s="789"/>
      <c r="G24" s="789"/>
      <c r="H24" s="789"/>
      <c r="I24" s="789"/>
      <c r="J24" s="789"/>
    </row>
    <row r="25" spans="2:10" x14ac:dyDescent="0.25">
      <c r="B25" s="790"/>
      <c r="C25" s="791"/>
      <c r="D25" s="791"/>
      <c r="E25" s="791"/>
      <c r="F25" s="791"/>
      <c r="G25" s="791"/>
      <c r="H25" s="791"/>
      <c r="I25" s="791"/>
      <c r="J25" s="791"/>
    </row>
    <row r="26" spans="2:10" x14ac:dyDescent="0.25">
      <c r="B26" s="788"/>
      <c r="C26" s="789"/>
      <c r="D26" s="789"/>
      <c r="E26" s="789"/>
      <c r="F26" s="789"/>
      <c r="G26" s="789"/>
      <c r="H26" s="789"/>
      <c r="I26" s="789"/>
      <c r="J26" s="789"/>
    </row>
    <row r="27" spans="2:10" x14ac:dyDescent="0.25">
      <c r="B27" s="790"/>
      <c r="C27" s="791"/>
      <c r="D27" s="791"/>
      <c r="E27" s="791"/>
      <c r="F27" s="791"/>
      <c r="G27" s="791"/>
      <c r="H27" s="791"/>
      <c r="I27" s="791"/>
      <c r="J27" s="791"/>
    </row>
    <row r="28" spans="2:10" x14ac:dyDescent="0.25">
      <c r="B28" s="788"/>
      <c r="C28" s="789"/>
      <c r="D28" s="789"/>
      <c r="E28" s="789"/>
      <c r="F28" s="789"/>
      <c r="G28" s="789"/>
      <c r="H28" s="789"/>
      <c r="I28" s="789"/>
      <c r="J28" s="789"/>
    </row>
    <row r="29" spans="2:10" x14ac:dyDescent="0.25">
      <c r="B29" s="790"/>
      <c r="C29" s="791"/>
      <c r="D29" s="791"/>
      <c r="E29" s="791"/>
      <c r="F29" s="791"/>
      <c r="G29" s="791"/>
      <c r="H29" s="791"/>
      <c r="I29" s="791"/>
      <c r="J29" s="791"/>
    </row>
    <row r="30" spans="2:10" x14ac:dyDescent="0.25">
      <c r="B30" s="788"/>
      <c r="C30" s="789"/>
      <c r="D30" s="789"/>
      <c r="E30" s="789"/>
      <c r="F30" s="789"/>
      <c r="G30" s="789"/>
      <c r="H30" s="789"/>
      <c r="I30" s="789"/>
      <c r="J30" s="789"/>
    </row>
    <row r="31" spans="2:10" x14ac:dyDescent="0.25">
      <c r="B31" s="790"/>
      <c r="C31" s="791"/>
      <c r="D31" s="791"/>
      <c r="E31" s="791"/>
      <c r="F31" s="791"/>
      <c r="G31" s="791"/>
      <c r="H31" s="791"/>
      <c r="I31" s="791"/>
      <c r="J31" s="791"/>
    </row>
    <row r="32" spans="2:10" x14ac:dyDescent="0.25">
      <c r="B32" s="788"/>
      <c r="C32" s="789"/>
      <c r="D32" s="789"/>
      <c r="E32" s="789"/>
      <c r="F32" s="789"/>
      <c r="G32" s="789"/>
      <c r="H32" s="789"/>
      <c r="I32" s="789"/>
      <c r="J32" s="789"/>
    </row>
    <row r="33" spans="2:10" x14ac:dyDescent="0.25">
      <c r="B33" s="790"/>
      <c r="C33" s="791"/>
      <c r="D33" s="791"/>
      <c r="E33" s="791"/>
      <c r="F33" s="791"/>
      <c r="G33" s="791"/>
      <c r="H33" s="791"/>
      <c r="I33" s="791"/>
      <c r="J33" s="791"/>
    </row>
    <row r="34" spans="2:10" x14ac:dyDescent="0.25">
      <c r="B34" s="788"/>
      <c r="C34" s="789"/>
      <c r="D34" s="789"/>
      <c r="E34" s="789"/>
      <c r="F34" s="789"/>
      <c r="G34" s="789"/>
      <c r="H34" s="789"/>
      <c r="I34" s="789"/>
      <c r="J34" s="789"/>
    </row>
    <row r="35" spans="2:10" x14ac:dyDescent="0.25">
      <c r="B35" s="790"/>
      <c r="C35" s="791"/>
      <c r="D35" s="791"/>
      <c r="E35" s="791"/>
      <c r="F35" s="791"/>
      <c r="G35" s="791"/>
      <c r="H35" s="791"/>
      <c r="I35" s="791"/>
      <c r="J35" s="791"/>
    </row>
    <row r="36" spans="2:10" x14ac:dyDescent="0.25">
      <c r="B36" s="788"/>
      <c r="C36" s="789"/>
      <c r="D36" s="789"/>
      <c r="E36" s="789"/>
      <c r="F36" s="789"/>
      <c r="G36" s="789"/>
      <c r="H36" s="789"/>
      <c r="I36" s="789"/>
      <c r="J36" s="789"/>
    </row>
    <row r="37" spans="2:10" x14ac:dyDescent="0.25">
      <c r="B37" s="790"/>
      <c r="C37" s="791"/>
      <c r="D37" s="791"/>
      <c r="E37" s="791"/>
      <c r="F37" s="791"/>
      <c r="G37" s="791"/>
      <c r="H37" s="791"/>
      <c r="I37" s="791"/>
      <c r="J37" s="791"/>
    </row>
    <row r="38" spans="2:10" x14ac:dyDescent="0.25">
      <c r="B38" s="788"/>
      <c r="C38" s="789"/>
      <c r="D38" s="789"/>
      <c r="E38" s="789"/>
      <c r="F38" s="789"/>
      <c r="G38" s="789"/>
      <c r="H38" s="789"/>
      <c r="I38" s="789"/>
      <c r="J38" s="789"/>
    </row>
    <row r="39" spans="2:10" x14ac:dyDescent="0.25">
      <c r="B39" s="790"/>
      <c r="C39" s="791"/>
      <c r="D39" s="791"/>
      <c r="E39" s="791"/>
      <c r="F39" s="791"/>
      <c r="G39" s="791"/>
      <c r="H39" s="791"/>
      <c r="I39" s="791"/>
      <c r="J39" s="791"/>
    </row>
    <row r="40" spans="2:10" x14ac:dyDescent="0.25">
      <c r="B40" s="788"/>
      <c r="C40" s="789"/>
      <c r="D40" s="789"/>
      <c r="E40" s="789"/>
      <c r="F40" s="789"/>
      <c r="G40" s="789"/>
      <c r="H40" s="789"/>
      <c r="I40" s="789"/>
      <c r="J40" s="789"/>
    </row>
    <row r="41" spans="2:10" x14ac:dyDescent="0.25">
      <c r="B41" s="790"/>
      <c r="C41" s="791"/>
      <c r="D41" s="791"/>
      <c r="E41" s="791"/>
      <c r="F41" s="791"/>
      <c r="G41" s="791"/>
      <c r="H41" s="791"/>
      <c r="I41" s="791"/>
      <c r="J41" s="791"/>
    </row>
    <row r="42" spans="2:10" x14ac:dyDescent="0.25">
      <c r="B42" s="788"/>
      <c r="C42" s="789"/>
      <c r="D42" s="789"/>
      <c r="E42" s="789"/>
      <c r="F42" s="789"/>
      <c r="G42" s="789"/>
      <c r="H42" s="789"/>
      <c r="I42" s="789"/>
      <c r="J42" s="789"/>
    </row>
    <row r="43" spans="2:10" x14ac:dyDescent="0.25">
      <c r="B43" s="790"/>
      <c r="C43" s="791"/>
      <c r="D43" s="791"/>
      <c r="E43" s="791"/>
      <c r="F43" s="791"/>
      <c r="G43" s="791"/>
      <c r="H43" s="791"/>
      <c r="I43" s="791"/>
      <c r="J43" s="791"/>
    </row>
    <row r="44" spans="2:10" x14ac:dyDescent="0.25">
      <c r="B44" s="788"/>
      <c r="C44" s="789"/>
      <c r="D44" s="789"/>
      <c r="E44" s="789"/>
      <c r="F44" s="789"/>
      <c r="G44" s="789"/>
      <c r="H44" s="789"/>
      <c r="I44" s="789"/>
      <c r="J44" s="789"/>
    </row>
    <row r="45" spans="2:10" x14ac:dyDescent="0.25">
      <c r="B45" s="790"/>
      <c r="C45" s="791"/>
      <c r="D45" s="791"/>
      <c r="E45" s="791"/>
      <c r="F45" s="791"/>
      <c r="G45" s="791"/>
      <c r="H45" s="791"/>
      <c r="I45" s="791"/>
      <c r="J45" s="791"/>
    </row>
    <row r="46" spans="2:10" x14ac:dyDescent="0.25">
      <c r="B46" s="788"/>
      <c r="C46" s="789"/>
      <c r="D46" s="789"/>
      <c r="E46" s="789"/>
      <c r="F46" s="789"/>
      <c r="G46" s="789"/>
      <c r="H46" s="789"/>
      <c r="I46" s="789"/>
      <c r="J46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16BB2-C888-46E9-BC01-CB6D93BA5C64}">
  <sheetPr codeName="Sheet8">
    <tabColor theme="8" tint="-0.249977111117893"/>
  </sheetPr>
  <dimension ref="A1:EP1000"/>
  <sheetViews>
    <sheetView showGridLines="0" zoomScale="85" zoomScaleNormal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M6" sqref="M6"/>
    </sheetView>
  </sheetViews>
  <sheetFormatPr defaultColWidth="0" defaultRowHeight="15" customHeight="1" zeroHeight="1" outlineLevelCol="2" x14ac:dyDescent="0.25"/>
  <cols>
    <col min="1" max="1" width="2.42578125" customWidth="1"/>
    <col min="2" max="2" width="7.28515625" customWidth="1"/>
    <col min="3" max="3" width="6.42578125" customWidth="1"/>
    <col min="4" max="4" width="12.28515625" customWidth="1"/>
    <col min="5" max="6" width="9.28515625" customWidth="1"/>
    <col min="7" max="9" width="11.28515625" customWidth="1"/>
    <col min="10" max="10" width="40" customWidth="1"/>
    <col min="11" max="11" width="23" customWidth="1"/>
    <col min="12" max="12" width="11.7109375" customWidth="1" outlineLevel="1"/>
    <col min="13" max="14" width="20.85546875" customWidth="1" outlineLevel="1"/>
    <col min="15" max="18" width="16.42578125" customWidth="1" outlineLevel="1"/>
    <col min="19" max="19" width="10.5703125" customWidth="1"/>
    <col min="20" max="20" width="8.85546875" customWidth="1"/>
    <col min="21" max="21" width="11.28515625" customWidth="1" outlineLevel="1"/>
    <col min="22" max="31" width="11.28515625" customWidth="1" outlineLevel="2"/>
    <col min="32" max="32" width="15.5703125" customWidth="1" outlineLevel="2"/>
    <col min="33" max="34" width="8.85546875" customWidth="1" outlineLevel="2"/>
    <col min="35" max="35" width="10.7109375" customWidth="1" outlineLevel="2"/>
    <col min="36" max="36" width="12.5703125" customWidth="1" outlineLevel="2"/>
    <col min="37" max="37" width="17.7109375" customWidth="1" outlineLevel="2"/>
    <col min="38" max="39" width="13.140625" customWidth="1" outlineLevel="1"/>
    <col min="40" max="40" width="11.85546875" customWidth="1" outlineLevel="1"/>
    <col min="41" max="41" width="13.140625" customWidth="1" outlineLevel="1"/>
    <col min="42" max="42" width="10.28515625" customWidth="1"/>
    <col min="43" max="43" width="18.42578125" hidden="1" customWidth="1" outlineLevel="1"/>
    <col min="44" max="44" width="17.28515625" hidden="1" customWidth="1" outlineLevel="1"/>
    <col min="45" max="46" width="14.7109375" hidden="1" customWidth="1" outlineLevel="1"/>
    <col min="47" max="47" width="16.42578125" customWidth="1" collapsed="1"/>
    <col min="48" max="48" width="17.28515625" customWidth="1"/>
    <col min="49" max="49" width="13.42578125" customWidth="1"/>
    <col min="50" max="50" width="21.7109375" customWidth="1"/>
    <col min="51" max="51" width="2.7109375" customWidth="1"/>
    <col min="52" max="52" width="8.7109375" hidden="1" customWidth="1"/>
    <col min="53" max="88" width="0" hidden="1" customWidth="1"/>
    <col min="89" max="89" width="8.7109375" hidden="1" customWidth="1"/>
    <col min="90" max="146" width="0" hidden="1" customWidth="1"/>
    <col min="147" max="16384" width="8.7109375" hidden="1"/>
  </cols>
  <sheetData>
    <row r="1" spans="1:51" x14ac:dyDescent="0.25">
      <c r="A1" s="594"/>
      <c r="B1" s="594"/>
      <c r="C1" s="594"/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4"/>
      <c r="AF1" s="594"/>
      <c r="AG1" s="594"/>
      <c r="AH1" s="594"/>
      <c r="AI1" s="594"/>
      <c r="AJ1" s="594"/>
      <c r="AK1" s="594"/>
      <c r="AL1" s="594"/>
      <c r="AM1" s="594"/>
      <c r="AN1" s="594"/>
      <c r="AO1" s="594"/>
      <c r="AP1" s="594"/>
      <c r="AQ1" s="594"/>
      <c r="AR1" s="594"/>
      <c r="AS1" s="594"/>
      <c r="AT1" s="594"/>
      <c r="AU1" s="594"/>
      <c r="AV1" s="594"/>
      <c r="AW1" s="594"/>
      <c r="AX1" s="594"/>
      <c r="AY1" s="594"/>
    </row>
    <row r="2" spans="1:51" ht="23.1" customHeight="1" x14ac:dyDescent="0.4">
      <c r="A2" s="594"/>
      <c r="B2" s="595"/>
      <c r="C2" s="596"/>
      <c r="D2" s="594"/>
      <c r="E2" s="594"/>
      <c r="F2" s="594"/>
      <c r="G2" s="594"/>
      <c r="H2" s="594"/>
      <c r="I2" s="594"/>
      <c r="J2" s="594"/>
      <c r="K2" s="594"/>
      <c r="L2" s="594"/>
      <c r="M2" s="594"/>
      <c r="N2" s="594"/>
      <c r="O2" s="594"/>
      <c r="P2" s="594"/>
      <c r="Q2" s="594"/>
      <c r="R2" s="594"/>
      <c r="S2" s="594"/>
      <c r="T2" s="594"/>
      <c r="U2" s="594"/>
      <c r="V2" s="594"/>
      <c r="W2" s="594"/>
      <c r="X2" s="594"/>
      <c r="Y2" s="594"/>
      <c r="Z2" s="594"/>
      <c r="AA2" s="594"/>
      <c r="AB2" s="594"/>
      <c r="AC2" s="594"/>
      <c r="AD2" s="594"/>
      <c r="AE2" s="594"/>
      <c r="AF2" s="594"/>
      <c r="AG2" s="594"/>
      <c r="AH2" s="594"/>
      <c r="AI2" s="594"/>
      <c r="AJ2" s="594"/>
      <c r="AK2" s="594"/>
      <c r="AL2" s="594"/>
      <c r="AM2" s="594"/>
      <c r="AN2" s="594"/>
      <c r="AO2" s="594"/>
      <c r="AP2" s="594"/>
      <c r="AQ2" s="594"/>
      <c r="AR2" s="594"/>
      <c r="AS2" s="594"/>
      <c r="AT2" s="594"/>
      <c r="AU2" s="594"/>
      <c r="AV2" s="594"/>
      <c r="AW2" s="594"/>
      <c r="AX2" s="594"/>
      <c r="AY2" s="594"/>
    </row>
    <row r="3" spans="1:51" ht="54" customHeight="1" x14ac:dyDescent="0.35">
      <c r="A3" s="594"/>
      <c r="B3" s="594"/>
      <c r="C3" s="594"/>
      <c r="D3" s="594"/>
      <c r="E3" s="594"/>
      <c r="F3" s="594"/>
      <c r="G3" s="594"/>
      <c r="H3" s="594"/>
      <c r="I3" s="594"/>
      <c r="J3" s="594"/>
      <c r="K3" s="594"/>
      <c r="L3" s="1025" t="s">
        <v>585</v>
      </c>
      <c r="M3" s="1026"/>
      <c r="N3" s="1026"/>
      <c r="O3" s="1026"/>
      <c r="P3" s="1026"/>
      <c r="Q3" s="1026"/>
      <c r="R3" s="1026"/>
      <c r="S3" s="594"/>
      <c r="T3" s="594"/>
      <c r="U3" s="1021" t="s">
        <v>330</v>
      </c>
      <c r="V3" s="1022"/>
      <c r="W3" s="1022"/>
      <c r="X3" s="1022"/>
      <c r="Y3" s="1022"/>
      <c r="Z3" s="1022"/>
      <c r="AA3" s="1022"/>
      <c r="AB3" s="1022"/>
      <c r="AC3" s="1022"/>
      <c r="AD3" s="1022"/>
      <c r="AE3" s="1022"/>
      <c r="AF3" s="1022"/>
      <c r="AG3" s="1022"/>
      <c r="AH3" s="1022"/>
      <c r="AI3" s="1022"/>
      <c r="AJ3" s="1022"/>
      <c r="AK3" s="1022"/>
      <c r="AL3" s="1022"/>
      <c r="AM3" s="1022"/>
      <c r="AN3" s="1022"/>
      <c r="AO3" s="1022"/>
      <c r="AP3" s="1023"/>
      <c r="AQ3" s="1021" t="s">
        <v>331</v>
      </c>
      <c r="AR3" s="1022"/>
      <c r="AS3" s="1022"/>
      <c r="AT3" s="1023"/>
      <c r="AU3" s="1024" t="s">
        <v>111</v>
      </c>
      <c r="AV3" s="1024"/>
      <c r="AW3" s="1024"/>
      <c r="AX3" s="597" t="s">
        <v>210</v>
      </c>
      <c r="AY3" s="594"/>
    </row>
    <row r="4" spans="1:51" s="603" customFormat="1" ht="47.1" customHeight="1" x14ac:dyDescent="0.25">
      <c r="A4" s="598"/>
      <c r="B4" s="599" t="s">
        <v>332</v>
      </c>
      <c r="C4" s="599" t="s">
        <v>333</v>
      </c>
      <c r="D4" s="600" t="s">
        <v>334</v>
      </c>
      <c r="E4" s="600" t="s">
        <v>335</v>
      </c>
      <c r="F4" s="600" t="s">
        <v>336</v>
      </c>
      <c r="G4" s="600" t="s">
        <v>337</v>
      </c>
      <c r="H4" s="600" t="s">
        <v>338</v>
      </c>
      <c r="I4" s="600" t="s">
        <v>479</v>
      </c>
      <c r="J4" s="600" t="s">
        <v>481</v>
      </c>
      <c r="K4" s="600" t="s">
        <v>480</v>
      </c>
      <c r="L4" s="600" t="s">
        <v>586</v>
      </c>
      <c r="M4" s="600" t="s">
        <v>482</v>
      </c>
      <c r="N4" s="600" t="s">
        <v>487</v>
      </c>
      <c r="O4" s="600" t="s">
        <v>483</v>
      </c>
      <c r="P4" s="600" t="s">
        <v>484</v>
      </c>
      <c r="Q4" s="600" t="s">
        <v>485</v>
      </c>
      <c r="R4" s="600" t="s">
        <v>486</v>
      </c>
      <c r="S4" s="600" t="s">
        <v>339</v>
      </c>
      <c r="T4" s="600" t="s">
        <v>340</v>
      </c>
      <c r="U4" s="600" t="s">
        <v>341</v>
      </c>
      <c r="V4" s="600" t="s">
        <v>324</v>
      </c>
      <c r="W4" s="600" t="s">
        <v>342</v>
      </c>
      <c r="X4" s="600" t="s">
        <v>343</v>
      </c>
      <c r="Y4" s="600" t="s">
        <v>344</v>
      </c>
      <c r="Z4" s="600" t="s">
        <v>345</v>
      </c>
      <c r="AA4" s="600" t="s">
        <v>346</v>
      </c>
      <c r="AB4" s="600" t="s">
        <v>347</v>
      </c>
      <c r="AC4" s="600" t="s">
        <v>348</v>
      </c>
      <c r="AD4" s="600" t="s">
        <v>210</v>
      </c>
      <c r="AE4" s="600" t="s">
        <v>282</v>
      </c>
      <c r="AF4" s="600" t="s">
        <v>349</v>
      </c>
      <c r="AG4" s="600" t="s">
        <v>350</v>
      </c>
      <c r="AH4" s="600" t="s">
        <v>351</v>
      </c>
      <c r="AI4" s="600" t="s">
        <v>352</v>
      </c>
      <c r="AJ4" s="600" t="s">
        <v>353</v>
      </c>
      <c r="AK4" s="600" t="s">
        <v>354</v>
      </c>
      <c r="AL4" s="600" t="s">
        <v>355</v>
      </c>
      <c r="AM4" s="600" t="s">
        <v>356</v>
      </c>
      <c r="AN4" s="600" t="s">
        <v>357</v>
      </c>
      <c r="AO4" s="600" t="s">
        <v>358</v>
      </c>
      <c r="AP4" s="601" t="s">
        <v>359</v>
      </c>
      <c r="AQ4" s="601" t="s">
        <v>360</v>
      </c>
      <c r="AR4" s="601" t="s">
        <v>361</v>
      </c>
      <c r="AS4" s="601" t="s">
        <v>362</v>
      </c>
      <c r="AT4" s="601" t="s">
        <v>363</v>
      </c>
      <c r="AU4" s="601" t="s">
        <v>364</v>
      </c>
      <c r="AV4" s="601" t="s">
        <v>365</v>
      </c>
      <c r="AW4" s="602" t="s">
        <v>366</v>
      </c>
      <c r="AX4" s="594"/>
    </row>
    <row r="5" spans="1:51" x14ac:dyDescent="0.25">
      <c r="A5" s="594"/>
      <c r="B5" t="s">
        <v>367</v>
      </c>
      <c r="C5" s="604" t="s">
        <v>368</v>
      </c>
      <c r="D5" s="605"/>
      <c r="E5" s="605"/>
      <c r="F5" s="605"/>
      <c r="G5" s="605"/>
      <c r="H5" s="605"/>
      <c r="I5" s="605"/>
      <c r="J5" s="605"/>
      <c r="K5" s="605"/>
      <c r="L5" s="779"/>
      <c r="M5" s="605"/>
      <c r="N5" s="605"/>
      <c r="O5" s="605"/>
      <c r="P5" s="605"/>
      <c r="Q5" s="605"/>
      <c r="R5" s="605"/>
      <c r="S5" s="605"/>
      <c r="T5" s="605"/>
      <c r="U5" s="605"/>
      <c r="V5" s="605"/>
      <c r="W5" s="605"/>
      <c r="X5" s="606"/>
      <c r="Y5" s="606"/>
      <c r="Z5" s="605"/>
      <c r="AA5" s="605"/>
      <c r="AB5" s="605"/>
      <c r="AC5" s="605"/>
      <c r="AD5" s="605"/>
      <c r="AE5" s="605"/>
      <c r="AF5" s="605"/>
      <c r="AG5" s="607"/>
      <c r="AH5" s="605"/>
      <c r="AI5" s="605"/>
      <c r="AJ5" s="605"/>
      <c r="AK5" s="607"/>
      <c r="AL5" s="605"/>
      <c r="AM5" s="605"/>
      <c r="AN5" s="605"/>
      <c r="AO5" s="605"/>
      <c r="AP5" s="607"/>
      <c r="AQ5" s="607"/>
      <c r="AR5" s="607"/>
      <c r="AS5" s="607"/>
      <c r="AT5" s="608"/>
      <c r="AU5" s="608"/>
      <c r="AV5" s="608"/>
      <c r="AW5" s="609"/>
      <c r="AX5" s="594"/>
    </row>
    <row r="6" spans="1:51" x14ac:dyDescent="0.25">
      <c r="A6" s="594"/>
      <c r="B6" t="s">
        <v>369</v>
      </c>
      <c r="C6" s="604" t="s">
        <v>368</v>
      </c>
      <c r="D6" s="605"/>
      <c r="E6" s="605"/>
      <c r="F6" s="605"/>
      <c r="G6" s="605"/>
      <c r="H6" s="605"/>
      <c r="I6" s="605"/>
      <c r="J6" s="605"/>
      <c r="K6" s="605"/>
      <c r="L6" s="779"/>
      <c r="M6" s="605"/>
      <c r="N6" s="605"/>
      <c r="O6" s="605"/>
      <c r="P6" s="605"/>
      <c r="Q6" s="605"/>
      <c r="R6" s="605"/>
      <c r="S6" s="605"/>
      <c r="T6" s="605"/>
      <c r="U6" s="605"/>
      <c r="V6" s="605"/>
      <c r="W6" s="605"/>
      <c r="X6" s="606"/>
      <c r="Y6" s="606"/>
      <c r="Z6" s="605"/>
      <c r="AA6" s="605"/>
      <c r="AB6" s="605"/>
      <c r="AC6" s="605"/>
      <c r="AD6" s="605"/>
      <c r="AE6" s="605"/>
      <c r="AF6" s="605"/>
      <c r="AG6" s="607"/>
      <c r="AH6" s="605"/>
      <c r="AI6" s="605"/>
      <c r="AJ6" s="605"/>
      <c r="AK6" s="607"/>
      <c r="AL6" s="605"/>
      <c r="AM6" s="605"/>
      <c r="AN6" s="605"/>
      <c r="AO6" s="605"/>
      <c r="AP6" s="607"/>
      <c r="AQ6" s="607"/>
      <c r="AR6" s="607"/>
      <c r="AS6" s="607"/>
      <c r="AT6" s="608"/>
      <c r="AU6" s="608"/>
      <c r="AV6" s="608"/>
      <c r="AW6" s="609"/>
      <c r="AX6" s="594"/>
    </row>
    <row r="7" spans="1:51" x14ac:dyDescent="0.25">
      <c r="A7" s="594"/>
      <c r="B7" t="s">
        <v>371</v>
      </c>
      <c r="C7" s="604" t="s">
        <v>368</v>
      </c>
      <c r="D7" s="605"/>
      <c r="E7" s="605"/>
      <c r="F7" s="605"/>
      <c r="G7" s="605"/>
      <c r="H7" s="605"/>
      <c r="I7" s="605"/>
      <c r="J7" s="605"/>
      <c r="K7" s="605"/>
      <c r="L7" s="779"/>
      <c r="M7" s="605"/>
      <c r="N7" s="605"/>
      <c r="O7" s="605"/>
      <c r="P7" s="605"/>
      <c r="Q7" s="605"/>
      <c r="R7" s="605"/>
      <c r="S7" s="605"/>
      <c r="T7" s="605"/>
      <c r="U7" s="605"/>
      <c r="V7" s="605"/>
      <c r="W7" s="605"/>
      <c r="X7" s="606"/>
      <c r="Y7" s="606"/>
      <c r="Z7" s="605"/>
      <c r="AA7" s="605"/>
      <c r="AB7" s="605"/>
      <c r="AC7" s="605"/>
      <c r="AD7" s="605"/>
      <c r="AE7" s="605"/>
      <c r="AF7" s="605"/>
      <c r="AG7" s="607"/>
      <c r="AH7" s="605"/>
      <c r="AI7" s="605"/>
      <c r="AJ7" s="605"/>
      <c r="AK7" s="607"/>
      <c r="AL7" s="605"/>
      <c r="AM7" s="605"/>
      <c r="AN7" s="605"/>
      <c r="AO7" s="605"/>
      <c r="AP7" s="607"/>
      <c r="AQ7" s="607"/>
      <c r="AR7" s="607"/>
      <c r="AS7" s="607"/>
      <c r="AT7" s="608"/>
      <c r="AU7" s="608"/>
      <c r="AV7" s="608"/>
      <c r="AW7" s="609"/>
      <c r="AX7" s="594"/>
    </row>
    <row r="8" spans="1:51" x14ac:dyDescent="0.25">
      <c r="A8" s="594"/>
      <c r="B8" t="s">
        <v>372</v>
      </c>
      <c r="C8" s="604" t="s">
        <v>368</v>
      </c>
      <c r="D8" s="605"/>
      <c r="E8" s="605"/>
      <c r="F8" s="605"/>
      <c r="G8" s="605"/>
      <c r="H8" s="605"/>
      <c r="I8" s="605"/>
      <c r="J8" s="605"/>
      <c r="K8" s="605"/>
      <c r="L8" s="779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6"/>
      <c r="Y8" s="606"/>
      <c r="Z8" s="605"/>
      <c r="AA8" s="605"/>
      <c r="AB8" s="605"/>
      <c r="AC8" s="605"/>
      <c r="AD8" s="605"/>
      <c r="AE8" s="605"/>
      <c r="AF8" s="605"/>
      <c r="AG8" s="607"/>
      <c r="AH8" s="605"/>
      <c r="AI8" s="605"/>
      <c r="AJ8" s="605"/>
      <c r="AK8" s="607"/>
      <c r="AL8" s="605"/>
      <c r="AM8" s="605"/>
      <c r="AN8" s="605"/>
      <c r="AO8" s="605"/>
      <c r="AP8" s="607"/>
      <c r="AQ8" s="607"/>
      <c r="AR8" s="607"/>
      <c r="AS8" s="607"/>
      <c r="AT8" s="608"/>
      <c r="AU8" s="608"/>
      <c r="AV8" s="608"/>
      <c r="AW8" s="609"/>
      <c r="AX8" s="594"/>
    </row>
    <row r="9" spans="1:51" x14ac:dyDescent="0.25">
      <c r="A9" s="594"/>
      <c r="B9" t="s">
        <v>373</v>
      </c>
      <c r="C9" s="604" t="s">
        <v>368</v>
      </c>
      <c r="D9" s="605"/>
      <c r="E9" s="605"/>
      <c r="F9" s="605"/>
      <c r="G9" s="605"/>
      <c r="H9" s="605"/>
      <c r="I9" s="605"/>
      <c r="J9" s="605"/>
      <c r="K9" s="605"/>
      <c r="L9" s="779"/>
      <c r="M9" s="605"/>
      <c r="N9" s="605"/>
      <c r="O9" s="605"/>
      <c r="P9" s="605"/>
      <c r="Q9" s="605"/>
      <c r="R9" s="605"/>
      <c r="S9" s="605"/>
      <c r="T9" s="605"/>
      <c r="U9" s="605"/>
      <c r="V9" s="605"/>
      <c r="W9" s="605"/>
      <c r="X9" s="606"/>
      <c r="Y9" s="606"/>
      <c r="Z9" s="605"/>
      <c r="AA9" s="605"/>
      <c r="AB9" s="605"/>
      <c r="AC9" s="605"/>
      <c r="AD9" s="605"/>
      <c r="AE9" s="605"/>
      <c r="AF9" s="605"/>
      <c r="AG9" s="607"/>
      <c r="AH9" s="605"/>
      <c r="AI9" s="605"/>
      <c r="AJ9" s="605"/>
      <c r="AK9" s="607"/>
      <c r="AL9" s="605"/>
      <c r="AM9" s="605"/>
      <c r="AN9" s="605"/>
      <c r="AO9" s="605"/>
      <c r="AP9" s="607"/>
      <c r="AQ9" s="607"/>
      <c r="AR9" s="607"/>
      <c r="AS9" s="607"/>
      <c r="AT9" s="608"/>
      <c r="AU9" s="608"/>
      <c r="AV9" s="608"/>
      <c r="AW9" s="609"/>
      <c r="AX9" s="594"/>
    </row>
    <row r="10" spans="1:51" x14ac:dyDescent="0.25">
      <c r="A10" s="594"/>
      <c r="B10" t="s">
        <v>375</v>
      </c>
      <c r="C10" s="604" t="s">
        <v>368</v>
      </c>
      <c r="D10" s="605"/>
      <c r="E10" s="605"/>
      <c r="F10" s="605"/>
      <c r="G10" s="605"/>
      <c r="H10" s="605"/>
      <c r="I10" s="605"/>
      <c r="J10" s="605"/>
      <c r="K10" s="605"/>
      <c r="L10" s="779"/>
      <c r="M10" s="605"/>
      <c r="N10" s="605"/>
      <c r="O10" s="605"/>
      <c r="P10" s="605"/>
      <c r="Q10" s="605"/>
      <c r="R10" s="605"/>
      <c r="S10" s="605"/>
      <c r="T10" s="605"/>
      <c r="U10" s="605"/>
      <c r="V10" s="605"/>
      <c r="W10" s="605"/>
      <c r="X10" s="606"/>
      <c r="Y10" s="606"/>
      <c r="Z10" s="605"/>
      <c r="AA10" s="605"/>
      <c r="AB10" s="605"/>
      <c r="AC10" s="605"/>
      <c r="AD10" s="605"/>
      <c r="AE10" s="605"/>
      <c r="AF10" s="605"/>
      <c r="AG10" s="607"/>
      <c r="AH10" s="605"/>
      <c r="AI10" s="605"/>
      <c r="AJ10" s="605"/>
      <c r="AK10" s="607"/>
      <c r="AL10" s="605"/>
      <c r="AM10" s="605"/>
      <c r="AN10" s="605"/>
      <c r="AO10" s="605"/>
      <c r="AP10" s="607"/>
      <c r="AQ10" s="607"/>
      <c r="AR10" s="607"/>
      <c r="AS10" s="607"/>
      <c r="AT10" s="608"/>
      <c r="AU10" s="608"/>
      <c r="AV10" s="608"/>
      <c r="AW10" s="609"/>
      <c r="AX10" s="594"/>
    </row>
    <row r="11" spans="1:51" x14ac:dyDescent="0.25">
      <c r="A11" s="594"/>
      <c r="B11" t="s">
        <v>376</v>
      </c>
      <c r="C11" s="604" t="s">
        <v>368</v>
      </c>
      <c r="D11" s="605"/>
      <c r="E11" s="605"/>
      <c r="F11" s="605"/>
      <c r="G11" s="605"/>
      <c r="H11" s="605"/>
      <c r="I11" s="605"/>
      <c r="J11" s="605"/>
      <c r="K11" s="605"/>
      <c r="L11" s="779"/>
      <c r="M11" s="605"/>
      <c r="N11" s="605"/>
      <c r="O11" s="605"/>
      <c r="P11" s="605"/>
      <c r="Q11" s="605"/>
      <c r="R11" s="605"/>
      <c r="S11" s="605"/>
      <c r="T11" s="605"/>
      <c r="U11" s="605"/>
      <c r="V11" s="605"/>
      <c r="W11" s="605"/>
      <c r="X11" s="606"/>
      <c r="Y11" s="606"/>
      <c r="Z11" s="605"/>
      <c r="AA11" s="605"/>
      <c r="AB11" s="605"/>
      <c r="AC11" s="605"/>
      <c r="AD11" s="605"/>
      <c r="AE11" s="605"/>
      <c r="AF11" s="605"/>
      <c r="AG11" s="607"/>
      <c r="AH11" s="605"/>
      <c r="AI11" s="605"/>
      <c r="AJ11" s="605"/>
      <c r="AK11" s="607"/>
      <c r="AL11" s="605"/>
      <c r="AM11" s="605"/>
      <c r="AN11" s="605"/>
      <c r="AO11" s="605"/>
      <c r="AP11" s="607"/>
      <c r="AQ11" s="607"/>
      <c r="AR11" s="607"/>
      <c r="AS11" s="607"/>
      <c r="AT11" s="608"/>
      <c r="AU11" s="608"/>
      <c r="AV11" s="608"/>
      <c r="AW11" s="609"/>
      <c r="AX11" s="594"/>
    </row>
    <row r="12" spans="1:51" x14ac:dyDescent="0.25">
      <c r="A12" s="594"/>
      <c r="B12" t="s">
        <v>377</v>
      </c>
      <c r="C12" s="604" t="s">
        <v>368</v>
      </c>
      <c r="D12" s="605"/>
      <c r="E12" s="605"/>
      <c r="F12" s="605"/>
      <c r="G12" s="605"/>
      <c r="H12" s="605"/>
      <c r="I12" s="605"/>
      <c r="J12" s="605"/>
      <c r="K12" s="605"/>
      <c r="L12" s="779"/>
      <c r="M12" s="605"/>
      <c r="N12" s="605"/>
      <c r="O12" s="605"/>
      <c r="P12" s="605"/>
      <c r="Q12" s="605"/>
      <c r="R12" s="605"/>
      <c r="S12" s="605"/>
      <c r="T12" s="605"/>
      <c r="U12" s="605"/>
      <c r="V12" s="605"/>
      <c r="W12" s="605"/>
      <c r="X12" s="606"/>
      <c r="Y12" s="606"/>
      <c r="Z12" s="605"/>
      <c r="AA12" s="605"/>
      <c r="AB12" s="605"/>
      <c r="AC12" s="605"/>
      <c r="AD12" s="605"/>
      <c r="AE12" s="605"/>
      <c r="AF12" s="605"/>
      <c r="AG12" s="607"/>
      <c r="AH12" s="605"/>
      <c r="AI12" s="605"/>
      <c r="AJ12" s="605"/>
      <c r="AK12" s="607"/>
      <c r="AL12" s="605"/>
      <c r="AM12" s="605"/>
      <c r="AN12" s="605"/>
      <c r="AO12" s="605"/>
      <c r="AP12" s="607"/>
      <c r="AQ12" s="607"/>
      <c r="AR12" s="607"/>
      <c r="AS12" s="607"/>
      <c r="AT12" s="608"/>
      <c r="AU12" s="608"/>
      <c r="AV12" s="608"/>
      <c r="AW12" s="609"/>
      <c r="AX12" s="594"/>
    </row>
    <row r="13" spans="1:51" x14ac:dyDescent="0.25">
      <c r="A13" s="594"/>
      <c r="B13" t="s">
        <v>378</v>
      </c>
      <c r="C13" s="604" t="s">
        <v>368</v>
      </c>
      <c r="D13" s="605"/>
      <c r="E13" s="605"/>
      <c r="F13" s="605"/>
      <c r="G13" s="605"/>
      <c r="H13" s="605"/>
      <c r="I13" s="605"/>
      <c r="J13" s="605"/>
      <c r="K13" s="605"/>
      <c r="L13" s="779"/>
      <c r="M13" s="605"/>
      <c r="N13" s="605"/>
      <c r="O13" s="605"/>
      <c r="P13" s="605"/>
      <c r="Q13" s="605"/>
      <c r="R13" s="605"/>
      <c r="S13" s="605"/>
      <c r="T13" s="605"/>
      <c r="U13" s="605"/>
      <c r="V13" s="605"/>
      <c r="W13" s="605"/>
      <c r="X13" s="606"/>
      <c r="Y13" s="606"/>
      <c r="Z13" s="605"/>
      <c r="AA13" s="605"/>
      <c r="AB13" s="605"/>
      <c r="AC13" s="605"/>
      <c r="AD13" s="605"/>
      <c r="AE13" s="605"/>
      <c r="AF13" s="605"/>
      <c r="AG13" s="607"/>
      <c r="AH13" s="605"/>
      <c r="AI13" s="605"/>
      <c r="AJ13" s="605"/>
      <c r="AK13" s="607"/>
      <c r="AL13" s="605"/>
      <c r="AM13" s="605"/>
      <c r="AN13" s="605"/>
      <c r="AO13" s="605"/>
      <c r="AP13" s="607"/>
      <c r="AQ13" s="607"/>
      <c r="AR13" s="607"/>
      <c r="AS13" s="607"/>
      <c r="AT13" s="608"/>
      <c r="AU13" s="608"/>
      <c r="AV13" s="608"/>
      <c r="AW13" s="609"/>
      <c r="AX13" s="594"/>
    </row>
    <row r="14" spans="1:51" x14ac:dyDescent="0.25">
      <c r="A14" s="594"/>
      <c r="B14" t="s">
        <v>379</v>
      </c>
      <c r="C14" s="604" t="s">
        <v>368</v>
      </c>
      <c r="D14" s="605"/>
      <c r="E14" s="605"/>
      <c r="F14" s="605"/>
      <c r="G14" s="605"/>
      <c r="H14" s="605"/>
      <c r="I14" s="605"/>
      <c r="J14" s="605"/>
      <c r="K14" s="605"/>
      <c r="L14" s="779"/>
      <c r="M14" s="605"/>
      <c r="N14" s="605"/>
      <c r="O14" s="605"/>
      <c r="P14" s="605"/>
      <c r="Q14" s="605"/>
      <c r="R14" s="605"/>
      <c r="S14" s="605"/>
      <c r="T14" s="605"/>
      <c r="U14" s="605"/>
      <c r="V14" s="605"/>
      <c r="W14" s="605"/>
      <c r="X14" s="606"/>
      <c r="Y14" s="606"/>
      <c r="Z14" s="605"/>
      <c r="AA14" s="605"/>
      <c r="AB14" s="605"/>
      <c r="AC14" s="605"/>
      <c r="AD14" s="605"/>
      <c r="AE14" s="605"/>
      <c r="AF14" s="605"/>
      <c r="AG14" s="607"/>
      <c r="AH14" s="605"/>
      <c r="AI14" s="605"/>
      <c r="AJ14" s="605"/>
      <c r="AK14" s="607"/>
      <c r="AL14" s="605"/>
      <c r="AM14" s="605"/>
      <c r="AN14" s="605"/>
      <c r="AO14" s="605"/>
      <c r="AP14" s="607"/>
      <c r="AQ14" s="607"/>
      <c r="AR14" s="607"/>
      <c r="AS14" s="607"/>
      <c r="AT14" s="608"/>
      <c r="AU14" s="608"/>
      <c r="AV14" s="608"/>
      <c r="AW14" s="609"/>
      <c r="AX14" s="594"/>
    </row>
    <row r="15" spans="1:51" x14ac:dyDescent="0.25">
      <c r="A15" s="594"/>
      <c r="B15" t="s">
        <v>380</v>
      </c>
      <c r="C15" s="604" t="s">
        <v>368</v>
      </c>
      <c r="D15" s="605"/>
      <c r="E15" s="605"/>
      <c r="F15" s="605"/>
      <c r="G15" s="605"/>
      <c r="H15" s="605"/>
      <c r="I15" s="605"/>
      <c r="J15" s="605"/>
      <c r="K15" s="605"/>
      <c r="L15" s="779"/>
      <c r="M15" s="605"/>
      <c r="N15" s="605"/>
      <c r="O15" s="605"/>
      <c r="P15" s="605"/>
      <c r="Q15" s="605"/>
      <c r="R15" s="605"/>
      <c r="S15" s="605"/>
      <c r="T15" s="605"/>
      <c r="U15" s="605"/>
      <c r="V15" s="605"/>
      <c r="W15" s="605"/>
      <c r="X15" s="606"/>
      <c r="Y15" s="606"/>
      <c r="Z15" s="605"/>
      <c r="AA15" s="605"/>
      <c r="AB15" s="605"/>
      <c r="AC15" s="605"/>
      <c r="AD15" s="605"/>
      <c r="AE15" s="605"/>
      <c r="AF15" s="605"/>
      <c r="AG15" s="607"/>
      <c r="AH15" s="605"/>
      <c r="AI15" s="605"/>
      <c r="AJ15" s="605"/>
      <c r="AK15" s="607"/>
      <c r="AL15" s="605"/>
      <c r="AM15" s="605"/>
      <c r="AN15" s="605"/>
      <c r="AO15" s="605"/>
      <c r="AP15" s="607"/>
      <c r="AQ15" s="607"/>
      <c r="AR15" s="607"/>
      <c r="AS15" s="607"/>
      <c r="AT15" s="608"/>
      <c r="AU15" s="608"/>
      <c r="AV15" s="608"/>
      <c r="AW15" s="609"/>
      <c r="AX15" s="594"/>
    </row>
    <row r="16" spans="1:51" x14ac:dyDescent="0.25">
      <c r="A16" s="594"/>
      <c r="B16" t="s">
        <v>381</v>
      </c>
      <c r="C16" s="604" t="s">
        <v>368</v>
      </c>
      <c r="D16" s="605"/>
      <c r="E16" s="605"/>
      <c r="F16" s="605"/>
      <c r="G16" s="605"/>
      <c r="H16" s="605"/>
      <c r="I16" s="605"/>
      <c r="J16" s="605"/>
      <c r="K16" s="605"/>
      <c r="L16" s="779"/>
      <c r="M16" s="605"/>
      <c r="N16" s="605"/>
      <c r="O16" s="605"/>
      <c r="P16" s="605"/>
      <c r="Q16" s="605"/>
      <c r="R16" s="605"/>
      <c r="S16" s="605"/>
      <c r="T16" s="605"/>
      <c r="U16" s="605"/>
      <c r="V16" s="605"/>
      <c r="W16" s="605"/>
      <c r="X16" s="606"/>
      <c r="Y16" s="606"/>
      <c r="Z16" s="605"/>
      <c r="AA16" s="605"/>
      <c r="AB16" s="605"/>
      <c r="AC16" s="605"/>
      <c r="AD16" s="605"/>
      <c r="AE16" s="605"/>
      <c r="AF16" s="605"/>
      <c r="AG16" s="607"/>
      <c r="AH16" s="605"/>
      <c r="AI16" s="605"/>
      <c r="AJ16" s="605"/>
      <c r="AK16" s="607"/>
      <c r="AL16" s="605"/>
      <c r="AM16" s="605"/>
      <c r="AN16" s="605"/>
      <c r="AO16" s="605"/>
      <c r="AP16" s="607"/>
      <c r="AQ16" s="607"/>
      <c r="AR16" s="607"/>
      <c r="AS16" s="607"/>
      <c r="AT16" s="608"/>
      <c r="AU16" s="608"/>
      <c r="AV16" s="608"/>
      <c r="AW16" s="609"/>
      <c r="AX16" s="594"/>
    </row>
    <row r="17" spans="1:50" x14ac:dyDescent="0.25">
      <c r="A17" s="594"/>
      <c r="B17" t="s">
        <v>382</v>
      </c>
      <c r="C17" s="604" t="s">
        <v>368</v>
      </c>
      <c r="D17" s="605"/>
      <c r="E17" s="605"/>
      <c r="F17" s="605"/>
      <c r="G17" s="605"/>
      <c r="H17" s="605"/>
      <c r="I17" s="605"/>
      <c r="J17" s="605"/>
      <c r="K17" s="605"/>
      <c r="L17" s="779"/>
      <c r="M17" s="605"/>
      <c r="N17" s="605"/>
      <c r="O17" s="605"/>
      <c r="P17" s="605"/>
      <c r="Q17" s="605"/>
      <c r="R17" s="605"/>
      <c r="S17" s="605"/>
      <c r="T17" s="605"/>
      <c r="U17" s="605"/>
      <c r="V17" s="605"/>
      <c r="W17" s="605"/>
      <c r="X17" s="606"/>
      <c r="Y17" s="606"/>
      <c r="Z17" s="605"/>
      <c r="AA17" s="605"/>
      <c r="AB17" s="605"/>
      <c r="AC17" s="605"/>
      <c r="AD17" s="605"/>
      <c r="AE17" s="605"/>
      <c r="AF17" s="605"/>
      <c r="AG17" s="607"/>
      <c r="AH17" s="605"/>
      <c r="AI17" s="605"/>
      <c r="AJ17" s="605"/>
      <c r="AK17" s="607"/>
      <c r="AL17" s="605"/>
      <c r="AM17" s="605"/>
      <c r="AN17" s="605"/>
      <c r="AO17" s="605"/>
      <c r="AP17" s="607"/>
      <c r="AQ17" s="607"/>
      <c r="AR17" s="607"/>
      <c r="AS17" s="607"/>
      <c r="AT17" s="608"/>
      <c r="AU17" s="608"/>
      <c r="AV17" s="608"/>
      <c r="AW17" s="609"/>
      <c r="AX17" s="594"/>
    </row>
    <row r="18" spans="1:50" x14ac:dyDescent="0.25">
      <c r="A18" s="594"/>
      <c r="B18" t="s">
        <v>383</v>
      </c>
      <c r="C18" s="604" t="s">
        <v>368</v>
      </c>
      <c r="D18" s="605"/>
      <c r="E18" s="605"/>
      <c r="F18" s="605"/>
      <c r="G18" s="605"/>
      <c r="H18" s="605"/>
      <c r="I18" s="605"/>
      <c r="J18" s="605"/>
      <c r="K18" s="605"/>
      <c r="L18" s="779"/>
      <c r="M18" s="605"/>
      <c r="N18" s="605"/>
      <c r="O18" s="605"/>
      <c r="P18" s="605"/>
      <c r="Q18" s="605"/>
      <c r="R18" s="605"/>
      <c r="S18" s="605"/>
      <c r="T18" s="605"/>
      <c r="U18" s="605"/>
      <c r="V18" s="605"/>
      <c r="W18" s="605"/>
      <c r="X18" s="606"/>
      <c r="Y18" s="606"/>
      <c r="Z18" s="605"/>
      <c r="AA18" s="605"/>
      <c r="AB18" s="605"/>
      <c r="AC18" s="605"/>
      <c r="AD18" s="605"/>
      <c r="AE18" s="605"/>
      <c r="AF18" s="605"/>
      <c r="AG18" s="607"/>
      <c r="AH18" s="605"/>
      <c r="AI18" s="605"/>
      <c r="AJ18" s="605"/>
      <c r="AK18" s="607"/>
      <c r="AL18" s="605"/>
      <c r="AM18" s="605"/>
      <c r="AN18" s="605"/>
      <c r="AO18" s="605"/>
      <c r="AP18" s="607"/>
      <c r="AQ18" s="607"/>
      <c r="AR18" s="607"/>
      <c r="AS18" s="607"/>
      <c r="AT18" s="608"/>
      <c r="AU18" s="608"/>
      <c r="AV18" s="608"/>
      <c r="AW18" s="609"/>
      <c r="AX18" s="594"/>
    </row>
    <row r="19" spans="1:50" x14ac:dyDescent="0.25">
      <c r="A19" s="594"/>
      <c r="B19" t="s">
        <v>384</v>
      </c>
      <c r="C19" s="604" t="s">
        <v>368</v>
      </c>
      <c r="D19" s="605"/>
      <c r="E19" s="605"/>
      <c r="F19" s="605"/>
      <c r="G19" s="605"/>
      <c r="H19" s="605"/>
      <c r="I19" s="605"/>
      <c r="J19" s="605"/>
      <c r="K19" s="605"/>
      <c r="L19" s="779"/>
      <c r="M19" s="605"/>
      <c r="N19" s="605"/>
      <c r="O19" s="605"/>
      <c r="P19" s="605"/>
      <c r="Q19" s="605"/>
      <c r="R19" s="605"/>
      <c r="S19" s="605"/>
      <c r="T19" s="605"/>
      <c r="U19" s="605"/>
      <c r="V19" s="605"/>
      <c r="W19" s="605"/>
      <c r="X19" s="606"/>
      <c r="Y19" s="606"/>
      <c r="Z19" s="605"/>
      <c r="AA19" s="605"/>
      <c r="AB19" s="605"/>
      <c r="AC19" s="605"/>
      <c r="AD19" s="605"/>
      <c r="AE19" s="605"/>
      <c r="AF19" s="605"/>
      <c r="AG19" s="607"/>
      <c r="AH19" s="605"/>
      <c r="AI19" s="605"/>
      <c r="AJ19" s="605"/>
      <c r="AK19" s="607"/>
      <c r="AL19" s="605"/>
      <c r="AM19" s="605"/>
      <c r="AN19" s="605"/>
      <c r="AO19" s="605"/>
      <c r="AP19" s="607"/>
      <c r="AQ19" s="607"/>
      <c r="AR19" s="607"/>
      <c r="AS19" s="607"/>
      <c r="AT19" s="608"/>
      <c r="AU19" s="608"/>
      <c r="AV19" s="608"/>
      <c r="AW19" s="609"/>
      <c r="AX19" s="594"/>
    </row>
    <row r="20" spans="1:50" x14ac:dyDescent="0.25">
      <c r="A20" s="594"/>
      <c r="B20" t="s">
        <v>398</v>
      </c>
      <c r="C20" s="604" t="s">
        <v>368</v>
      </c>
      <c r="D20" s="605"/>
      <c r="E20" s="605"/>
      <c r="F20" s="605"/>
      <c r="G20" s="605"/>
      <c r="H20" s="605"/>
      <c r="I20" s="605"/>
      <c r="J20" s="605"/>
      <c r="K20" s="605"/>
      <c r="L20" s="779"/>
      <c r="M20" s="605"/>
      <c r="N20" s="605"/>
      <c r="O20" s="605"/>
      <c r="P20" s="605"/>
      <c r="Q20" s="605"/>
      <c r="R20" s="605"/>
      <c r="S20" s="605"/>
      <c r="T20" s="605"/>
      <c r="U20" s="605"/>
      <c r="V20" s="605"/>
      <c r="W20" s="605"/>
      <c r="X20" s="606"/>
      <c r="Y20" s="606"/>
      <c r="Z20" s="605"/>
      <c r="AA20" s="605"/>
      <c r="AB20" s="605"/>
      <c r="AC20" s="605"/>
      <c r="AD20" s="605"/>
      <c r="AE20" s="605"/>
      <c r="AF20" s="605"/>
      <c r="AG20" s="607"/>
      <c r="AH20" s="605"/>
      <c r="AI20" s="605"/>
      <c r="AJ20" s="605"/>
      <c r="AK20" s="607"/>
      <c r="AL20" s="605"/>
      <c r="AM20" s="605"/>
      <c r="AN20" s="605"/>
      <c r="AO20" s="605"/>
      <c r="AP20" s="607"/>
      <c r="AQ20" s="607"/>
      <c r="AR20" s="607"/>
      <c r="AS20" s="607"/>
      <c r="AT20" s="608"/>
      <c r="AU20" s="608"/>
      <c r="AV20" s="608"/>
      <c r="AW20" s="609"/>
      <c r="AX20" s="594"/>
    </row>
    <row r="21" spans="1:50" x14ac:dyDescent="0.25">
      <c r="A21" s="594"/>
      <c r="B21" t="s">
        <v>386</v>
      </c>
      <c r="C21" s="604" t="s">
        <v>368</v>
      </c>
      <c r="D21" s="605"/>
      <c r="E21" s="605"/>
      <c r="F21" s="605"/>
      <c r="G21" s="605"/>
      <c r="H21" s="605"/>
      <c r="I21" s="605"/>
      <c r="J21" s="605"/>
      <c r="K21" s="605"/>
      <c r="L21" s="779"/>
      <c r="M21" s="605"/>
      <c r="N21" s="605"/>
      <c r="O21" s="605"/>
      <c r="P21" s="605"/>
      <c r="Q21" s="605"/>
      <c r="R21" s="605"/>
      <c r="S21" s="605"/>
      <c r="T21" s="605"/>
      <c r="U21" s="605"/>
      <c r="V21" s="605"/>
      <c r="W21" s="605"/>
      <c r="X21" s="606"/>
      <c r="Y21" s="606"/>
      <c r="Z21" s="605"/>
      <c r="AA21" s="605"/>
      <c r="AB21" s="605"/>
      <c r="AC21" s="605"/>
      <c r="AD21" s="605"/>
      <c r="AE21" s="605"/>
      <c r="AF21" s="605"/>
      <c r="AG21" s="607"/>
      <c r="AH21" s="605"/>
      <c r="AI21" s="605"/>
      <c r="AJ21" s="605"/>
      <c r="AK21" s="607"/>
      <c r="AL21" s="605"/>
      <c r="AM21" s="605"/>
      <c r="AN21" s="605"/>
      <c r="AO21" s="605"/>
      <c r="AP21" s="607"/>
      <c r="AQ21" s="607"/>
      <c r="AR21" s="607"/>
      <c r="AS21" s="607"/>
      <c r="AT21" s="608"/>
      <c r="AU21" s="608"/>
      <c r="AV21" s="608"/>
      <c r="AW21" s="609"/>
      <c r="AX21" s="594"/>
    </row>
    <row r="22" spans="1:50" x14ac:dyDescent="0.25">
      <c r="A22" s="594"/>
      <c r="B22" t="s">
        <v>387</v>
      </c>
      <c r="C22" s="604" t="s">
        <v>368</v>
      </c>
      <c r="D22" s="605"/>
      <c r="E22" s="605"/>
      <c r="F22" s="605"/>
      <c r="G22" s="605"/>
      <c r="H22" s="605"/>
      <c r="I22" s="605"/>
      <c r="J22" s="605"/>
      <c r="K22" s="605"/>
      <c r="L22" s="779"/>
      <c r="M22" s="605"/>
      <c r="N22" s="605"/>
      <c r="O22" s="605"/>
      <c r="P22" s="605"/>
      <c r="Q22" s="605"/>
      <c r="R22" s="605"/>
      <c r="S22" s="605"/>
      <c r="T22" s="605"/>
      <c r="U22" s="605"/>
      <c r="V22" s="605"/>
      <c r="W22" s="605"/>
      <c r="X22" s="606"/>
      <c r="Y22" s="606"/>
      <c r="Z22" s="605"/>
      <c r="AA22" s="605"/>
      <c r="AB22" s="605"/>
      <c r="AC22" s="605"/>
      <c r="AD22" s="605"/>
      <c r="AE22" s="605"/>
      <c r="AF22" s="605"/>
      <c r="AG22" s="607"/>
      <c r="AH22" s="605"/>
      <c r="AI22" s="605"/>
      <c r="AJ22" s="605"/>
      <c r="AK22" s="607"/>
      <c r="AL22" s="605"/>
      <c r="AM22" s="605"/>
      <c r="AN22" s="605"/>
      <c r="AO22" s="605"/>
      <c r="AP22" s="607"/>
      <c r="AQ22" s="607"/>
      <c r="AR22" s="607"/>
      <c r="AS22" s="607"/>
      <c r="AT22" s="608"/>
      <c r="AU22" s="608"/>
      <c r="AV22" s="608"/>
      <c r="AW22" s="609"/>
      <c r="AX22" s="594"/>
    </row>
    <row r="23" spans="1:50" x14ac:dyDescent="0.25">
      <c r="A23" s="594"/>
      <c r="B23" t="s">
        <v>385</v>
      </c>
      <c r="C23" s="604" t="s">
        <v>368</v>
      </c>
      <c r="D23" s="605"/>
      <c r="E23" s="605"/>
      <c r="F23" s="605"/>
      <c r="G23" s="605"/>
      <c r="H23" s="605"/>
      <c r="I23" s="605"/>
      <c r="J23" s="605"/>
      <c r="K23" s="605"/>
      <c r="L23" s="779"/>
      <c r="M23" s="605"/>
      <c r="N23" s="605"/>
      <c r="O23" s="605"/>
      <c r="P23" s="605"/>
      <c r="Q23" s="605"/>
      <c r="R23" s="605"/>
      <c r="S23" s="605"/>
      <c r="T23" s="605"/>
      <c r="U23" s="605"/>
      <c r="V23" s="605"/>
      <c r="W23" s="605"/>
      <c r="X23" s="606"/>
      <c r="Y23" s="606"/>
      <c r="Z23" s="605"/>
      <c r="AA23" s="605"/>
      <c r="AB23" s="605"/>
      <c r="AC23" s="605"/>
      <c r="AD23" s="605"/>
      <c r="AE23" s="605"/>
      <c r="AF23" s="605"/>
      <c r="AG23" s="607"/>
      <c r="AH23" s="605"/>
      <c r="AI23" s="605"/>
      <c r="AJ23" s="605"/>
      <c r="AK23" s="607"/>
      <c r="AL23" s="605"/>
      <c r="AM23" s="605"/>
      <c r="AN23" s="605"/>
      <c r="AO23" s="605"/>
      <c r="AP23" s="607"/>
      <c r="AQ23" s="607"/>
      <c r="AR23" s="607"/>
      <c r="AS23" s="607"/>
      <c r="AT23" s="608"/>
      <c r="AU23" s="608"/>
      <c r="AV23" s="608"/>
      <c r="AW23" s="609"/>
      <c r="AX23" s="594"/>
    </row>
    <row r="24" spans="1:50" x14ac:dyDescent="0.25">
      <c r="A24" s="594"/>
      <c r="B24" t="s">
        <v>388</v>
      </c>
      <c r="C24" s="604" t="s">
        <v>368</v>
      </c>
      <c r="D24" s="605"/>
      <c r="E24" s="605"/>
      <c r="F24" s="605"/>
      <c r="G24" s="605"/>
      <c r="H24" s="605"/>
      <c r="I24" s="605"/>
      <c r="J24" s="605"/>
      <c r="K24" s="605"/>
      <c r="L24" s="779"/>
      <c r="M24" s="605"/>
      <c r="N24" s="605"/>
      <c r="O24" s="605"/>
      <c r="P24" s="605"/>
      <c r="Q24" s="605"/>
      <c r="R24" s="605"/>
      <c r="S24" s="605"/>
      <c r="T24" s="605"/>
      <c r="U24" s="605"/>
      <c r="V24" s="605"/>
      <c r="W24" s="605"/>
      <c r="X24" s="606"/>
      <c r="Y24" s="606"/>
      <c r="Z24" s="605"/>
      <c r="AA24" s="605"/>
      <c r="AB24" s="605"/>
      <c r="AC24" s="605"/>
      <c r="AD24" s="605"/>
      <c r="AE24" s="605"/>
      <c r="AF24" s="605"/>
      <c r="AG24" s="607"/>
      <c r="AH24" s="605"/>
      <c r="AI24" s="605"/>
      <c r="AJ24" s="605"/>
      <c r="AK24" s="607"/>
      <c r="AL24" s="605"/>
      <c r="AM24" s="605"/>
      <c r="AN24" s="605"/>
      <c r="AO24" s="605"/>
      <c r="AP24" s="607"/>
      <c r="AQ24" s="607"/>
      <c r="AR24" s="607"/>
      <c r="AS24" s="607"/>
      <c r="AT24" s="608"/>
      <c r="AU24" s="608"/>
      <c r="AV24" s="608"/>
      <c r="AW24" s="609"/>
      <c r="AX24" s="594"/>
    </row>
    <row r="25" spans="1:50" x14ac:dyDescent="0.25">
      <c r="A25" s="594"/>
      <c r="B25" t="s">
        <v>389</v>
      </c>
      <c r="C25" s="604" t="s">
        <v>368</v>
      </c>
      <c r="D25" s="605"/>
      <c r="E25" s="605"/>
      <c r="F25" s="605"/>
      <c r="G25" s="605"/>
      <c r="H25" s="605"/>
      <c r="I25" s="605"/>
      <c r="J25" s="605"/>
      <c r="K25" s="605"/>
      <c r="L25" s="779"/>
      <c r="M25" s="605"/>
      <c r="N25" s="605"/>
      <c r="O25" s="605"/>
      <c r="P25" s="605"/>
      <c r="Q25" s="605"/>
      <c r="R25" s="605"/>
      <c r="S25" s="605"/>
      <c r="T25" s="605"/>
      <c r="U25" s="605"/>
      <c r="V25" s="605"/>
      <c r="W25" s="605"/>
      <c r="X25" s="606"/>
      <c r="Y25" s="606"/>
      <c r="Z25" s="605"/>
      <c r="AA25" s="605"/>
      <c r="AB25" s="605"/>
      <c r="AC25" s="605"/>
      <c r="AD25" s="605"/>
      <c r="AE25" s="605"/>
      <c r="AF25" s="605"/>
      <c r="AG25" s="607"/>
      <c r="AH25" s="605"/>
      <c r="AI25" s="605"/>
      <c r="AJ25" s="605"/>
      <c r="AK25" s="607"/>
      <c r="AL25" s="605"/>
      <c r="AM25" s="605"/>
      <c r="AN25" s="605"/>
      <c r="AO25" s="605"/>
      <c r="AP25" s="607"/>
      <c r="AQ25" s="607"/>
      <c r="AR25" s="607"/>
      <c r="AS25" s="607"/>
      <c r="AT25" s="608"/>
      <c r="AU25" s="608"/>
      <c r="AV25" s="608"/>
      <c r="AW25" s="609"/>
      <c r="AX25" s="594"/>
    </row>
    <row r="26" spans="1:50" x14ac:dyDescent="0.25">
      <c r="A26" s="594"/>
      <c r="B26" t="s">
        <v>390</v>
      </c>
      <c r="C26" s="604" t="s">
        <v>368</v>
      </c>
      <c r="D26" s="605"/>
      <c r="E26" s="605"/>
      <c r="F26" s="605"/>
      <c r="G26" s="605"/>
      <c r="H26" s="605"/>
      <c r="I26" s="605"/>
      <c r="J26" s="605"/>
      <c r="K26" s="605"/>
      <c r="L26" s="779"/>
      <c r="M26" s="605"/>
      <c r="N26" s="605"/>
      <c r="O26" s="605"/>
      <c r="P26" s="605"/>
      <c r="Q26" s="605"/>
      <c r="R26" s="605"/>
      <c r="S26" s="605"/>
      <c r="T26" s="605"/>
      <c r="U26" s="605"/>
      <c r="V26" s="605"/>
      <c r="W26" s="605"/>
      <c r="X26" s="606"/>
      <c r="Y26" s="606"/>
      <c r="Z26" s="605"/>
      <c r="AA26" s="605"/>
      <c r="AB26" s="605"/>
      <c r="AC26" s="605"/>
      <c r="AD26" s="605"/>
      <c r="AE26" s="605"/>
      <c r="AF26" s="605"/>
      <c r="AG26" s="607"/>
      <c r="AH26" s="605"/>
      <c r="AI26" s="605"/>
      <c r="AJ26" s="605"/>
      <c r="AK26" s="607"/>
      <c r="AL26" s="605"/>
      <c r="AM26" s="605"/>
      <c r="AN26" s="605"/>
      <c r="AO26" s="605"/>
      <c r="AP26" s="607"/>
      <c r="AQ26" s="607"/>
      <c r="AR26" s="607"/>
      <c r="AS26" s="607"/>
      <c r="AT26" s="608"/>
      <c r="AU26" s="608"/>
      <c r="AV26" s="608"/>
      <c r="AW26" s="609"/>
      <c r="AX26" s="594"/>
    </row>
    <row r="27" spans="1:50" x14ac:dyDescent="0.25">
      <c r="A27" s="594"/>
      <c r="B27" t="s">
        <v>391</v>
      </c>
      <c r="C27" s="604" t="s">
        <v>368</v>
      </c>
      <c r="D27" s="605"/>
      <c r="E27" s="605"/>
      <c r="F27" s="605"/>
      <c r="G27" s="605"/>
      <c r="H27" s="605"/>
      <c r="I27" s="605"/>
      <c r="J27" s="605"/>
      <c r="K27" s="605"/>
      <c r="L27" s="779"/>
      <c r="M27" s="605"/>
      <c r="N27" s="605"/>
      <c r="O27" s="605"/>
      <c r="P27" s="605"/>
      <c r="Q27" s="605"/>
      <c r="R27" s="605"/>
      <c r="S27" s="605"/>
      <c r="T27" s="605"/>
      <c r="U27" s="605"/>
      <c r="V27" s="605"/>
      <c r="W27" s="605"/>
      <c r="X27" s="606"/>
      <c r="Y27" s="606"/>
      <c r="Z27" s="605"/>
      <c r="AA27" s="605"/>
      <c r="AB27" s="605"/>
      <c r="AC27" s="605"/>
      <c r="AD27" s="605"/>
      <c r="AE27" s="605"/>
      <c r="AF27" s="605"/>
      <c r="AG27" s="607"/>
      <c r="AH27" s="605"/>
      <c r="AI27" s="605"/>
      <c r="AJ27" s="605"/>
      <c r="AK27" s="607"/>
      <c r="AL27" s="605"/>
      <c r="AM27" s="605"/>
      <c r="AN27" s="605"/>
      <c r="AO27" s="605"/>
      <c r="AP27" s="607"/>
      <c r="AQ27" s="607"/>
      <c r="AR27" s="607"/>
      <c r="AS27" s="607"/>
      <c r="AT27" s="608"/>
      <c r="AU27" s="608"/>
      <c r="AV27" s="608"/>
      <c r="AW27" s="609"/>
      <c r="AX27" s="594"/>
    </row>
    <row r="28" spans="1:50" x14ac:dyDescent="0.25">
      <c r="A28" s="594"/>
      <c r="B28" t="s">
        <v>392</v>
      </c>
      <c r="C28" s="604" t="s">
        <v>368</v>
      </c>
      <c r="D28" s="605"/>
      <c r="E28" s="605"/>
      <c r="F28" s="605"/>
      <c r="G28" s="605"/>
      <c r="H28" s="605"/>
      <c r="I28" s="605"/>
      <c r="J28" s="605"/>
      <c r="K28" s="605"/>
      <c r="L28" s="779"/>
      <c r="M28" s="605"/>
      <c r="N28" s="605"/>
      <c r="O28" s="605"/>
      <c r="P28" s="605"/>
      <c r="Q28" s="605"/>
      <c r="R28" s="605"/>
      <c r="S28" s="605"/>
      <c r="T28" s="605"/>
      <c r="U28" s="605"/>
      <c r="V28" s="605"/>
      <c r="W28" s="605"/>
      <c r="X28" s="606"/>
      <c r="Y28" s="606"/>
      <c r="Z28" s="605"/>
      <c r="AA28" s="605"/>
      <c r="AB28" s="605"/>
      <c r="AC28" s="605"/>
      <c r="AD28" s="605"/>
      <c r="AE28" s="605"/>
      <c r="AF28" s="605"/>
      <c r="AG28" s="607"/>
      <c r="AH28" s="605"/>
      <c r="AI28" s="605"/>
      <c r="AJ28" s="605"/>
      <c r="AK28" s="607"/>
      <c r="AL28" s="605"/>
      <c r="AM28" s="605"/>
      <c r="AN28" s="605"/>
      <c r="AO28" s="605"/>
      <c r="AP28" s="607"/>
      <c r="AQ28" s="607"/>
      <c r="AR28" s="607"/>
      <c r="AS28" s="607"/>
      <c r="AT28" s="608"/>
      <c r="AU28" s="608"/>
      <c r="AV28" s="608"/>
      <c r="AW28" s="609"/>
      <c r="AX28" s="594"/>
    </row>
    <row r="29" spans="1:50" x14ac:dyDescent="0.25">
      <c r="A29" s="594"/>
      <c r="B29" t="s">
        <v>393</v>
      </c>
      <c r="C29" s="604" t="s">
        <v>368</v>
      </c>
      <c r="D29" s="605"/>
      <c r="E29" s="605"/>
      <c r="F29" s="605"/>
      <c r="G29" s="605"/>
      <c r="H29" s="605"/>
      <c r="I29" s="605"/>
      <c r="J29" s="605"/>
      <c r="K29" s="605"/>
      <c r="L29" s="779"/>
      <c r="M29" s="605"/>
      <c r="N29" s="605"/>
      <c r="O29" s="605"/>
      <c r="P29" s="605"/>
      <c r="Q29" s="605"/>
      <c r="R29" s="605"/>
      <c r="S29" s="605"/>
      <c r="T29" s="605"/>
      <c r="U29" s="605"/>
      <c r="V29" s="605"/>
      <c r="W29" s="605"/>
      <c r="X29" s="606"/>
      <c r="Y29" s="606"/>
      <c r="Z29" s="605"/>
      <c r="AA29" s="605"/>
      <c r="AB29" s="605"/>
      <c r="AC29" s="605"/>
      <c r="AD29" s="605"/>
      <c r="AE29" s="605"/>
      <c r="AF29" s="605"/>
      <c r="AG29" s="607"/>
      <c r="AH29" s="605"/>
      <c r="AI29" s="605"/>
      <c r="AJ29" s="605"/>
      <c r="AK29" s="607"/>
      <c r="AL29" s="605"/>
      <c r="AM29" s="605"/>
      <c r="AN29" s="605"/>
      <c r="AO29" s="605"/>
      <c r="AP29" s="607"/>
      <c r="AQ29" s="607"/>
      <c r="AR29" s="607"/>
      <c r="AS29" s="607"/>
      <c r="AT29" s="608"/>
      <c r="AU29" s="608"/>
      <c r="AV29" s="608"/>
      <c r="AW29" s="609"/>
      <c r="AX29" s="594"/>
    </row>
    <row r="30" spans="1:50" x14ac:dyDescent="0.25">
      <c r="A30" s="594"/>
      <c r="B30" t="s">
        <v>394</v>
      </c>
      <c r="C30" s="604" t="s">
        <v>368</v>
      </c>
      <c r="D30" s="605"/>
      <c r="E30" s="605"/>
      <c r="F30" s="605"/>
      <c r="G30" s="605"/>
      <c r="H30" s="605"/>
      <c r="I30" s="605"/>
      <c r="J30" s="605"/>
      <c r="K30" s="605"/>
      <c r="L30" s="779"/>
      <c r="M30" s="605"/>
      <c r="N30" s="605"/>
      <c r="O30" s="605"/>
      <c r="P30" s="605"/>
      <c r="Q30" s="605"/>
      <c r="R30" s="605"/>
      <c r="S30" s="605"/>
      <c r="T30" s="605"/>
      <c r="U30" s="605"/>
      <c r="V30" s="605"/>
      <c r="W30" s="605"/>
      <c r="X30" s="606"/>
      <c r="Y30" s="606"/>
      <c r="Z30" s="605"/>
      <c r="AA30" s="605"/>
      <c r="AB30" s="605"/>
      <c r="AC30" s="605"/>
      <c r="AD30" s="605"/>
      <c r="AE30" s="605"/>
      <c r="AF30" s="605"/>
      <c r="AG30" s="607"/>
      <c r="AH30" s="605"/>
      <c r="AI30" s="605"/>
      <c r="AJ30" s="605"/>
      <c r="AK30" s="607"/>
      <c r="AL30" s="605"/>
      <c r="AM30" s="605"/>
      <c r="AN30" s="605"/>
      <c r="AO30" s="605"/>
      <c r="AP30" s="607"/>
      <c r="AQ30" s="607"/>
      <c r="AR30" s="607"/>
      <c r="AS30" s="607"/>
      <c r="AT30" s="608"/>
      <c r="AU30" s="608"/>
      <c r="AV30" s="608"/>
      <c r="AW30" s="609"/>
      <c r="AX30" s="594"/>
    </row>
    <row r="31" spans="1:50" x14ac:dyDescent="0.25">
      <c r="A31" s="594"/>
      <c r="B31" t="s">
        <v>395</v>
      </c>
      <c r="C31" s="604" t="s">
        <v>368</v>
      </c>
      <c r="D31" s="605"/>
      <c r="E31" s="605"/>
      <c r="F31" s="605"/>
      <c r="G31" s="605"/>
      <c r="H31" s="605"/>
      <c r="I31" s="605"/>
      <c r="J31" s="605"/>
      <c r="K31" s="605"/>
      <c r="L31" s="779"/>
      <c r="M31" s="605"/>
      <c r="N31" s="605"/>
      <c r="O31" s="605"/>
      <c r="P31" s="605"/>
      <c r="Q31" s="605"/>
      <c r="R31" s="605"/>
      <c r="S31" s="605"/>
      <c r="T31" s="605"/>
      <c r="U31" s="605"/>
      <c r="V31" s="605"/>
      <c r="W31" s="605"/>
      <c r="X31" s="606"/>
      <c r="Y31" s="606"/>
      <c r="Z31" s="605"/>
      <c r="AA31" s="605"/>
      <c r="AB31" s="605"/>
      <c r="AC31" s="605"/>
      <c r="AD31" s="605"/>
      <c r="AE31" s="605"/>
      <c r="AF31" s="605"/>
      <c r="AG31" s="607"/>
      <c r="AH31" s="605"/>
      <c r="AI31" s="605"/>
      <c r="AJ31" s="605"/>
      <c r="AK31" s="607"/>
      <c r="AL31" s="605"/>
      <c r="AM31" s="605"/>
      <c r="AN31" s="605"/>
      <c r="AO31" s="605"/>
      <c r="AP31" s="607"/>
      <c r="AQ31" s="607"/>
      <c r="AR31" s="607"/>
      <c r="AS31" s="607"/>
      <c r="AT31" s="608"/>
      <c r="AU31" s="608"/>
      <c r="AV31" s="608"/>
      <c r="AW31" s="609"/>
      <c r="AX31" s="594"/>
    </row>
    <row r="32" spans="1:50" x14ac:dyDescent="0.25">
      <c r="A32" s="594"/>
      <c r="B32" t="s">
        <v>396</v>
      </c>
      <c r="C32" s="604" t="s">
        <v>368</v>
      </c>
      <c r="D32" s="605"/>
      <c r="E32" s="605"/>
      <c r="F32" s="605"/>
      <c r="G32" s="605"/>
      <c r="H32" s="605"/>
      <c r="I32" s="605"/>
      <c r="J32" s="605"/>
      <c r="K32" s="605"/>
      <c r="L32" s="779"/>
      <c r="M32" s="605"/>
      <c r="N32" s="605"/>
      <c r="O32" s="605"/>
      <c r="P32" s="605"/>
      <c r="Q32" s="605"/>
      <c r="R32" s="605"/>
      <c r="S32" s="605"/>
      <c r="T32" s="605"/>
      <c r="U32" s="605"/>
      <c r="V32" s="605"/>
      <c r="W32" s="605"/>
      <c r="X32" s="606"/>
      <c r="Y32" s="606"/>
      <c r="Z32" s="605"/>
      <c r="AA32" s="605"/>
      <c r="AB32" s="605"/>
      <c r="AC32" s="605"/>
      <c r="AD32" s="605"/>
      <c r="AE32" s="605"/>
      <c r="AF32" s="605"/>
      <c r="AG32" s="607"/>
      <c r="AH32" s="605"/>
      <c r="AI32" s="605"/>
      <c r="AJ32" s="605"/>
      <c r="AK32" s="607"/>
      <c r="AL32" s="605"/>
      <c r="AM32" s="605"/>
      <c r="AN32" s="605"/>
      <c r="AO32" s="605"/>
      <c r="AP32" s="607"/>
      <c r="AQ32" s="607"/>
      <c r="AR32" s="607"/>
      <c r="AS32" s="607"/>
      <c r="AT32" s="608"/>
      <c r="AU32" s="608"/>
      <c r="AV32" s="608"/>
      <c r="AW32" s="609"/>
      <c r="AX32" s="594"/>
    </row>
    <row r="33" spans="1:50" x14ac:dyDescent="0.25">
      <c r="A33" s="594"/>
      <c r="B33" t="s">
        <v>397</v>
      </c>
      <c r="C33" s="604" t="s">
        <v>368</v>
      </c>
      <c r="D33" s="605"/>
      <c r="E33" s="605"/>
      <c r="F33" s="605"/>
      <c r="G33" s="605"/>
      <c r="H33" s="605"/>
      <c r="I33" s="605"/>
      <c r="J33" s="605"/>
      <c r="K33" s="605"/>
      <c r="L33" s="779"/>
      <c r="M33" s="605"/>
      <c r="N33" s="605"/>
      <c r="O33" s="605"/>
      <c r="P33" s="605"/>
      <c r="Q33" s="605"/>
      <c r="R33" s="605"/>
      <c r="S33" s="605"/>
      <c r="T33" s="605"/>
      <c r="U33" s="605"/>
      <c r="V33" s="605"/>
      <c r="W33" s="605"/>
      <c r="X33" s="606"/>
      <c r="Y33" s="606"/>
      <c r="Z33" s="605"/>
      <c r="AA33" s="605"/>
      <c r="AB33" s="605"/>
      <c r="AC33" s="605"/>
      <c r="AD33" s="605"/>
      <c r="AE33" s="605"/>
      <c r="AF33" s="605"/>
      <c r="AG33" s="607"/>
      <c r="AH33" s="605"/>
      <c r="AI33" s="605"/>
      <c r="AJ33" s="605"/>
      <c r="AK33" s="607"/>
      <c r="AL33" s="605"/>
      <c r="AM33" s="605"/>
      <c r="AN33" s="605"/>
      <c r="AO33" s="605"/>
      <c r="AP33" s="607"/>
      <c r="AQ33" s="607"/>
      <c r="AR33" s="607"/>
      <c r="AS33" s="607"/>
      <c r="AT33" s="608"/>
      <c r="AU33" s="608"/>
      <c r="AV33" s="608"/>
      <c r="AW33" s="609"/>
      <c r="AX33" s="594"/>
    </row>
    <row r="34" spans="1:50" x14ac:dyDescent="0.25">
      <c r="A34" s="594"/>
      <c r="B34" t="s">
        <v>399</v>
      </c>
      <c r="C34" s="604"/>
      <c r="D34" s="605"/>
      <c r="E34" s="605"/>
      <c r="F34" s="605"/>
      <c r="G34" s="605"/>
      <c r="H34" s="605"/>
      <c r="I34" s="605"/>
      <c r="J34" s="605"/>
      <c r="K34" s="605"/>
      <c r="L34" s="779"/>
      <c r="M34" s="605"/>
      <c r="N34" s="605"/>
      <c r="O34" s="605"/>
      <c r="P34" s="605"/>
      <c r="Q34" s="605"/>
      <c r="R34" s="605"/>
      <c r="S34" s="605"/>
      <c r="T34" s="605"/>
      <c r="U34" s="605"/>
      <c r="V34" s="605"/>
      <c r="W34" s="605"/>
      <c r="X34" s="606"/>
      <c r="Y34" s="606"/>
      <c r="Z34" s="605"/>
      <c r="AA34" s="605"/>
      <c r="AB34" s="605"/>
      <c r="AC34" s="605"/>
      <c r="AD34" s="605"/>
      <c r="AE34" s="605"/>
      <c r="AF34" s="605"/>
      <c r="AG34" s="607"/>
      <c r="AH34" s="605"/>
      <c r="AI34" s="605"/>
      <c r="AJ34" s="605"/>
      <c r="AK34" s="607"/>
      <c r="AL34" s="605"/>
      <c r="AM34" s="605"/>
      <c r="AN34" s="605"/>
      <c r="AO34" s="605"/>
      <c r="AP34" s="607"/>
      <c r="AQ34" s="607"/>
      <c r="AR34" s="607"/>
      <c r="AS34" s="607"/>
      <c r="AT34" s="608"/>
      <c r="AU34" s="608"/>
      <c r="AV34" s="608"/>
      <c r="AW34" s="609"/>
      <c r="AX34" s="594"/>
    </row>
    <row r="35" spans="1:50" x14ac:dyDescent="0.25">
      <c r="A35" s="594"/>
      <c r="B35" t="s">
        <v>400</v>
      </c>
      <c r="C35" s="604"/>
      <c r="D35" s="605"/>
      <c r="E35" s="605"/>
      <c r="F35" s="605"/>
      <c r="G35" s="605"/>
      <c r="H35" s="605"/>
      <c r="I35" s="605"/>
      <c r="J35" s="605"/>
      <c r="K35" s="605"/>
      <c r="L35" s="779"/>
      <c r="M35" s="605"/>
      <c r="N35" s="605"/>
      <c r="O35" s="605"/>
      <c r="P35" s="605"/>
      <c r="Q35" s="605"/>
      <c r="R35" s="605"/>
      <c r="S35" s="605"/>
      <c r="T35" s="605"/>
      <c r="U35" s="605"/>
      <c r="V35" s="605"/>
      <c r="W35" s="605"/>
      <c r="X35" s="606"/>
      <c r="Y35" s="606"/>
      <c r="Z35" s="605"/>
      <c r="AA35" s="605"/>
      <c r="AB35" s="605"/>
      <c r="AC35" s="605"/>
      <c r="AD35" s="605"/>
      <c r="AE35" s="605"/>
      <c r="AF35" s="605"/>
      <c r="AG35" s="607"/>
      <c r="AH35" s="605"/>
      <c r="AI35" s="605"/>
      <c r="AJ35" s="605"/>
      <c r="AK35" s="607"/>
      <c r="AL35" s="605"/>
      <c r="AM35" s="605"/>
      <c r="AN35" s="605"/>
      <c r="AO35" s="605"/>
      <c r="AP35" s="607"/>
      <c r="AQ35" s="607"/>
      <c r="AR35" s="607"/>
      <c r="AS35" s="607"/>
      <c r="AT35" s="608"/>
      <c r="AU35" s="608"/>
      <c r="AV35" s="608"/>
      <c r="AW35" s="609"/>
      <c r="AX35" s="594"/>
    </row>
    <row r="36" spans="1:50" x14ac:dyDescent="0.25">
      <c r="A36" s="594"/>
      <c r="B36" t="s">
        <v>401</v>
      </c>
      <c r="C36" s="604"/>
      <c r="D36" s="605"/>
      <c r="E36" s="605"/>
      <c r="F36" s="605"/>
      <c r="G36" s="605"/>
      <c r="H36" s="605"/>
      <c r="I36" s="605"/>
      <c r="J36" s="605"/>
      <c r="K36" s="605"/>
      <c r="L36" s="779"/>
      <c r="M36" s="605"/>
      <c r="N36" s="605"/>
      <c r="O36" s="605"/>
      <c r="P36" s="605"/>
      <c r="Q36" s="605"/>
      <c r="R36" s="605"/>
      <c r="S36" s="605"/>
      <c r="T36" s="605"/>
      <c r="U36" s="605"/>
      <c r="V36" s="605"/>
      <c r="W36" s="605"/>
      <c r="X36" s="606"/>
      <c r="Y36" s="606"/>
      <c r="Z36" s="605"/>
      <c r="AA36" s="605"/>
      <c r="AB36" s="605"/>
      <c r="AC36" s="605"/>
      <c r="AD36" s="605"/>
      <c r="AE36" s="605"/>
      <c r="AF36" s="605"/>
      <c r="AG36" s="607"/>
      <c r="AH36" s="605"/>
      <c r="AI36" s="605"/>
      <c r="AJ36" s="605"/>
      <c r="AK36" s="607"/>
      <c r="AL36" s="605"/>
      <c r="AM36" s="605"/>
      <c r="AN36" s="605"/>
      <c r="AO36" s="605"/>
      <c r="AP36" s="607"/>
      <c r="AQ36" s="607"/>
      <c r="AR36" s="607"/>
      <c r="AS36" s="607"/>
      <c r="AT36" s="608"/>
      <c r="AU36" s="608"/>
      <c r="AV36" s="608"/>
      <c r="AW36" s="609"/>
      <c r="AX36" s="594"/>
    </row>
    <row r="37" spans="1:50" x14ac:dyDescent="0.25">
      <c r="A37" s="594"/>
      <c r="B37" t="s">
        <v>402</v>
      </c>
      <c r="C37" s="604"/>
      <c r="D37" s="605"/>
      <c r="E37" s="605"/>
      <c r="F37" s="605"/>
      <c r="G37" s="605"/>
      <c r="H37" s="605"/>
      <c r="I37" s="605"/>
      <c r="J37" s="605"/>
      <c r="K37" s="605"/>
      <c r="L37" s="779"/>
      <c r="M37" s="605"/>
      <c r="N37" s="605"/>
      <c r="O37" s="605"/>
      <c r="P37" s="605"/>
      <c r="Q37" s="605"/>
      <c r="R37" s="605"/>
      <c r="S37" s="605"/>
      <c r="T37" s="605"/>
      <c r="U37" s="605"/>
      <c r="V37" s="605"/>
      <c r="W37" s="605"/>
      <c r="X37" s="606"/>
      <c r="Y37" s="606"/>
      <c r="Z37" s="605"/>
      <c r="AA37" s="605"/>
      <c r="AB37" s="605"/>
      <c r="AC37" s="605"/>
      <c r="AD37" s="605"/>
      <c r="AE37" s="605"/>
      <c r="AF37" s="605"/>
      <c r="AG37" s="607"/>
      <c r="AH37" s="605"/>
      <c r="AI37" s="605"/>
      <c r="AJ37" s="605"/>
      <c r="AK37" s="607"/>
      <c r="AL37" s="605"/>
      <c r="AM37" s="605"/>
      <c r="AN37" s="605"/>
      <c r="AO37" s="605"/>
      <c r="AP37" s="607"/>
      <c r="AQ37" s="607"/>
      <c r="AR37" s="607"/>
      <c r="AS37" s="607"/>
      <c r="AT37" s="608"/>
      <c r="AU37" s="608"/>
      <c r="AV37" s="608"/>
      <c r="AW37" s="609"/>
      <c r="AX37" s="594"/>
    </row>
    <row r="38" spans="1:50" x14ac:dyDescent="0.25">
      <c r="A38" s="594"/>
      <c r="B38" t="s">
        <v>403</v>
      </c>
      <c r="C38" s="604"/>
      <c r="D38" s="605"/>
      <c r="E38" s="605"/>
      <c r="F38" s="605"/>
      <c r="G38" s="605"/>
      <c r="H38" s="605"/>
      <c r="I38" s="605"/>
      <c r="J38" s="605"/>
      <c r="K38" s="605"/>
      <c r="L38" s="779"/>
      <c r="M38" s="605"/>
      <c r="N38" s="605"/>
      <c r="O38" s="605"/>
      <c r="P38" s="605"/>
      <c r="Q38" s="605"/>
      <c r="R38" s="605"/>
      <c r="S38" s="605"/>
      <c r="T38" s="605"/>
      <c r="U38" s="605"/>
      <c r="V38" s="605"/>
      <c r="W38" s="605"/>
      <c r="X38" s="606"/>
      <c r="Y38" s="606"/>
      <c r="Z38" s="605"/>
      <c r="AA38" s="605"/>
      <c r="AB38" s="605"/>
      <c r="AC38" s="605"/>
      <c r="AD38" s="605"/>
      <c r="AE38" s="605"/>
      <c r="AF38" s="605"/>
      <c r="AG38" s="607"/>
      <c r="AH38" s="605"/>
      <c r="AI38" s="605"/>
      <c r="AJ38" s="605"/>
      <c r="AK38" s="607"/>
      <c r="AL38" s="605"/>
      <c r="AM38" s="605"/>
      <c r="AN38" s="605"/>
      <c r="AO38" s="605"/>
      <c r="AP38" s="607"/>
      <c r="AQ38" s="607"/>
      <c r="AR38" s="607"/>
      <c r="AS38" s="607"/>
      <c r="AT38" s="608"/>
      <c r="AU38" s="608"/>
      <c r="AV38" s="608"/>
      <c r="AW38" s="609"/>
      <c r="AX38" s="594"/>
    </row>
    <row r="39" spans="1:50" x14ac:dyDescent="0.25">
      <c r="A39" s="594"/>
      <c r="B39" t="s">
        <v>404</v>
      </c>
      <c r="C39" s="604"/>
      <c r="D39" s="605"/>
      <c r="E39" s="605"/>
      <c r="F39" s="605"/>
      <c r="G39" s="605"/>
      <c r="H39" s="605"/>
      <c r="I39" s="605"/>
      <c r="J39" s="605"/>
      <c r="K39" s="605"/>
      <c r="L39" s="779"/>
      <c r="M39" s="605"/>
      <c r="N39" s="605"/>
      <c r="O39" s="605"/>
      <c r="P39" s="605"/>
      <c r="Q39" s="605"/>
      <c r="R39" s="605"/>
      <c r="S39" s="605"/>
      <c r="T39" s="605"/>
      <c r="U39" s="605"/>
      <c r="V39" s="605"/>
      <c r="W39" s="605"/>
      <c r="X39" s="606"/>
      <c r="Y39" s="606"/>
      <c r="Z39" s="605"/>
      <c r="AA39" s="605"/>
      <c r="AB39" s="605"/>
      <c r="AC39" s="605"/>
      <c r="AD39" s="605"/>
      <c r="AE39" s="605"/>
      <c r="AF39" s="605"/>
      <c r="AG39" s="607"/>
      <c r="AH39" s="605"/>
      <c r="AI39" s="605"/>
      <c r="AJ39" s="605"/>
      <c r="AK39" s="607"/>
      <c r="AL39" s="605"/>
      <c r="AM39" s="605"/>
      <c r="AN39" s="605"/>
      <c r="AO39" s="605"/>
      <c r="AP39" s="607"/>
      <c r="AQ39" s="607"/>
      <c r="AR39" s="607"/>
      <c r="AS39" s="607"/>
      <c r="AT39" s="608"/>
      <c r="AU39" s="608"/>
      <c r="AV39" s="608"/>
      <c r="AW39" s="609"/>
      <c r="AX39" s="594"/>
    </row>
    <row r="40" spans="1:50" x14ac:dyDescent="0.25">
      <c r="A40" s="594"/>
      <c r="B40" t="s">
        <v>405</v>
      </c>
      <c r="C40" s="604"/>
      <c r="D40" s="605"/>
      <c r="E40" s="605" t="str">
        <f>LEFT(T_Fordonslista[[#This Row],[REG_NR]],3)</f>
        <v/>
      </c>
      <c r="F40" s="605"/>
      <c r="G40" s="605"/>
      <c r="H40" s="605"/>
      <c r="I40" s="605"/>
      <c r="J40" s="605"/>
      <c r="K40" s="605"/>
      <c r="L40" s="779"/>
      <c r="M40" s="605"/>
      <c r="N40" s="605"/>
      <c r="O40" s="605"/>
      <c r="P40" s="605"/>
      <c r="Q40" s="605"/>
      <c r="R40" s="605"/>
      <c r="S40" s="605"/>
      <c r="T40" s="605"/>
      <c r="U40" s="605"/>
      <c r="V40" s="605"/>
      <c r="W40" s="605"/>
      <c r="X40" s="605"/>
      <c r="Y40" s="605"/>
      <c r="Z40" s="605"/>
      <c r="AA40" s="605"/>
      <c r="AB40" s="605"/>
      <c r="AC40" s="605"/>
      <c r="AD40" s="605"/>
      <c r="AE40" s="605"/>
      <c r="AF40" s="605"/>
      <c r="AG40" s="607"/>
      <c r="AH40" s="605"/>
      <c r="AI40" s="605"/>
      <c r="AJ40" s="605"/>
      <c r="AK40" s="607"/>
      <c r="AL40" s="605"/>
      <c r="AM40" s="605"/>
      <c r="AN40" s="605"/>
      <c r="AO40" s="605"/>
      <c r="AP40" s="607"/>
      <c r="AQ40" s="607"/>
      <c r="AR40" s="607"/>
      <c r="AS40" s="607"/>
      <c r="AT40" s="608"/>
      <c r="AU40" s="608"/>
      <c r="AV40" s="608"/>
      <c r="AW40" s="609"/>
      <c r="AX40" s="594"/>
    </row>
    <row r="41" spans="1:50" x14ac:dyDescent="0.25">
      <c r="A41" s="594"/>
      <c r="B41" t="s">
        <v>406</v>
      </c>
      <c r="C41" s="604"/>
      <c r="D41" s="605"/>
      <c r="E41" s="605" t="str">
        <f>LEFT(T_Fordonslista[[#This Row],[REG_NR]],3)</f>
        <v/>
      </c>
      <c r="F41" s="605"/>
      <c r="G41" s="605"/>
      <c r="H41" s="605"/>
      <c r="I41" s="605"/>
      <c r="J41" s="605"/>
      <c r="K41" s="605"/>
      <c r="L41" s="779"/>
      <c r="M41" s="605"/>
      <c r="N41" s="605"/>
      <c r="O41" s="605"/>
      <c r="P41" s="605"/>
      <c r="Q41" s="605"/>
      <c r="R41" s="605"/>
      <c r="S41" s="605"/>
      <c r="T41" s="605"/>
      <c r="U41" s="605"/>
      <c r="V41" s="605"/>
      <c r="W41" s="605"/>
      <c r="X41" s="605"/>
      <c r="Y41" s="605"/>
      <c r="Z41" s="605"/>
      <c r="AA41" s="605"/>
      <c r="AB41" s="605"/>
      <c r="AC41" s="605"/>
      <c r="AD41" s="605"/>
      <c r="AE41" s="605"/>
      <c r="AF41" s="605"/>
      <c r="AG41" s="607"/>
      <c r="AH41" s="605"/>
      <c r="AI41" s="605"/>
      <c r="AJ41" s="605"/>
      <c r="AK41" s="607"/>
      <c r="AL41" s="605"/>
      <c r="AM41" s="605"/>
      <c r="AN41" s="605"/>
      <c r="AO41" s="605"/>
      <c r="AP41" s="607"/>
      <c r="AQ41" s="607"/>
      <c r="AR41" s="607"/>
      <c r="AS41" s="607"/>
      <c r="AT41" s="608"/>
      <c r="AU41" s="608"/>
      <c r="AV41" s="608"/>
      <c r="AW41" s="609"/>
      <c r="AX41" s="594"/>
    </row>
    <row r="42" spans="1:50" x14ac:dyDescent="0.25">
      <c r="A42" s="594"/>
      <c r="B42" t="s">
        <v>407</v>
      </c>
      <c r="C42" s="604"/>
      <c r="D42" s="605"/>
      <c r="E42" s="605" t="str">
        <f>LEFT(T_Fordonslista[[#This Row],[REG_NR]],3)</f>
        <v/>
      </c>
      <c r="F42" s="605"/>
      <c r="G42" s="605"/>
      <c r="H42" s="605"/>
      <c r="I42" s="605"/>
      <c r="J42" s="605"/>
      <c r="K42" s="605"/>
      <c r="L42" s="779"/>
      <c r="M42" s="605"/>
      <c r="N42" s="605"/>
      <c r="O42" s="605"/>
      <c r="P42" s="605"/>
      <c r="Q42" s="605"/>
      <c r="R42" s="605"/>
      <c r="S42" s="605"/>
      <c r="T42" s="605"/>
      <c r="U42" s="605"/>
      <c r="V42" s="605"/>
      <c r="W42" s="605"/>
      <c r="X42" s="605"/>
      <c r="Y42" s="605"/>
      <c r="Z42" s="605"/>
      <c r="AA42" s="605"/>
      <c r="AB42" s="605"/>
      <c r="AC42" s="605"/>
      <c r="AD42" s="605"/>
      <c r="AE42" s="605"/>
      <c r="AF42" s="605"/>
      <c r="AG42" s="607"/>
      <c r="AH42" s="605"/>
      <c r="AI42" s="605"/>
      <c r="AJ42" s="605"/>
      <c r="AK42" s="607"/>
      <c r="AL42" s="605"/>
      <c r="AM42" s="605"/>
      <c r="AN42" s="605"/>
      <c r="AO42" s="605"/>
      <c r="AP42" s="607"/>
      <c r="AQ42" s="607"/>
      <c r="AR42" s="607"/>
      <c r="AS42" s="607"/>
      <c r="AT42" s="608"/>
      <c r="AU42" s="608"/>
      <c r="AV42" s="608"/>
      <c r="AW42" s="609"/>
      <c r="AX42" s="594"/>
    </row>
    <row r="43" spans="1:50" x14ac:dyDescent="0.25">
      <c r="A43" s="594"/>
      <c r="B43" t="s">
        <v>408</v>
      </c>
      <c r="C43" s="604"/>
      <c r="D43" s="605"/>
      <c r="E43" s="605" t="str">
        <f>LEFT(T_Fordonslista[[#This Row],[REG_NR]],3)</f>
        <v/>
      </c>
      <c r="F43" s="605"/>
      <c r="G43" s="605"/>
      <c r="H43" s="605"/>
      <c r="I43" s="605"/>
      <c r="J43" s="605"/>
      <c r="K43" s="605"/>
      <c r="L43" s="779"/>
      <c r="M43" s="605"/>
      <c r="N43" s="605"/>
      <c r="O43" s="605"/>
      <c r="P43" s="605"/>
      <c r="Q43" s="605"/>
      <c r="R43" s="605"/>
      <c r="S43" s="605"/>
      <c r="T43" s="605"/>
      <c r="U43" s="605"/>
      <c r="V43" s="605"/>
      <c r="W43" s="605"/>
      <c r="X43" s="605"/>
      <c r="Y43" s="605"/>
      <c r="Z43" s="605"/>
      <c r="AA43" s="605"/>
      <c r="AB43" s="605"/>
      <c r="AC43" s="605"/>
      <c r="AD43" s="605"/>
      <c r="AE43" s="605"/>
      <c r="AF43" s="605"/>
      <c r="AG43" s="607"/>
      <c r="AH43" s="605"/>
      <c r="AI43" s="605"/>
      <c r="AJ43" s="605"/>
      <c r="AK43" s="607"/>
      <c r="AL43" s="605"/>
      <c r="AM43" s="605"/>
      <c r="AN43" s="605"/>
      <c r="AO43" s="605"/>
      <c r="AP43" s="607"/>
      <c r="AQ43" s="607"/>
      <c r="AR43" s="607"/>
      <c r="AS43" s="607"/>
      <c r="AT43" s="608"/>
      <c r="AU43" s="608"/>
      <c r="AV43" s="608"/>
      <c r="AW43" s="609"/>
      <c r="AX43" s="594"/>
    </row>
    <row r="44" spans="1:50" x14ac:dyDescent="0.25">
      <c r="A44" s="594"/>
      <c r="B44" t="s">
        <v>409</v>
      </c>
      <c r="C44" s="604"/>
      <c r="D44" s="605"/>
      <c r="E44" s="605" t="str">
        <f>LEFT(T_Fordonslista[[#This Row],[REG_NR]],3)</f>
        <v/>
      </c>
      <c r="F44" s="605"/>
      <c r="G44" s="605"/>
      <c r="H44" s="605"/>
      <c r="I44" s="605"/>
      <c r="J44" s="605"/>
      <c r="K44" s="605"/>
      <c r="L44" s="779"/>
      <c r="M44" s="605"/>
      <c r="N44" s="605"/>
      <c r="O44" s="605"/>
      <c r="P44" s="605"/>
      <c r="Q44" s="605"/>
      <c r="R44" s="605"/>
      <c r="S44" s="605"/>
      <c r="T44" s="605"/>
      <c r="U44" s="605"/>
      <c r="V44" s="605"/>
      <c r="W44" s="605"/>
      <c r="X44" s="605"/>
      <c r="Y44" s="605"/>
      <c r="Z44" s="605"/>
      <c r="AA44" s="605"/>
      <c r="AB44" s="605"/>
      <c r="AC44" s="605"/>
      <c r="AD44" s="605"/>
      <c r="AE44" s="605"/>
      <c r="AF44" s="605"/>
      <c r="AG44" s="607"/>
      <c r="AH44" s="605"/>
      <c r="AI44" s="605"/>
      <c r="AJ44" s="605"/>
      <c r="AK44" s="607"/>
      <c r="AL44" s="605"/>
      <c r="AM44" s="605"/>
      <c r="AN44" s="605"/>
      <c r="AO44" s="605"/>
      <c r="AP44" s="607"/>
      <c r="AQ44" s="607"/>
      <c r="AR44" s="607"/>
      <c r="AS44" s="607"/>
      <c r="AT44" s="608"/>
      <c r="AU44" s="608"/>
      <c r="AV44" s="608"/>
      <c r="AW44" s="609"/>
      <c r="AX44" s="594"/>
    </row>
    <row r="45" spans="1:50" x14ac:dyDescent="0.25">
      <c r="A45" s="594"/>
      <c r="B45" t="s">
        <v>410</v>
      </c>
      <c r="C45" s="604"/>
      <c r="D45" s="605"/>
      <c r="E45" s="605" t="str">
        <f>LEFT(T_Fordonslista[[#This Row],[REG_NR]],3)</f>
        <v/>
      </c>
      <c r="F45" s="605"/>
      <c r="G45" s="605"/>
      <c r="H45" s="605"/>
      <c r="I45" s="605"/>
      <c r="J45" s="605"/>
      <c r="K45" s="605"/>
      <c r="L45" s="779"/>
      <c r="M45" s="605"/>
      <c r="N45" s="605"/>
      <c r="O45" s="605"/>
      <c r="P45" s="605"/>
      <c r="Q45" s="605"/>
      <c r="R45" s="605"/>
      <c r="S45" s="605"/>
      <c r="T45" s="605"/>
      <c r="U45" s="605"/>
      <c r="V45" s="605"/>
      <c r="W45" s="605"/>
      <c r="X45" s="605"/>
      <c r="Y45" s="605"/>
      <c r="Z45" s="605"/>
      <c r="AA45" s="605"/>
      <c r="AB45" s="605"/>
      <c r="AC45" s="605"/>
      <c r="AD45" s="605"/>
      <c r="AE45" s="605"/>
      <c r="AF45" s="605"/>
      <c r="AG45" s="607"/>
      <c r="AH45" s="605"/>
      <c r="AI45" s="605"/>
      <c r="AJ45" s="605"/>
      <c r="AK45" s="607"/>
      <c r="AL45" s="605"/>
      <c r="AM45" s="605"/>
      <c r="AN45" s="605"/>
      <c r="AO45" s="605"/>
      <c r="AP45" s="607"/>
      <c r="AQ45" s="607"/>
      <c r="AR45" s="607"/>
      <c r="AS45" s="607"/>
      <c r="AT45" s="608"/>
      <c r="AU45" s="608"/>
      <c r="AV45" s="608"/>
      <c r="AW45" s="609"/>
      <c r="AX45" s="594"/>
    </row>
    <row r="46" spans="1:50" x14ac:dyDescent="0.25">
      <c r="A46" s="594"/>
      <c r="B46" t="s">
        <v>411</v>
      </c>
      <c r="C46" s="604"/>
      <c r="D46" s="605"/>
      <c r="E46" s="605" t="str">
        <f>LEFT(T_Fordonslista[[#This Row],[REG_NR]],3)</f>
        <v/>
      </c>
      <c r="F46" s="605"/>
      <c r="G46" s="605"/>
      <c r="H46" s="605"/>
      <c r="I46" s="605"/>
      <c r="J46" s="605"/>
      <c r="K46" s="605"/>
      <c r="L46" s="779"/>
      <c r="M46" s="605"/>
      <c r="N46" s="605"/>
      <c r="O46" s="605"/>
      <c r="P46" s="605"/>
      <c r="Q46" s="605"/>
      <c r="R46" s="605"/>
      <c r="S46" s="605"/>
      <c r="T46" s="605"/>
      <c r="U46" s="605"/>
      <c r="V46" s="605"/>
      <c r="W46" s="605"/>
      <c r="X46" s="605"/>
      <c r="Y46" s="605"/>
      <c r="Z46" s="605"/>
      <c r="AA46" s="605"/>
      <c r="AB46" s="605"/>
      <c r="AC46" s="605"/>
      <c r="AD46" s="605"/>
      <c r="AE46" s="605"/>
      <c r="AF46" s="605"/>
      <c r="AG46" s="607"/>
      <c r="AH46" s="605"/>
      <c r="AI46" s="605"/>
      <c r="AJ46" s="605"/>
      <c r="AK46" s="607"/>
      <c r="AL46" s="605"/>
      <c r="AM46" s="605"/>
      <c r="AN46" s="605"/>
      <c r="AO46" s="605"/>
      <c r="AP46" s="607"/>
      <c r="AQ46" s="607"/>
      <c r="AR46" s="607"/>
      <c r="AS46" s="607"/>
      <c r="AT46" s="608"/>
      <c r="AU46" s="608"/>
      <c r="AV46" s="608"/>
      <c r="AW46" s="609"/>
      <c r="AX46" s="594"/>
    </row>
    <row r="47" spans="1:50" x14ac:dyDescent="0.25">
      <c r="A47" s="594"/>
      <c r="B47" t="s">
        <v>412</v>
      </c>
      <c r="C47" s="604"/>
      <c r="D47" s="605"/>
      <c r="E47" s="605" t="str">
        <f>LEFT(T_Fordonslista[[#This Row],[REG_NR]],3)</f>
        <v/>
      </c>
      <c r="F47" s="605"/>
      <c r="G47" s="605"/>
      <c r="H47" s="605"/>
      <c r="I47" s="605"/>
      <c r="J47" s="605"/>
      <c r="K47" s="605"/>
      <c r="L47" s="779"/>
      <c r="M47" s="605"/>
      <c r="N47" s="605"/>
      <c r="O47" s="605"/>
      <c r="P47" s="605"/>
      <c r="Q47" s="605"/>
      <c r="R47" s="605"/>
      <c r="S47" s="605"/>
      <c r="T47" s="605"/>
      <c r="U47" s="605"/>
      <c r="V47" s="605"/>
      <c r="W47" s="605"/>
      <c r="X47" s="605"/>
      <c r="Y47" s="605"/>
      <c r="Z47" s="605"/>
      <c r="AA47" s="605"/>
      <c r="AB47" s="605"/>
      <c r="AC47" s="605"/>
      <c r="AD47" s="605"/>
      <c r="AE47" s="605"/>
      <c r="AF47" s="605"/>
      <c r="AG47" s="607"/>
      <c r="AH47" s="605"/>
      <c r="AI47" s="605"/>
      <c r="AJ47" s="605"/>
      <c r="AK47" s="607"/>
      <c r="AL47" s="605"/>
      <c r="AM47" s="605"/>
      <c r="AN47" s="605"/>
      <c r="AO47" s="605"/>
      <c r="AP47" s="607"/>
      <c r="AQ47" s="607"/>
      <c r="AR47" s="607"/>
      <c r="AS47" s="607"/>
      <c r="AT47" s="608"/>
      <c r="AU47" s="608"/>
      <c r="AV47" s="608"/>
      <c r="AW47" s="609"/>
      <c r="AX47" s="594"/>
    </row>
    <row r="48" spans="1:50" x14ac:dyDescent="0.25">
      <c r="A48" s="594"/>
      <c r="B48" t="s">
        <v>413</v>
      </c>
      <c r="C48" s="604"/>
      <c r="D48" s="605"/>
      <c r="E48" s="605" t="str">
        <f>LEFT(T_Fordonslista[[#This Row],[REG_NR]],3)</f>
        <v/>
      </c>
      <c r="F48" s="605"/>
      <c r="G48" s="605"/>
      <c r="H48" s="605"/>
      <c r="I48" s="605"/>
      <c r="J48" s="605"/>
      <c r="K48" s="605"/>
      <c r="L48" s="779"/>
      <c r="M48" s="605"/>
      <c r="N48" s="605"/>
      <c r="O48" s="605"/>
      <c r="P48" s="605"/>
      <c r="Q48" s="605"/>
      <c r="R48" s="605"/>
      <c r="S48" s="605"/>
      <c r="T48" s="605"/>
      <c r="U48" s="605"/>
      <c r="V48" s="605"/>
      <c r="W48" s="605"/>
      <c r="X48" s="605"/>
      <c r="Y48" s="605"/>
      <c r="Z48" s="605"/>
      <c r="AA48" s="605"/>
      <c r="AB48" s="605"/>
      <c r="AC48" s="605"/>
      <c r="AD48" s="605"/>
      <c r="AE48" s="605"/>
      <c r="AF48" s="605"/>
      <c r="AG48" s="607"/>
      <c r="AH48" s="605"/>
      <c r="AI48" s="605"/>
      <c r="AJ48" s="605"/>
      <c r="AK48" s="607"/>
      <c r="AL48" s="605"/>
      <c r="AM48" s="605"/>
      <c r="AN48" s="605"/>
      <c r="AO48" s="605"/>
      <c r="AP48" s="607"/>
      <c r="AQ48" s="607"/>
      <c r="AR48" s="607"/>
      <c r="AS48" s="607"/>
      <c r="AT48" s="608"/>
      <c r="AU48" s="608"/>
      <c r="AV48" s="608"/>
      <c r="AW48" s="609"/>
      <c r="AX48" s="594"/>
    </row>
    <row r="49" spans="1:50" x14ac:dyDescent="0.25">
      <c r="A49" s="594"/>
      <c r="B49" t="s">
        <v>414</v>
      </c>
      <c r="C49" s="604"/>
      <c r="D49" s="605"/>
      <c r="E49" s="605" t="str">
        <f>LEFT(T_Fordonslista[[#This Row],[REG_NR]],3)</f>
        <v/>
      </c>
      <c r="F49" s="605"/>
      <c r="G49" s="605"/>
      <c r="H49" s="605"/>
      <c r="I49" s="605"/>
      <c r="J49" s="605"/>
      <c r="K49" s="605"/>
      <c r="L49" s="779"/>
      <c r="M49" s="605"/>
      <c r="N49" s="605"/>
      <c r="O49" s="605"/>
      <c r="P49" s="605"/>
      <c r="Q49" s="605"/>
      <c r="R49" s="605"/>
      <c r="S49" s="605"/>
      <c r="T49" s="605"/>
      <c r="U49" s="605"/>
      <c r="V49" s="605"/>
      <c r="W49" s="605"/>
      <c r="X49" s="605"/>
      <c r="Y49" s="605"/>
      <c r="Z49" s="605"/>
      <c r="AA49" s="605"/>
      <c r="AB49" s="605"/>
      <c r="AC49" s="605"/>
      <c r="AD49" s="605"/>
      <c r="AE49" s="605"/>
      <c r="AF49" s="605"/>
      <c r="AG49" s="607"/>
      <c r="AH49" s="605"/>
      <c r="AI49" s="605"/>
      <c r="AJ49" s="605"/>
      <c r="AK49" s="607"/>
      <c r="AL49" s="605"/>
      <c r="AM49" s="605"/>
      <c r="AN49" s="605"/>
      <c r="AO49" s="605"/>
      <c r="AP49" s="607"/>
      <c r="AQ49" s="607"/>
      <c r="AR49" s="607"/>
      <c r="AS49" s="607"/>
      <c r="AT49" s="608"/>
      <c r="AU49" s="608"/>
      <c r="AV49" s="608"/>
      <c r="AW49" s="609"/>
      <c r="AX49" s="594"/>
    </row>
    <row r="50" spans="1:50" x14ac:dyDescent="0.25">
      <c r="A50" s="594"/>
      <c r="B50" t="s">
        <v>415</v>
      </c>
      <c r="C50" s="604"/>
      <c r="D50" s="605"/>
      <c r="E50" s="605" t="str">
        <f>LEFT(T_Fordonslista[[#This Row],[REG_NR]],3)</f>
        <v/>
      </c>
      <c r="F50" s="605"/>
      <c r="G50" s="605"/>
      <c r="H50" s="605"/>
      <c r="I50" s="605"/>
      <c r="J50" s="605"/>
      <c r="K50" s="605"/>
      <c r="L50" s="779"/>
      <c r="M50" s="605"/>
      <c r="N50" s="605"/>
      <c r="O50" s="605"/>
      <c r="P50" s="605"/>
      <c r="Q50" s="605"/>
      <c r="R50" s="605"/>
      <c r="S50" s="605"/>
      <c r="T50" s="605"/>
      <c r="U50" s="605"/>
      <c r="V50" s="605"/>
      <c r="W50" s="605"/>
      <c r="X50" s="605"/>
      <c r="Y50" s="605"/>
      <c r="Z50" s="605"/>
      <c r="AA50" s="605"/>
      <c r="AB50" s="605"/>
      <c r="AC50" s="605"/>
      <c r="AD50" s="605"/>
      <c r="AE50" s="605"/>
      <c r="AF50" s="605"/>
      <c r="AG50" s="607"/>
      <c r="AH50" s="605"/>
      <c r="AI50" s="605"/>
      <c r="AJ50" s="605"/>
      <c r="AK50" s="607"/>
      <c r="AL50" s="605"/>
      <c r="AM50" s="605"/>
      <c r="AN50" s="605"/>
      <c r="AO50" s="605"/>
      <c r="AP50" s="607"/>
      <c r="AQ50" s="607"/>
      <c r="AR50" s="607"/>
      <c r="AS50" s="607"/>
      <c r="AT50" s="608"/>
      <c r="AU50" s="608"/>
      <c r="AV50" s="608"/>
      <c r="AW50" s="609"/>
      <c r="AX50" s="594"/>
    </row>
    <row r="51" spans="1:50" x14ac:dyDescent="0.25">
      <c r="A51" s="594"/>
      <c r="B51" t="s">
        <v>416</v>
      </c>
      <c r="C51" s="604"/>
      <c r="D51" s="605"/>
      <c r="E51" s="605" t="str">
        <f>LEFT(T_Fordonslista[[#This Row],[REG_NR]],3)</f>
        <v/>
      </c>
      <c r="F51" s="605"/>
      <c r="G51" s="605"/>
      <c r="H51" s="605"/>
      <c r="I51" s="605"/>
      <c r="J51" s="605"/>
      <c r="K51" s="605"/>
      <c r="L51" s="779"/>
      <c r="M51" s="605"/>
      <c r="N51" s="605"/>
      <c r="O51" s="605"/>
      <c r="P51" s="605"/>
      <c r="Q51" s="605"/>
      <c r="R51" s="605"/>
      <c r="S51" s="605"/>
      <c r="T51" s="605"/>
      <c r="U51" s="605"/>
      <c r="V51" s="605"/>
      <c r="W51" s="605"/>
      <c r="X51" s="605"/>
      <c r="Y51" s="605"/>
      <c r="Z51" s="605"/>
      <c r="AA51" s="605"/>
      <c r="AB51" s="605"/>
      <c r="AC51" s="605"/>
      <c r="AD51" s="605"/>
      <c r="AE51" s="605"/>
      <c r="AF51" s="605"/>
      <c r="AG51" s="607"/>
      <c r="AH51" s="605"/>
      <c r="AI51" s="605"/>
      <c r="AJ51" s="605"/>
      <c r="AK51" s="607"/>
      <c r="AL51" s="605"/>
      <c r="AM51" s="605"/>
      <c r="AN51" s="605"/>
      <c r="AO51" s="605"/>
      <c r="AP51" s="607"/>
      <c r="AQ51" s="607"/>
      <c r="AR51" s="607"/>
      <c r="AS51" s="607"/>
      <c r="AT51" s="608"/>
      <c r="AU51" s="608"/>
      <c r="AV51" s="608"/>
      <c r="AW51" s="609"/>
      <c r="AX51" s="594"/>
    </row>
    <row r="52" spans="1:50" x14ac:dyDescent="0.25">
      <c r="A52" s="594"/>
      <c r="B52" t="s">
        <v>417</v>
      </c>
      <c r="C52" s="604"/>
      <c r="D52" s="605"/>
      <c r="E52" s="605" t="str">
        <f>LEFT(T_Fordonslista[[#This Row],[REG_NR]],3)</f>
        <v/>
      </c>
      <c r="F52" s="605"/>
      <c r="G52" s="605"/>
      <c r="H52" s="605"/>
      <c r="I52" s="605"/>
      <c r="J52" s="605"/>
      <c r="K52" s="605"/>
      <c r="L52" s="779"/>
      <c r="M52" s="605"/>
      <c r="N52" s="605"/>
      <c r="O52" s="605"/>
      <c r="P52" s="605"/>
      <c r="Q52" s="605"/>
      <c r="R52" s="605"/>
      <c r="S52" s="605"/>
      <c r="T52" s="605"/>
      <c r="U52" s="605"/>
      <c r="V52" s="605"/>
      <c r="W52" s="605"/>
      <c r="X52" s="605"/>
      <c r="Y52" s="605"/>
      <c r="Z52" s="605"/>
      <c r="AA52" s="605"/>
      <c r="AB52" s="605"/>
      <c r="AC52" s="605"/>
      <c r="AD52" s="605"/>
      <c r="AE52" s="605"/>
      <c r="AF52" s="605"/>
      <c r="AG52" s="607"/>
      <c r="AH52" s="605"/>
      <c r="AI52" s="605"/>
      <c r="AJ52" s="605"/>
      <c r="AK52" s="607"/>
      <c r="AL52" s="605"/>
      <c r="AM52" s="605"/>
      <c r="AN52" s="605"/>
      <c r="AO52" s="605"/>
      <c r="AP52" s="607"/>
      <c r="AQ52" s="607"/>
      <c r="AR52" s="607"/>
      <c r="AS52" s="607"/>
      <c r="AT52" s="608"/>
      <c r="AU52" s="608"/>
      <c r="AV52" s="608"/>
      <c r="AW52" s="609"/>
      <c r="AX52" s="594"/>
    </row>
    <row r="53" spans="1:50" x14ac:dyDescent="0.25">
      <c r="A53" s="594"/>
      <c r="B53" t="s">
        <v>418</v>
      </c>
      <c r="C53" s="604"/>
      <c r="D53" s="605"/>
      <c r="E53" s="605" t="str">
        <f>LEFT(T_Fordonslista[[#This Row],[REG_NR]],3)</f>
        <v/>
      </c>
      <c r="F53" s="605"/>
      <c r="G53" s="605"/>
      <c r="H53" s="605"/>
      <c r="I53" s="605"/>
      <c r="J53" s="605"/>
      <c r="K53" s="605"/>
      <c r="L53" s="779"/>
      <c r="M53" s="605"/>
      <c r="N53" s="605"/>
      <c r="O53" s="605"/>
      <c r="P53" s="605"/>
      <c r="Q53" s="605"/>
      <c r="R53" s="605"/>
      <c r="S53" s="605"/>
      <c r="T53" s="605"/>
      <c r="U53" s="605"/>
      <c r="V53" s="605"/>
      <c r="W53" s="605"/>
      <c r="X53" s="605"/>
      <c r="Y53" s="605"/>
      <c r="Z53" s="605"/>
      <c r="AA53" s="605"/>
      <c r="AB53" s="605"/>
      <c r="AC53" s="605"/>
      <c r="AD53" s="605"/>
      <c r="AE53" s="605"/>
      <c r="AF53" s="605"/>
      <c r="AG53" s="607"/>
      <c r="AH53" s="605"/>
      <c r="AI53" s="605"/>
      <c r="AJ53" s="605"/>
      <c r="AK53" s="607"/>
      <c r="AL53" s="605"/>
      <c r="AM53" s="605"/>
      <c r="AN53" s="605"/>
      <c r="AO53" s="605"/>
      <c r="AP53" s="607"/>
      <c r="AQ53" s="607"/>
      <c r="AR53" s="607"/>
      <c r="AS53" s="607"/>
      <c r="AT53" s="608"/>
      <c r="AU53" s="608"/>
      <c r="AV53" s="608"/>
      <c r="AW53" s="609"/>
      <c r="AX53" s="594"/>
    </row>
    <row r="54" spans="1:50" x14ac:dyDescent="0.25">
      <c r="A54" s="594"/>
      <c r="B54" t="s">
        <v>419</v>
      </c>
      <c r="C54" s="604"/>
      <c r="D54" s="605"/>
      <c r="E54" s="605" t="str">
        <f>LEFT(T_Fordonslista[[#This Row],[REG_NR]],3)</f>
        <v/>
      </c>
      <c r="F54" s="605"/>
      <c r="G54" s="605"/>
      <c r="H54" s="605"/>
      <c r="I54" s="605"/>
      <c r="J54" s="605"/>
      <c r="K54" s="605"/>
      <c r="L54" s="779"/>
      <c r="M54" s="605"/>
      <c r="N54" s="605"/>
      <c r="O54" s="605"/>
      <c r="P54" s="605"/>
      <c r="Q54" s="605"/>
      <c r="R54" s="605"/>
      <c r="S54" s="605"/>
      <c r="T54" s="605"/>
      <c r="U54" s="605"/>
      <c r="V54" s="605"/>
      <c r="W54" s="605"/>
      <c r="X54" s="605"/>
      <c r="Y54" s="605"/>
      <c r="Z54" s="605"/>
      <c r="AA54" s="605"/>
      <c r="AB54" s="605"/>
      <c r="AC54" s="605"/>
      <c r="AD54" s="605"/>
      <c r="AE54" s="605"/>
      <c r="AF54" s="605"/>
      <c r="AG54" s="607"/>
      <c r="AH54" s="605"/>
      <c r="AI54" s="605"/>
      <c r="AJ54" s="605"/>
      <c r="AK54" s="607"/>
      <c r="AL54" s="605"/>
      <c r="AM54" s="605"/>
      <c r="AN54" s="605"/>
      <c r="AO54" s="605"/>
      <c r="AP54" s="607"/>
      <c r="AQ54" s="607"/>
      <c r="AR54" s="607"/>
      <c r="AS54" s="607"/>
      <c r="AT54" s="608"/>
      <c r="AU54" s="608"/>
      <c r="AV54" s="608"/>
      <c r="AW54" s="609"/>
      <c r="AX54" s="594"/>
    </row>
    <row r="55" spans="1:50" x14ac:dyDescent="0.25">
      <c r="A55" s="594"/>
      <c r="B55" t="s">
        <v>420</v>
      </c>
      <c r="C55" s="604"/>
      <c r="D55" s="605"/>
      <c r="E55" s="605" t="str">
        <f>LEFT(T_Fordonslista[[#This Row],[REG_NR]],3)</f>
        <v/>
      </c>
      <c r="F55" s="605"/>
      <c r="G55" s="605"/>
      <c r="H55" s="605"/>
      <c r="I55" s="605"/>
      <c r="J55" s="605"/>
      <c r="K55" s="605"/>
      <c r="L55" s="779"/>
      <c r="M55" s="605"/>
      <c r="N55" s="605"/>
      <c r="O55" s="605"/>
      <c r="P55" s="605"/>
      <c r="Q55" s="605"/>
      <c r="R55" s="605"/>
      <c r="S55" s="605"/>
      <c r="T55" s="605"/>
      <c r="U55" s="605"/>
      <c r="V55" s="605"/>
      <c r="W55" s="605"/>
      <c r="X55" s="605"/>
      <c r="Y55" s="605"/>
      <c r="Z55" s="605"/>
      <c r="AA55" s="605"/>
      <c r="AB55" s="605"/>
      <c r="AC55" s="605"/>
      <c r="AD55" s="605"/>
      <c r="AE55" s="605"/>
      <c r="AF55" s="605"/>
      <c r="AG55" s="607"/>
      <c r="AH55" s="605"/>
      <c r="AI55" s="605"/>
      <c r="AJ55" s="605"/>
      <c r="AK55" s="607"/>
      <c r="AL55" s="605"/>
      <c r="AM55" s="605"/>
      <c r="AN55" s="605"/>
      <c r="AO55" s="605"/>
      <c r="AP55" s="607"/>
      <c r="AQ55" s="607"/>
      <c r="AR55" s="607"/>
      <c r="AS55" s="607"/>
      <c r="AT55" s="608"/>
      <c r="AU55" s="608"/>
      <c r="AV55" s="608"/>
      <c r="AW55" s="609"/>
      <c r="AX55" s="594"/>
    </row>
    <row r="56" spans="1:50" x14ac:dyDescent="0.25">
      <c r="A56" s="594"/>
      <c r="B56" t="s">
        <v>421</v>
      </c>
      <c r="C56" s="604"/>
      <c r="D56" s="605"/>
      <c r="E56" s="605" t="str">
        <f>LEFT(T_Fordonslista[[#This Row],[REG_NR]],3)</f>
        <v/>
      </c>
      <c r="F56" s="605"/>
      <c r="G56" s="605"/>
      <c r="H56" s="605"/>
      <c r="I56" s="605"/>
      <c r="J56" s="605"/>
      <c r="K56" s="605"/>
      <c r="L56" s="779"/>
      <c r="M56" s="605"/>
      <c r="N56" s="605"/>
      <c r="O56" s="605"/>
      <c r="P56" s="605"/>
      <c r="Q56" s="605"/>
      <c r="R56" s="605"/>
      <c r="S56" s="605"/>
      <c r="T56" s="605"/>
      <c r="U56" s="605"/>
      <c r="V56" s="605"/>
      <c r="W56" s="605"/>
      <c r="X56" s="605"/>
      <c r="Y56" s="605"/>
      <c r="Z56" s="605"/>
      <c r="AA56" s="605"/>
      <c r="AB56" s="605"/>
      <c r="AC56" s="605"/>
      <c r="AD56" s="605"/>
      <c r="AE56" s="605"/>
      <c r="AF56" s="605"/>
      <c r="AG56" s="607"/>
      <c r="AH56" s="605"/>
      <c r="AI56" s="605"/>
      <c r="AJ56" s="605"/>
      <c r="AK56" s="607"/>
      <c r="AL56" s="605"/>
      <c r="AM56" s="605"/>
      <c r="AN56" s="605"/>
      <c r="AO56" s="605"/>
      <c r="AP56" s="607"/>
      <c r="AQ56" s="607"/>
      <c r="AR56" s="607"/>
      <c r="AS56" s="607"/>
      <c r="AT56" s="608"/>
      <c r="AU56" s="608"/>
      <c r="AV56" s="608"/>
      <c r="AW56" s="609"/>
      <c r="AX56" s="594"/>
    </row>
    <row r="57" spans="1:50" x14ac:dyDescent="0.25">
      <c r="A57" s="594"/>
      <c r="B57" t="s">
        <v>422</v>
      </c>
      <c r="C57" s="604"/>
      <c r="D57" s="605"/>
      <c r="E57" s="605" t="str">
        <f>LEFT(T_Fordonslista[[#This Row],[REG_NR]],3)</f>
        <v/>
      </c>
      <c r="F57" s="605"/>
      <c r="G57" s="605"/>
      <c r="H57" s="605"/>
      <c r="I57" s="605"/>
      <c r="J57" s="605"/>
      <c r="K57" s="605"/>
      <c r="L57" s="779"/>
      <c r="M57" s="605"/>
      <c r="N57" s="605"/>
      <c r="O57" s="605"/>
      <c r="P57" s="605"/>
      <c r="Q57" s="605"/>
      <c r="R57" s="605"/>
      <c r="S57" s="605"/>
      <c r="T57" s="605"/>
      <c r="U57" s="605"/>
      <c r="V57" s="605"/>
      <c r="W57" s="605"/>
      <c r="X57" s="605"/>
      <c r="Y57" s="605"/>
      <c r="Z57" s="605"/>
      <c r="AA57" s="605"/>
      <c r="AB57" s="605"/>
      <c r="AC57" s="605"/>
      <c r="AD57" s="605"/>
      <c r="AE57" s="605"/>
      <c r="AF57" s="605"/>
      <c r="AG57" s="607"/>
      <c r="AH57" s="605"/>
      <c r="AI57" s="605"/>
      <c r="AJ57" s="605"/>
      <c r="AK57" s="607"/>
      <c r="AL57" s="605"/>
      <c r="AM57" s="605"/>
      <c r="AN57" s="605"/>
      <c r="AO57" s="605"/>
      <c r="AP57" s="607"/>
      <c r="AQ57" s="607"/>
      <c r="AR57" s="607"/>
      <c r="AS57" s="607"/>
      <c r="AT57" s="608"/>
      <c r="AU57" s="608"/>
      <c r="AV57" s="608"/>
      <c r="AW57" s="609"/>
      <c r="AX57" s="594"/>
    </row>
    <row r="58" spans="1:50" x14ac:dyDescent="0.25">
      <c r="A58" s="594"/>
      <c r="B58" t="s">
        <v>423</v>
      </c>
      <c r="C58" s="604"/>
      <c r="D58" s="605"/>
      <c r="E58" s="605" t="str">
        <f>LEFT(T_Fordonslista[[#This Row],[REG_NR]],3)</f>
        <v/>
      </c>
      <c r="F58" s="605"/>
      <c r="G58" s="605"/>
      <c r="H58" s="605"/>
      <c r="I58" s="605"/>
      <c r="J58" s="605"/>
      <c r="K58" s="605"/>
      <c r="L58" s="779"/>
      <c r="M58" s="605"/>
      <c r="N58" s="605"/>
      <c r="O58" s="605"/>
      <c r="P58" s="605"/>
      <c r="Q58" s="605"/>
      <c r="R58" s="605"/>
      <c r="S58" s="605"/>
      <c r="T58" s="605"/>
      <c r="U58" s="605"/>
      <c r="V58" s="605"/>
      <c r="W58" s="605"/>
      <c r="X58" s="605"/>
      <c r="Y58" s="605"/>
      <c r="Z58" s="605"/>
      <c r="AA58" s="605"/>
      <c r="AB58" s="605"/>
      <c r="AC58" s="605"/>
      <c r="AD58" s="605"/>
      <c r="AE58" s="605"/>
      <c r="AF58" s="605"/>
      <c r="AG58" s="607"/>
      <c r="AH58" s="605"/>
      <c r="AI58" s="605"/>
      <c r="AJ58" s="605"/>
      <c r="AK58" s="607"/>
      <c r="AL58" s="605"/>
      <c r="AM58" s="605"/>
      <c r="AN58" s="605"/>
      <c r="AO58" s="605"/>
      <c r="AP58" s="607"/>
      <c r="AQ58" s="607"/>
      <c r="AR58" s="607"/>
      <c r="AS58" s="607"/>
      <c r="AT58" s="608"/>
      <c r="AU58" s="608"/>
      <c r="AV58" s="608"/>
      <c r="AW58" s="609"/>
      <c r="AX58" s="594"/>
    </row>
    <row r="59" spans="1:50" x14ac:dyDescent="0.25">
      <c r="A59" s="594"/>
      <c r="B59" t="s">
        <v>424</v>
      </c>
      <c r="C59" s="604"/>
      <c r="D59" s="605"/>
      <c r="E59" s="605" t="str">
        <f>LEFT(T_Fordonslista[[#This Row],[REG_NR]],3)</f>
        <v/>
      </c>
      <c r="F59" s="605"/>
      <c r="G59" s="605"/>
      <c r="H59" s="605"/>
      <c r="I59" s="605"/>
      <c r="J59" s="605"/>
      <c r="K59" s="605"/>
      <c r="L59" s="779"/>
      <c r="M59" s="605"/>
      <c r="N59" s="605"/>
      <c r="O59" s="605"/>
      <c r="P59" s="605"/>
      <c r="Q59" s="605"/>
      <c r="R59" s="605"/>
      <c r="S59" s="605"/>
      <c r="T59" s="605"/>
      <c r="U59" s="605"/>
      <c r="V59" s="605"/>
      <c r="W59" s="605"/>
      <c r="X59" s="605"/>
      <c r="Y59" s="605"/>
      <c r="Z59" s="605"/>
      <c r="AA59" s="605"/>
      <c r="AB59" s="605"/>
      <c r="AC59" s="605"/>
      <c r="AD59" s="605"/>
      <c r="AE59" s="605"/>
      <c r="AF59" s="605"/>
      <c r="AG59" s="607"/>
      <c r="AH59" s="605"/>
      <c r="AI59" s="605"/>
      <c r="AJ59" s="605"/>
      <c r="AK59" s="607"/>
      <c r="AL59" s="605"/>
      <c r="AM59" s="605"/>
      <c r="AN59" s="605"/>
      <c r="AO59" s="605"/>
      <c r="AP59" s="607"/>
      <c r="AQ59" s="607"/>
      <c r="AR59" s="607"/>
      <c r="AS59" s="607"/>
      <c r="AT59" s="608"/>
      <c r="AU59" s="608"/>
      <c r="AV59" s="608"/>
      <c r="AW59" s="609"/>
      <c r="AX59" s="594"/>
    </row>
    <row r="60" spans="1:50" x14ac:dyDescent="0.25">
      <c r="A60" s="594"/>
      <c r="B60" t="s">
        <v>425</v>
      </c>
      <c r="C60" s="604"/>
      <c r="D60" s="605"/>
      <c r="E60" s="605" t="str">
        <f>LEFT(T_Fordonslista[[#This Row],[REG_NR]],3)</f>
        <v/>
      </c>
      <c r="F60" s="605"/>
      <c r="G60" s="605"/>
      <c r="H60" s="605"/>
      <c r="I60" s="605"/>
      <c r="J60" s="605"/>
      <c r="K60" s="605"/>
      <c r="L60" s="779"/>
      <c r="M60" s="605"/>
      <c r="N60" s="605"/>
      <c r="O60" s="605"/>
      <c r="P60" s="605"/>
      <c r="Q60" s="605"/>
      <c r="R60" s="605"/>
      <c r="S60" s="605"/>
      <c r="T60" s="605"/>
      <c r="U60" s="605"/>
      <c r="V60" s="605"/>
      <c r="W60" s="605"/>
      <c r="X60" s="605"/>
      <c r="Y60" s="605"/>
      <c r="Z60" s="605"/>
      <c r="AA60" s="605"/>
      <c r="AB60" s="605"/>
      <c r="AC60" s="605"/>
      <c r="AD60" s="605"/>
      <c r="AE60" s="605"/>
      <c r="AF60" s="605"/>
      <c r="AG60" s="607"/>
      <c r="AH60" s="605"/>
      <c r="AI60" s="605"/>
      <c r="AJ60" s="605"/>
      <c r="AK60" s="607"/>
      <c r="AL60" s="605"/>
      <c r="AM60" s="605"/>
      <c r="AN60" s="605"/>
      <c r="AO60" s="605"/>
      <c r="AP60" s="607"/>
      <c r="AQ60" s="607"/>
      <c r="AR60" s="607"/>
      <c r="AS60" s="607"/>
      <c r="AT60" s="608"/>
      <c r="AU60" s="608"/>
      <c r="AV60" s="608"/>
      <c r="AW60" s="609"/>
      <c r="AX60" s="594"/>
    </row>
    <row r="61" spans="1:50" x14ac:dyDescent="0.25">
      <c r="A61" s="594"/>
      <c r="B61" t="s">
        <v>426</v>
      </c>
      <c r="C61" s="604"/>
      <c r="D61" s="605"/>
      <c r="E61" s="605" t="str">
        <f>LEFT(T_Fordonslista[[#This Row],[REG_NR]],3)</f>
        <v/>
      </c>
      <c r="F61" s="605"/>
      <c r="G61" s="605"/>
      <c r="H61" s="605"/>
      <c r="I61" s="605"/>
      <c r="J61" s="605"/>
      <c r="K61" s="605"/>
      <c r="L61" s="779"/>
      <c r="M61" s="605"/>
      <c r="N61" s="605"/>
      <c r="O61" s="605"/>
      <c r="P61" s="605"/>
      <c r="Q61" s="605"/>
      <c r="R61" s="605"/>
      <c r="S61" s="605"/>
      <c r="T61" s="605"/>
      <c r="U61" s="605"/>
      <c r="V61" s="605"/>
      <c r="W61" s="605"/>
      <c r="X61" s="605"/>
      <c r="Y61" s="605"/>
      <c r="Z61" s="605"/>
      <c r="AA61" s="605"/>
      <c r="AB61" s="605"/>
      <c r="AC61" s="605"/>
      <c r="AD61" s="605"/>
      <c r="AE61" s="605"/>
      <c r="AF61" s="605"/>
      <c r="AG61" s="607"/>
      <c r="AH61" s="605"/>
      <c r="AI61" s="605"/>
      <c r="AJ61" s="605"/>
      <c r="AK61" s="607"/>
      <c r="AL61" s="605"/>
      <c r="AM61" s="605"/>
      <c r="AN61" s="605"/>
      <c r="AO61" s="605"/>
      <c r="AP61" s="607"/>
      <c r="AQ61" s="607"/>
      <c r="AR61" s="607"/>
      <c r="AS61" s="607"/>
      <c r="AT61" s="608"/>
      <c r="AU61" s="608"/>
      <c r="AV61" s="608"/>
      <c r="AW61" s="609"/>
      <c r="AX61" s="594"/>
    </row>
    <row r="62" spans="1:50" x14ac:dyDescent="0.25">
      <c r="A62" s="594"/>
      <c r="B62" t="s">
        <v>427</v>
      </c>
      <c r="C62" s="604"/>
      <c r="D62" s="605"/>
      <c r="E62" s="605" t="str">
        <f>LEFT(T_Fordonslista[[#This Row],[REG_NR]],3)</f>
        <v/>
      </c>
      <c r="F62" s="605"/>
      <c r="G62" s="605"/>
      <c r="H62" s="605"/>
      <c r="I62" s="605"/>
      <c r="J62" s="605"/>
      <c r="K62" s="605"/>
      <c r="L62" s="779"/>
      <c r="M62" s="605"/>
      <c r="N62" s="605"/>
      <c r="O62" s="605"/>
      <c r="P62" s="605"/>
      <c r="Q62" s="605"/>
      <c r="R62" s="605"/>
      <c r="S62" s="605"/>
      <c r="T62" s="605"/>
      <c r="U62" s="605"/>
      <c r="V62" s="605"/>
      <c r="W62" s="605"/>
      <c r="X62" s="605"/>
      <c r="Y62" s="605"/>
      <c r="Z62" s="605"/>
      <c r="AA62" s="605"/>
      <c r="AB62" s="605"/>
      <c r="AC62" s="605"/>
      <c r="AD62" s="605"/>
      <c r="AE62" s="605"/>
      <c r="AF62" s="605"/>
      <c r="AG62" s="607"/>
      <c r="AH62" s="605"/>
      <c r="AI62" s="605"/>
      <c r="AJ62" s="605"/>
      <c r="AK62" s="607"/>
      <c r="AL62" s="605"/>
      <c r="AM62" s="605"/>
      <c r="AN62" s="605"/>
      <c r="AO62" s="605"/>
      <c r="AP62" s="607"/>
      <c r="AQ62" s="607"/>
      <c r="AR62" s="607"/>
      <c r="AS62" s="607"/>
      <c r="AT62" s="608"/>
      <c r="AU62" s="608"/>
      <c r="AV62" s="608"/>
      <c r="AW62" s="609"/>
      <c r="AX62" s="594"/>
    </row>
    <row r="63" spans="1:50" x14ac:dyDescent="0.25">
      <c r="A63" s="594"/>
      <c r="B63" t="s">
        <v>428</v>
      </c>
      <c r="C63" s="604"/>
      <c r="D63" s="605"/>
      <c r="E63" s="605" t="str">
        <f>LEFT(T_Fordonslista[[#This Row],[REG_NR]],3)</f>
        <v/>
      </c>
      <c r="F63" s="605"/>
      <c r="G63" s="605"/>
      <c r="H63" s="605"/>
      <c r="I63" s="605"/>
      <c r="J63" s="605"/>
      <c r="K63" s="605"/>
      <c r="L63" s="779"/>
      <c r="M63" s="605"/>
      <c r="N63" s="605"/>
      <c r="O63" s="605"/>
      <c r="P63" s="605"/>
      <c r="Q63" s="605"/>
      <c r="R63" s="605"/>
      <c r="S63" s="605"/>
      <c r="T63" s="605"/>
      <c r="U63" s="605"/>
      <c r="V63" s="605"/>
      <c r="W63" s="605"/>
      <c r="X63" s="605"/>
      <c r="Y63" s="605"/>
      <c r="Z63" s="605"/>
      <c r="AA63" s="605"/>
      <c r="AB63" s="605"/>
      <c r="AC63" s="605"/>
      <c r="AD63" s="605"/>
      <c r="AE63" s="605"/>
      <c r="AF63" s="605"/>
      <c r="AG63" s="607"/>
      <c r="AH63" s="605"/>
      <c r="AI63" s="605"/>
      <c r="AJ63" s="605"/>
      <c r="AK63" s="607"/>
      <c r="AL63" s="605"/>
      <c r="AM63" s="605"/>
      <c r="AN63" s="605"/>
      <c r="AO63" s="605"/>
      <c r="AP63" s="607"/>
      <c r="AQ63" s="607"/>
      <c r="AR63" s="607"/>
      <c r="AS63" s="607"/>
      <c r="AT63" s="608"/>
      <c r="AU63" s="608"/>
      <c r="AV63" s="608"/>
      <c r="AW63" s="609"/>
      <c r="AX63" s="594"/>
    </row>
    <row r="64" spans="1:50" x14ac:dyDescent="0.25">
      <c r="A64" s="594"/>
      <c r="B64" t="s">
        <v>429</v>
      </c>
      <c r="C64" s="604"/>
      <c r="D64" s="605"/>
      <c r="E64" s="605" t="str">
        <f>LEFT(T_Fordonslista[[#This Row],[REG_NR]],3)</f>
        <v/>
      </c>
      <c r="F64" s="605"/>
      <c r="G64" s="605"/>
      <c r="H64" s="605"/>
      <c r="I64" s="605"/>
      <c r="J64" s="605"/>
      <c r="K64" s="605"/>
      <c r="L64" s="779"/>
      <c r="M64" s="605"/>
      <c r="N64" s="605"/>
      <c r="O64" s="605"/>
      <c r="P64" s="605"/>
      <c r="Q64" s="605"/>
      <c r="R64" s="605"/>
      <c r="S64" s="605"/>
      <c r="T64" s="605"/>
      <c r="U64" s="605"/>
      <c r="V64" s="605"/>
      <c r="W64" s="605"/>
      <c r="X64" s="605"/>
      <c r="Y64" s="605"/>
      <c r="Z64" s="605"/>
      <c r="AA64" s="605"/>
      <c r="AB64" s="605"/>
      <c r="AC64" s="605"/>
      <c r="AD64" s="605"/>
      <c r="AE64" s="605"/>
      <c r="AF64" s="605"/>
      <c r="AG64" s="607"/>
      <c r="AH64" s="605"/>
      <c r="AI64" s="605"/>
      <c r="AJ64" s="605"/>
      <c r="AK64" s="607"/>
      <c r="AL64" s="605"/>
      <c r="AM64" s="605"/>
      <c r="AN64" s="605"/>
      <c r="AO64" s="605"/>
      <c r="AP64" s="607"/>
      <c r="AQ64" s="607"/>
      <c r="AR64" s="607"/>
      <c r="AS64" s="607"/>
      <c r="AT64" s="608"/>
      <c r="AU64" s="608"/>
      <c r="AV64" s="608"/>
      <c r="AW64" s="609"/>
      <c r="AX64" s="594"/>
    </row>
    <row r="65" spans="1:50" x14ac:dyDescent="0.25">
      <c r="A65" s="594"/>
      <c r="B65" t="s">
        <v>430</v>
      </c>
      <c r="C65" s="604"/>
      <c r="D65" s="605"/>
      <c r="E65" s="605" t="str">
        <f>LEFT(T_Fordonslista[[#This Row],[REG_NR]],3)</f>
        <v/>
      </c>
      <c r="F65" s="605"/>
      <c r="G65" s="605"/>
      <c r="H65" s="605"/>
      <c r="I65" s="605"/>
      <c r="J65" s="605"/>
      <c r="K65" s="605"/>
      <c r="L65" s="779"/>
      <c r="M65" s="605"/>
      <c r="N65" s="605"/>
      <c r="O65" s="605"/>
      <c r="P65" s="605"/>
      <c r="Q65" s="605"/>
      <c r="R65" s="605"/>
      <c r="S65" s="605"/>
      <c r="T65" s="605"/>
      <c r="U65" s="605"/>
      <c r="V65" s="605"/>
      <c r="W65" s="605"/>
      <c r="X65" s="605"/>
      <c r="Y65" s="605"/>
      <c r="Z65" s="605"/>
      <c r="AA65" s="605"/>
      <c r="AB65" s="605"/>
      <c r="AC65" s="605"/>
      <c r="AD65" s="605"/>
      <c r="AE65" s="605"/>
      <c r="AF65" s="605"/>
      <c r="AG65" s="607"/>
      <c r="AH65" s="605"/>
      <c r="AI65" s="605"/>
      <c r="AJ65" s="605"/>
      <c r="AK65" s="607"/>
      <c r="AL65" s="605"/>
      <c r="AM65" s="605"/>
      <c r="AN65" s="605"/>
      <c r="AO65" s="605"/>
      <c r="AP65" s="607"/>
      <c r="AQ65" s="607"/>
      <c r="AR65" s="607"/>
      <c r="AS65" s="607"/>
      <c r="AT65" s="608"/>
      <c r="AU65" s="608"/>
      <c r="AV65" s="608"/>
      <c r="AW65" s="609"/>
      <c r="AX65" s="594"/>
    </row>
    <row r="66" spans="1:50" x14ac:dyDescent="0.25">
      <c r="A66" s="594"/>
      <c r="B66" t="s">
        <v>431</v>
      </c>
      <c r="C66" s="604"/>
      <c r="D66" s="605"/>
      <c r="E66" s="605" t="str">
        <f>LEFT(T_Fordonslista[[#This Row],[REG_NR]],3)</f>
        <v/>
      </c>
      <c r="F66" s="605"/>
      <c r="G66" s="605"/>
      <c r="H66" s="605"/>
      <c r="I66" s="605"/>
      <c r="J66" s="605"/>
      <c r="K66" s="605"/>
      <c r="L66" s="779"/>
      <c r="M66" s="605"/>
      <c r="N66" s="605"/>
      <c r="O66" s="605"/>
      <c r="P66" s="605"/>
      <c r="Q66" s="605"/>
      <c r="R66" s="605"/>
      <c r="S66" s="605"/>
      <c r="T66" s="605"/>
      <c r="U66" s="605"/>
      <c r="V66" s="605"/>
      <c r="W66" s="605"/>
      <c r="X66" s="605"/>
      <c r="Y66" s="605"/>
      <c r="Z66" s="605"/>
      <c r="AA66" s="605"/>
      <c r="AB66" s="605"/>
      <c r="AC66" s="605"/>
      <c r="AD66" s="605"/>
      <c r="AE66" s="605"/>
      <c r="AF66" s="605"/>
      <c r="AG66" s="607"/>
      <c r="AH66" s="605"/>
      <c r="AI66" s="605"/>
      <c r="AJ66" s="605"/>
      <c r="AK66" s="607"/>
      <c r="AL66" s="605"/>
      <c r="AM66" s="605"/>
      <c r="AN66" s="605"/>
      <c r="AO66" s="605"/>
      <c r="AP66" s="607"/>
      <c r="AQ66" s="607"/>
      <c r="AR66" s="607"/>
      <c r="AS66" s="607"/>
      <c r="AT66" s="608"/>
      <c r="AU66" s="608"/>
      <c r="AV66" s="608"/>
      <c r="AW66" s="609"/>
      <c r="AX66" s="594"/>
    </row>
    <row r="67" spans="1:50" x14ac:dyDescent="0.25">
      <c r="A67" s="594"/>
      <c r="B67" t="s">
        <v>432</v>
      </c>
      <c r="C67" s="604"/>
      <c r="D67" s="605"/>
      <c r="E67" s="605" t="str">
        <f>LEFT(T_Fordonslista[[#This Row],[REG_NR]],3)</f>
        <v/>
      </c>
      <c r="F67" s="605"/>
      <c r="G67" s="605"/>
      <c r="H67" s="605"/>
      <c r="I67" s="605"/>
      <c r="J67" s="605"/>
      <c r="K67" s="605"/>
      <c r="L67" s="779"/>
      <c r="M67" s="605"/>
      <c r="N67" s="605"/>
      <c r="O67" s="605"/>
      <c r="P67" s="605"/>
      <c r="Q67" s="605"/>
      <c r="R67" s="605"/>
      <c r="S67" s="605"/>
      <c r="T67" s="605"/>
      <c r="U67" s="605"/>
      <c r="V67" s="605"/>
      <c r="W67" s="605"/>
      <c r="X67" s="605"/>
      <c r="Y67" s="605"/>
      <c r="Z67" s="605"/>
      <c r="AA67" s="605"/>
      <c r="AB67" s="605"/>
      <c r="AC67" s="605"/>
      <c r="AD67" s="605"/>
      <c r="AE67" s="605"/>
      <c r="AF67" s="605"/>
      <c r="AG67" s="607"/>
      <c r="AH67" s="605"/>
      <c r="AI67" s="605"/>
      <c r="AJ67" s="605"/>
      <c r="AK67" s="607"/>
      <c r="AL67" s="605"/>
      <c r="AM67" s="605"/>
      <c r="AN67" s="605"/>
      <c r="AO67" s="605"/>
      <c r="AP67" s="607"/>
      <c r="AQ67" s="607"/>
      <c r="AR67" s="607"/>
      <c r="AS67" s="607"/>
      <c r="AT67" s="608"/>
      <c r="AU67" s="608"/>
      <c r="AV67" s="608"/>
      <c r="AW67" s="609"/>
      <c r="AX67" s="594"/>
    </row>
    <row r="68" spans="1:50" x14ac:dyDescent="0.25">
      <c r="A68" s="594"/>
      <c r="B68" t="s">
        <v>433</v>
      </c>
      <c r="C68" s="604"/>
      <c r="D68" s="605"/>
      <c r="E68" s="605" t="str">
        <f>LEFT(T_Fordonslista[[#This Row],[REG_NR]],3)</f>
        <v/>
      </c>
      <c r="F68" s="605"/>
      <c r="G68" s="605"/>
      <c r="H68" s="605"/>
      <c r="I68" s="605"/>
      <c r="J68" s="605"/>
      <c r="K68" s="605"/>
      <c r="L68" s="779"/>
      <c r="M68" s="605"/>
      <c r="N68" s="605"/>
      <c r="O68" s="605"/>
      <c r="P68" s="605"/>
      <c r="Q68" s="605"/>
      <c r="R68" s="605"/>
      <c r="S68" s="605"/>
      <c r="T68" s="605"/>
      <c r="U68" s="605"/>
      <c r="V68" s="605"/>
      <c r="W68" s="605"/>
      <c r="X68" s="605"/>
      <c r="Y68" s="605"/>
      <c r="Z68" s="605"/>
      <c r="AA68" s="605"/>
      <c r="AB68" s="605"/>
      <c r="AC68" s="605"/>
      <c r="AD68" s="605"/>
      <c r="AE68" s="605"/>
      <c r="AF68" s="605"/>
      <c r="AG68" s="607"/>
      <c r="AH68" s="605"/>
      <c r="AI68" s="605"/>
      <c r="AJ68" s="605"/>
      <c r="AK68" s="607"/>
      <c r="AL68" s="605"/>
      <c r="AM68" s="605"/>
      <c r="AN68" s="605"/>
      <c r="AO68" s="605"/>
      <c r="AP68" s="607"/>
      <c r="AQ68" s="607"/>
      <c r="AR68" s="607"/>
      <c r="AS68" s="607"/>
      <c r="AT68" s="608"/>
      <c r="AU68" s="608"/>
      <c r="AV68" s="608"/>
      <c r="AW68" s="609"/>
      <c r="AX68" s="594"/>
    </row>
    <row r="69" spans="1:50" x14ac:dyDescent="0.25">
      <c r="A69" s="594"/>
      <c r="B69" t="s">
        <v>434</v>
      </c>
      <c r="C69" s="604"/>
      <c r="D69" s="605"/>
      <c r="E69" s="605" t="str">
        <f>LEFT(T_Fordonslista[[#This Row],[REG_NR]],3)</f>
        <v/>
      </c>
      <c r="F69" s="605"/>
      <c r="G69" s="605"/>
      <c r="H69" s="605"/>
      <c r="I69" s="605"/>
      <c r="J69" s="605"/>
      <c r="K69" s="605"/>
      <c r="L69" s="779"/>
      <c r="M69" s="605"/>
      <c r="N69" s="605"/>
      <c r="O69" s="605"/>
      <c r="P69" s="605"/>
      <c r="Q69" s="605"/>
      <c r="R69" s="605"/>
      <c r="S69" s="605"/>
      <c r="T69" s="605"/>
      <c r="U69" s="605"/>
      <c r="V69" s="605"/>
      <c r="W69" s="605"/>
      <c r="X69" s="605"/>
      <c r="Y69" s="605"/>
      <c r="Z69" s="605"/>
      <c r="AA69" s="605"/>
      <c r="AB69" s="605"/>
      <c r="AC69" s="605"/>
      <c r="AD69" s="605"/>
      <c r="AE69" s="605"/>
      <c r="AF69" s="605"/>
      <c r="AG69" s="607"/>
      <c r="AH69" s="605"/>
      <c r="AI69" s="605"/>
      <c r="AJ69" s="605"/>
      <c r="AK69" s="607"/>
      <c r="AL69" s="605"/>
      <c r="AM69" s="605"/>
      <c r="AN69" s="605"/>
      <c r="AO69" s="605"/>
      <c r="AP69" s="607"/>
      <c r="AQ69" s="607"/>
      <c r="AR69" s="607"/>
      <c r="AS69" s="607"/>
      <c r="AT69" s="608"/>
      <c r="AU69" s="608"/>
      <c r="AV69" s="608"/>
      <c r="AW69" s="609"/>
      <c r="AX69" s="594"/>
    </row>
    <row r="70" spans="1:50" x14ac:dyDescent="0.25">
      <c r="A70" s="594"/>
      <c r="B70" t="s">
        <v>435</v>
      </c>
      <c r="C70" s="604"/>
      <c r="D70" s="605"/>
      <c r="E70" s="605" t="str">
        <f>LEFT(T_Fordonslista[[#This Row],[REG_NR]],3)</f>
        <v/>
      </c>
      <c r="F70" s="605"/>
      <c r="G70" s="605"/>
      <c r="H70" s="605"/>
      <c r="I70" s="605"/>
      <c r="J70" s="605"/>
      <c r="K70" s="605"/>
      <c r="L70" s="779"/>
      <c r="M70" s="605"/>
      <c r="N70" s="605"/>
      <c r="O70" s="605"/>
      <c r="P70" s="605"/>
      <c r="Q70" s="605"/>
      <c r="R70" s="605"/>
      <c r="S70" s="605"/>
      <c r="T70" s="605"/>
      <c r="U70" s="605"/>
      <c r="V70" s="605"/>
      <c r="W70" s="605"/>
      <c r="X70" s="605"/>
      <c r="Y70" s="605"/>
      <c r="Z70" s="605"/>
      <c r="AA70" s="605"/>
      <c r="AB70" s="605"/>
      <c r="AC70" s="605"/>
      <c r="AD70" s="605"/>
      <c r="AE70" s="605"/>
      <c r="AF70" s="605"/>
      <c r="AG70" s="607"/>
      <c r="AH70" s="605"/>
      <c r="AI70" s="605"/>
      <c r="AJ70" s="605"/>
      <c r="AK70" s="607"/>
      <c r="AL70" s="605"/>
      <c r="AM70" s="605"/>
      <c r="AN70" s="605"/>
      <c r="AO70" s="605"/>
      <c r="AP70" s="607"/>
      <c r="AQ70" s="607"/>
      <c r="AR70" s="607"/>
      <c r="AS70" s="607"/>
      <c r="AT70" s="608"/>
      <c r="AU70" s="608"/>
      <c r="AV70" s="608"/>
      <c r="AW70" s="609"/>
      <c r="AX70" s="594"/>
    </row>
    <row r="71" spans="1:50" x14ac:dyDescent="0.25">
      <c r="A71" s="594"/>
      <c r="B71" t="s">
        <v>436</v>
      </c>
      <c r="C71" s="604"/>
      <c r="D71" s="605"/>
      <c r="E71" s="605" t="str">
        <f>LEFT(T_Fordonslista[[#This Row],[REG_NR]],3)</f>
        <v/>
      </c>
      <c r="F71" s="605"/>
      <c r="G71" s="605"/>
      <c r="H71" s="605"/>
      <c r="I71" s="605"/>
      <c r="J71" s="605"/>
      <c r="K71" s="605"/>
      <c r="L71" s="779"/>
      <c r="M71" s="605"/>
      <c r="N71" s="605"/>
      <c r="O71" s="605"/>
      <c r="P71" s="605"/>
      <c r="Q71" s="605"/>
      <c r="R71" s="605"/>
      <c r="S71" s="605"/>
      <c r="T71" s="605"/>
      <c r="U71" s="605"/>
      <c r="V71" s="605"/>
      <c r="W71" s="605"/>
      <c r="X71" s="605"/>
      <c r="Y71" s="605"/>
      <c r="Z71" s="605"/>
      <c r="AA71" s="605"/>
      <c r="AB71" s="605"/>
      <c r="AC71" s="605"/>
      <c r="AD71" s="605"/>
      <c r="AE71" s="605"/>
      <c r="AF71" s="605"/>
      <c r="AG71" s="607"/>
      <c r="AH71" s="605"/>
      <c r="AI71" s="605"/>
      <c r="AJ71" s="605"/>
      <c r="AK71" s="607"/>
      <c r="AL71" s="605"/>
      <c r="AM71" s="605"/>
      <c r="AN71" s="605"/>
      <c r="AO71" s="605"/>
      <c r="AP71" s="607"/>
      <c r="AQ71" s="607"/>
      <c r="AR71" s="607"/>
      <c r="AS71" s="607"/>
      <c r="AT71" s="608"/>
      <c r="AU71" s="608"/>
      <c r="AV71" s="608"/>
      <c r="AW71" s="609"/>
      <c r="AX71" s="594"/>
    </row>
    <row r="72" spans="1:50" x14ac:dyDescent="0.25">
      <c r="A72" s="594"/>
      <c r="B72" t="s">
        <v>437</v>
      </c>
      <c r="C72" s="604"/>
      <c r="D72" s="605"/>
      <c r="E72" s="605" t="str">
        <f>LEFT(T_Fordonslista[[#This Row],[REG_NR]],3)</f>
        <v/>
      </c>
      <c r="F72" s="605"/>
      <c r="G72" s="605"/>
      <c r="H72" s="605"/>
      <c r="I72" s="605"/>
      <c r="J72" s="605"/>
      <c r="K72" s="605"/>
      <c r="L72" s="779"/>
      <c r="M72" s="605"/>
      <c r="N72" s="605"/>
      <c r="O72" s="605"/>
      <c r="P72" s="605"/>
      <c r="Q72" s="605"/>
      <c r="R72" s="605"/>
      <c r="S72" s="605"/>
      <c r="T72" s="605"/>
      <c r="U72" s="605"/>
      <c r="V72" s="605"/>
      <c r="W72" s="605"/>
      <c r="X72" s="605"/>
      <c r="Y72" s="605"/>
      <c r="Z72" s="605"/>
      <c r="AA72" s="605"/>
      <c r="AB72" s="605"/>
      <c r="AC72" s="605"/>
      <c r="AD72" s="605"/>
      <c r="AE72" s="605"/>
      <c r="AF72" s="605"/>
      <c r="AG72" s="607"/>
      <c r="AH72" s="605"/>
      <c r="AI72" s="605"/>
      <c r="AJ72" s="605"/>
      <c r="AK72" s="607"/>
      <c r="AL72" s="605"/>
      <c r="AM72" s="605"/>
      <c r="AN72" s="605"/>
      <c r="AO72" s="605"/>
      <c r="AP72" s="607"/>
      <c r="AQ72" s="607"/>
      <c r="AR72" s="607"/>
      <c r="AS72" s="607"/>
      <c r="AT72" s="608"/>
      <c r="AU72" s="608"/>
      <c r="AV72" s="608"/>
      <c r="AW72" s="609"/>
      <c r="AX72" s="594"/>
    </row>
    <row r="73" spans="1:50" x14ac:dyDescent="0.25">
      <c r="A73" s="594"/>
      <c r="B73" t="s">
        <v>438</v>
      </c>
      <c r="C73" s="604"/>
      <c r="D73" s="605"/>
      <c r="E73" s="605" t="str">
        <f>LEFT(T_Fordonslista[[#This Row],[REG_NR]],3)</f>
        <v/>
      </c>
      <c r="F73" s="605"/>
      <c r="G73" s="605"/>
      <c r="H73" s="605"/>
      <c r="I73" s="605"/>
      <c r="J73" s="605"/>
      <c r="K73" s="605"/>
      <c r="L73" s="779"/>
      <c r="M73" s="605"/>
      <c r="N73" s="605"/>
      <c r="O73" s="605"/>
      <c r="P73" s="605"/>
      <c r="Q73" s="605"/>
      <c r="R73" s="605"/>
      <c r="S73" s="605"/>
      <c r="T73" s="605"/>
      <c r="U73" s="605"/>
      <c r="V73" s="605"/>
      <c r="W73" s="605"/>
      <c r="X73" s="605"/>
      <c r="Y73" s="605"/>
      <c r="Z73" s="605"/>
      <c r="AA73" s="605"/>
      <c r="AB73" s="605"/>
      <c r="AC73" s="605"/>
      <c r="AD73" s="605"/>
      <c r="AE73" s="605"/>
      <c r="AF73" s="605"/>
      <c r="AG73" s="607"/>
      <c r="AH73" s="605"/>
      <c r="AI73" s="605"/>
      <c r="AJ73" s="605"/>
      <c r="AK73" s="607"/>
      <c r="AL73" s="605"/>
      <c r="AM73" s="605"/>
      <c r="AN73" s="605"/>
      <c r="AO73" s="605"/>
      <c r="AP73" s="607"/>
      <c r="AQ73" s="607"/>
      <c r="AR73" s="607"/>
      <c r="AS73" s="607"/>
      <c r="AT73" s="608"/>
      <c r="AU73" s="608"/>
      <c r="AV73" s="608"/>
      <c r="AW73" s="609"/>
      <c r="AX73" s="594"/>
    </row>
    <row r="74" spans="1:50" x14ac:dyDescent="0.25">
      <c r="A74" s="594"/>
      <c r="B74" t="s">
        <v>439</v>
      </c>
      <c r="C74" s="604"/>
      <c r="D74" s="605"/>
      <c r="E74" s="605" t="str">
        <f>LEFT(T_Fordonslista[[#This Row],[REG_NR]],3)</f>
        <v/>
      </c>
      <c r="F74" s="605"/>
      <c r="G74" s="605"/>
      <c r="H74" s="605"/>
      <c r="I74" s="605"/>
      <c r="J74" s="605"/>
      <c r="K74" s="605"/>
      <c r="L74" s="779"/>
      <c r="M74" s="605"/>
      <c r="N74" s="605"/>
      <c r="O74" s="605"/>
      <c r="P74" s="605"/>
      <c r="Q74" s="605"/>
      <c r="R74" s="605"/>
      <c r="S74" s="605"/>
      <c r="T74" s="605"/>
      <c r="U74" s="605"/>
      <c r="V74" s="605"/>
      <c r="W74" s="605"/>
      <c r="X74" s="605"/>
      <c r="Y74" s="605"/>
      <c r="Z74" s="605"/>
      <c r="AA74" s="605"/>
      <c r="AB74" s="605"/>
      <c r="AC74" s="605"/>
      <c r="AD74" s="605"/>
      <c r="AE74" s="605"/>
      <c r="AF74" s="605"/>
      <c r="AG74" s="607"/>
      <c r="AH74" s="605"/>
      <c r="AI74" s="605"/>
      <c r="AJ74" s="605"/>
      <c r="AK74" s="607"/>
      <c r="AL74" s="605"/>
      <c r="AM74" s="605"/>
      <c r="AN74" s="605"/>
      <c r="AO74" s="605"/>
      <c r="AP74" s="607"/>
      <c r="AQ74" s="607"/>
      <c r="AR74" s="607"/>
      <c r="AS74" s="607"/>
      <c r="AT74" s="608"/>
      <c r="AU74" s="608"/>
      <c r="AV74" s="608"/>
      <c r="AW74" s="609"/>
      <c r="AX74" s="594"/>
    </row>
    <row r="75" spans="1:50" x14ac:dyDescent="0.25">
      <c r="A75" s="594"/>
      <c r="B75" t="s">
        <v>440</v>
      </c>
      <c r="C75" s="604"/>
      <c r="D75" s="605"/>
      <c r="E75" s="605" t="str">
        <f>LEFT(T_Fordonslista[[#This Row],[REG_NR]],3)</f>
        <v/>
      </c>
      <c r="F75" s="605"/>
      <c r="G75" s="605"/>
      <c r="H75" s="605"/>
      <c r="I75" s="605"/>
      <c r="J75" s="605"/>
      <c r="K75" s="605"/>
      <c r="L75" s="779"/>
      <c r="M75" s="605"/>
      <c r="N75" s="605"/>
      <c r="O75" s="605"/>
      <c r="P75" s="605"/>
      <c r="Q75" s="605"/>
      <c r="R75" s="605"/>
      <c r="S75" s="605"/>
      <c r="T75" s="605"/>
      <c r="U75" s="605"/>
      <c r="V75" s="605"/>
      <c r="W75" s="605"/>
      <c r="X75" s="605"/>
      <c r="Y75" s="605"/>
      <c r="Z75" s="605"/>
      <c r="AA75" s="605"/>
      <c r="AB75" s="605"/>
      <c r="AC75" s="605"/>
      <c r="AD75" s="605"/>
      <c r="AE75" s="605"/>
      <c r="AF75" s="605"/>
      <c r="AG75" s="607"/>
      <c r="AH75" s="605"/>
      <c r="AI75" s="605"/>
      <c r="AJ75" s="605"/>
      <c r="AK75" s="607"/>
      <c r="AL75" s="605"/>
      <c r="AM75" s="605"/>
      <c r="AN75" s="605"/>
      <c r="AO75" s="605"/>
      <c r="AP75" s="607"/>
      <c r="AQ75" s="607"/>
      <c r="AR75" s="607"/>
      <c r="AS75" s="607"/>
      <c r="AT75" s="608"/>
      <c r="AU75" s="608"/>
      <c r="AV75" s="608"/>
      <c r="AW75" s="609"/>
      <c r="AX75" s="594"/>
    </row>
    <row r="76" spans="1:50" x14ac:dyDescent="0.25">
      <c r="A76" s="594"/>
      <c r="B76" t="s">
        <v>441</v>
      </c>
      <c r="C76" s="604"/>
      <c r="D76" s="605"/>
      <c r="E76" s="605" t="str">
        <f>LEFT(T_Fordonslista[[#This Row],[REG_NR]],3)</f>
        <v/>
      </c>
      <c r="F76" s="605"/>
      <c r="G76" s="605"/>
      <c r="H76" s="605"/>
      <c r="I76" s="605"/>
      <c r="J76" s="605"/>
      <c r="K76" s="605"/>
      <c r="L76" s="779"/>
      <c r="M76" s="605"/>
      <c r="N76" s="605"/>
      <c r="O76" s="605"/>
      <c r="P76" s="605"/>
      <c r="Q76" s="605"/>
      <c r="R76" s="605"/>
      <c r="S76" s="605"/>
      <c r="T76" s="605"/>
      <c r="U76" s="605"/>
      <c r="V76" s="605"/>
      <c r="W76" s="605"/>
      <c r="X76" s="605"/>
      <c r="Y76" s="605"/>
      <c r="Z76" s="605"/>
      <c r="AA76" s="605"/>
      <c r="AB76" s="605"/>
      <c r="AC76" s="605"/>
      <c r="AD76" s="605"/>
      <c r="AE76" s="605"/>
      <c r="AF76" s="605"/>
      <c r="AG76" s="607"/>
      <c r="AH76" s="605"/>
      <c r="AI76" s="605"/>
      <c r="AJ76" s="605"/>
      <c r="AK76" s="607"/>
      <c r="AL76" s="605"/>
      <c r="AM76" s="605"/>
      <c r="AN76" s="605"/>
      <c r="AO76" s="605"/>
      <c r="AP76" s="607"/>
      <c r="AQ76" s="607"/>
      <c r="AR76" s="607"/>
      <c r="AS76" s="607"/>
      <c r="AT76" s="608"/>
      <c r="AU76" s="608"/>
      <c r="AV76" s="608"/>
      <c r="AW76" s="609"/>
      <c r="AX76" s="594"/>
    </row>
    <row r="77" spans="1:50" x14ac:dyDescent="0.25">
      <c r="A77" s="594"/>
      <c r="B77" t="s">
        <v>442</v>
      </c>
      <c r="C77" s="604"/>
      <c r="D77" s="605"/>
      <c r="E77" s="605" t="str">
        <f>LEFT(T_Fordonslista[[#This Row],[REG_NR]],3)</f>
        <v/>
      </c>
      <c r="F77" s="605"/>
      <c r="G77" s="605"/>
      <c r="H77" s="605"/>
      <c r="I77" s="605"/>
      <c r="J77" s="605"/>
      <c r="K77" s="605"/>
      <c r="L77" s="779"/>
      <c r="M77" s="605"/>
      <c r="N77" s="605"/>
      <c r="O77" s="605"/>
      <c r="P77" s="605"/>
      <c r="Q77" s="605"/>
      <c r="R77" s="605"/>
      <c r="S77" s="605"/>
      <c r="T77" s="605"/>
      <c r="U77" s="605"/>
      <c r="V77" s="605"/>
      <c r="W77" s="605"/>
      <c r="X77" s="605"/>
      <c r="Y77" s="605"/>
      <c r="Z77" s="605"/>
      <c r="AA77" s="605"/>
      <c r="AB77" s="605"/>
      <c r="AC77" s="605"/>
      <c r="AD77" s="605"/>
      <c r="AE77" s="605"/>
      <c r="AF77" s="605"/>
      <c r="AG77" s="607"/>
      <c r="AH77" s="605"/>
      <c r="AI77" s="605"/>
      <c r="AJ77" s="605"/>
      <c r="AK77" s="607"/>
      <c r="AL77" s="605"/>
      <c r="AM77" s="605"/>
      <c r="AN77" s="605"/>
      <c r="AO77" s="605"/>
      <c r="AP77" s="607"/>
      <c r="AQ77" s="607"/>
      <c r="AR77" s="607"/>
      <c r="AS77" s="607"/>
      <c r="AT77" s="608"/>
      <c r="AU77" s="608"/>
      <c r="AV77" s="608"/>
      <c r="AW77" s="609"/>
      <c r="AX77" s="594"/>
    </row>
    <row r="78" spans="1:50" x14ac:dyDescent="0.25">
      <c r="A78" s="594"/>
      <c r="B78" t="s">
        <v>443</v>
      </c>
      <c r="C78" s="604"/>
      <c r="D78" s="605"/>
      <c r="E78" s="605" t="str">
        <f>LEFT(T_Fordonslista[[#This Row],[REG_NR]],3)</f>
        <v/>
      </c>
      <c r="F78" s="605"/>
      <c r="G78" s="605"/>
      <c r="H78" s="605"/>
      <c r="I78" s="605"/>
      <c r="J78" s="605"/>
      <c r="K78" s="605"/>
      <c r="L78" s="779"/>
      <c r="M78" s="605"/>
      <c r="N78" s="605"/>
      <c r="O78" s="605"/>
      <c r="P78" s="605"/>
      <c r="Q78" s="605"/>
      <c r="R78" s="605"/>
      <c r="S78" s="605"/>
      <c r="T78" s="605"/>
      <c r="U78" s="605"/>
      <c r="V78" s="605"/>
      <c r="W78" s="605"/>
      <c r="X78" s="605"/>
      <c r="Y78" s="605"/>
      <c r="Z78" s="605"/>
      <c r="AA78" s="605"/>
      <c r="AB78" s="605"/>
      <c r="AC78" s="605"/>
      <c r="AD78" s="605"/>
      <c r="AE78" s="605"/>
      <c r="AF78" s="605"/>
      <c r="AG78" s="607"/>
      <c r="AH78" s="605"/>
      <c r="AI78" s="605"/>
      <c r="AJ78" s="605"/>
      <c r="AK78" s="607"/>
      <c r="AL78" s="605"/>
      <c r="AM78" s="605"/>
      <c r="AN78" s="605"/>
      <c r="AO78" s="605"/>
      <c r="AP78" s="607"/>
      <c r="AQ78" s="607"/>
      <c r="AR78" s="607"/>
      <c r="AS78" s="607"/>
      <c r="AT78" s="608"/>
      <c r="AU78" s="608"/>
      <c r="AV78" s="608"/>
      <c r="AW78" s="609"/>
      <c r="AX78" s="594"/>
    </row>
    <row r="79" spans="1:50" x14ac:dyDescent="0.25">
      <c r="A79" s="594"/>
      <c r="B79" t="s">
        <v>444</v>
      </c>
      <c r="C79" s="604"/>
      <c r="D79" s="605"/>
      <c r="E79" s="605" t="str">
        <f>LEFT(T_Fordonslista[[#This Row],[REG_NR]],3)</f>
        <v/>
      </c>
      <c r="F79" s="605"/>
      <c r="G79" s="605"/>
      <c r="H79" s="605"/>
      <c r="I79" s="605"/>
      <c r="J79" s="605"/>
      <c r="K79" s="605"/>
      <c r="L79" s="779"/>
      <c r="M79" s="605"/>
      <c r="N79" s="605"/>
      <c r="O79" s="605"/>
      <c r="P79" s="605"/>
      <c r="Q79" s="605"/>
      <c r="R79" s="605"/>
      <c r="S79" s="605"/>
      <c r="T79" s="605"/>
      <c r="U79" s="605"/>
      <c r="V79" s="605"/>
      <c r="W79" s="605"/>
      <c r="X79" s="605"/>
      <c r="Y79" s="605"/>
      <c r="Z79" s="605"/>
      <c r="AA79" s="605"/>
      <c r="AB79" s="605"/>
      <c r="AC79" s="605"/>
      <c r="AD79" s="605"/>
      <c r="AE79" s="605"/>
      <c r="AF79" s="605"/>
      <c r="AG79" s="607"/>
      <c r="AH79" s="605"/>
      <c r="AI79" s="605"/>
      <c r="AJ79" s="605"/>
      <c r="AK79" s="607"/>
      <c r="AL79" s="605"/>
      <c r="AM79" s="605"/>
      <c r="AN79" s="605"/>
      <c r="AO79" s="605"/>
      <c r="AP79" s="607"/>
      <c r="AQ79" s="607"/>
      <c r="AR79" s="607"/>
      <c r="AS79" s="607"/>
      <c r="AT79" s="608"/>
      <c r="AU79" s="608"/>
      <c r="AV79" s="608"/>
      <c r="AW79" s="609"/>
      <c r="AX79" s="594"/>
    </row>
    <row r="80" spans="1:50" x14ac:dyDescent="0.25">
      <c r="A80" s="594"/>
      <c r="B80" t="s">
        <v>445</v>
      </c>
      <c r="C80" s="604"/>
      <c r="D80" s="605"/>
      <c r="E80" s="605" t="str">
        <f>LEFT(T_Fordonslista[[#This Row],[REG_NR]],3)</f>
        <v/>
      </c>
      <c r="F80" s="605"/>
      <c r="G80" s="605"/>
      <c r="H80" s="605"/>
      <c r="I80" s="605"/>
      <c r="J80" s="605"/>
      <c r="K80" s="605"/>
      <c r="L80" s="779"/>
      <c r="M80" s="605"/>
      <c r="N80" s="605"/>
      <c r="O80" s="605"/>
      <c r="P80" s="605"/>
      <c r="Q80" s="605"/>
      <c r="R80" s="605"/>
      <c r="S80" s="605"/>
      <c r="T80" s="605"/>
      <c r="U80" s="605"/>
      <c r="V80" s="605"/>
      <c r="W80" s="605"/>
      <c r="X80" s="605"/>
      <c r="Y80" s="605"/>
      <c r="Z80" s="605"/>
      <c r="AA80" s="605"/>
      <c r="AB80" s="605"/>
      <c r="AC80" s="605"/>
      <c r="AD80" s="605"/>
      <c r="AE80" s="605"/>
      <c r="AF80" s="605"/>
      <c r="AG80" s="607"/>
      <c r="AH80" s="605"/>
      <c r="AI80" s="605"/>
      <c r="AJ80" s="605"/>
      <c r="AK80" s="607"/>
      <c r="AL80" s="605"/>
      <c r="AM80" s="605"/>
      <c r="AN80" s="605"/>
      <c r="AO80" s="605"/>
      <c r="AP80" s="607"/>
      <c r="AQ80" s="607"/>
      <c r="AR80" s="607"/>
      <c r="AS80" s="607"/>
      <c r="AT80" s="608"/>
      <c r="AU80" s="608"/>
      <c r="AV80" s="608"/>
      <c r="AW80" s="609"/>
      <c r="AX80" s="594"/>
    </row>
    <row r="81" spans="1:50" x14ac:dyDescent="0.25">
      <c r="A81" s="594"/>
      <c r="B81" t="s">
        <v>446</v>
      </c>
      <c r="C81" s="604"/>
      <c r="D81" s="605"/>
      <c r="E81" s="605" t="str">
        <f>LEFT(T_Fordonslista[[#This Row],[REG_NR]],3)</f>
        <v/>
      </c>
      <c r="F81" s="605"/>
      <c r="G81" s="605"/>
      <c r="H81" s="605"/>
      <c r="I81" s="605"/>
      <c r="J81" s="605"/>
      <c r="K81" s="605"/>
      <c r="L81" s="779"/>
      <c r="M81" s="605"/>
      <c r="N81" s="605"/>
      <c r="O81" s="605"/>
      <c r="P81" s="605"/>
      <c r="Q81" s="605"/>
      <c r="R81" s="605"/>
      <c r="S81" s="605"/>
      <c r="T81" s="605"/>
      <c r="U81" s="605"/>
      <c r="V81" s="605"/>
      <c r="W81" s="605"/>
      <c r="X81" s="605"/>
      <c r="Y81" s="605"/>
      <c r="Z81" s="605"/>
      <c r="AA81" s="605"/>
      <c r="AB81" s="605"/>
      <c r="AC81" s="605"/>
      <c r="AD81" s="605"/>
      <c r="AE81" s="605"/>
      <c r="AF81" s="605"/>
      <c r="AG81" s="607"/>
      <c r="AH81" s="605"/>
      <c r="AI81" s="605"/>
      <c r="AJ81" s="605"/>
      <c r="AK81" s="607"/>
      <c r="AL81" s="605"/>
      <c r="AM81" s="605"/>
      <c r="AN81" s="605"/>
      <c r="AO81" s="605"/>
      <c r="AP81" s="607"/>
      <c r="AQ81" s="607"/>
      <c r="AR81" s="607"/>
      <c r="AS81" s="607"/>
      <c r="AT81" s="608"/>
      <c r="AU81" s="608"/>
      <c r="AV81" s="608"/>
      <c r="AW81" s="609"/>
      <c r="AX81" s="594"/>
    </row>
    <row r="82" spans="1:50" x14ac:dyDescent="0.25">
      <c r="A82" s="594"/>
      <c r="B82" t="s">
        <v>447</v>
      </c>
      <c r="C82" s="604"/>
      <c r="D82" s="605"/>
      <c r="E82" s="605" t="str">
        <f>LEFT(T_Fordonslista[[#This Row],[REG_NR]],3)</f>
        <v/>
      </c>
      <c r="F82" s="605"/>
      <c r="G82" s="605"/>
      <c r="H82" s="605"/>
      <c r="I82" s="605"/>
      <c r="J82" s="605"/>
      <c r="K82" s="605"/>
      <c r="L82" s="779"/>
      <c r="M82" s="605"/>
      <c r="N82" s="605"/>
      <c r="O82" s="605"/>
      <c r="P82" s="605"/>
      <c r="Q82" s="605"/>
      <c r="R82" s="605"/>
      <c r="S82" s="605"/>
      <c r="T82" s="605"/>
      <c r="U82" s="605"/>
      <c r="V82" s="605"/>
      <c r="W82" s="605"/>
      <c r="X82" s="605"/>
      <c r="Y82" s="605"/>
      <c r="Z82" s="605"/>
      <c r="AA82" s="605"/>
      <c r="AB82" s="605"/>
      <c r="AC82" s="605"/>
      <c r="AD82" s="605"/>
      <c r="AE82" s="605"/>
      <c r="AF82" s="605"/>
      <c r="AG82" s="607"/>
      <c r="AH82" s="605"/>
      <c r="AI82" s="605"/>
      <c r="AJ82" s="605"/>
      <c r="AK82" s="607"/>
      <c r="AL82" s="605"/>
      <c r="AM82" s="605"/>
      <c r="AN82" s="605"/>
      <c r="AO82" s="605"/>
      <c r="AP82" s="607"/>
      <c r="AQ82" s="607"/>
      <c r="AR82" s="607"/>
      <c r="AS82" s="607"/>
      <c r="AT82" s="608"/>
      <c r="AU82" s="608"/>
      <c r="AV82" s="608"/>
      <c r="AW82" s="609"/>
      <c r="AX82" s="594"/>
    </row>
    <row r="83" spans="1:50" x14ac:dyDescent="0.25">
      <c r="A83" s="594"/>
      <c r="B83" t="s">
        <v>448</v>
      </c>
      <c r="C83" s="604"/>
      <c r="D83" s="605"/>
      <c r="E83" s="605" t="str">
        <f>LEFT(T_Fordonslista[[#This Row],[REG_NR]],3)</f>
        <v/>
      </c>
      <c r="F83" s="605"/>
      <c r="G83" s="605"/>
      <c r="H83" s="605"/>
      <c r="I83" s="605"/>
      <c r="J83" s="605"/>
      <c r="K83" s="605"/>
      <c r="L83" s="779"/>
      <c r="M83" s="605"/>
      <c r="N83" s="605"/>
      <c r="O83" s="605"/>
      <c r="P83" s="605"/>
      <c r="Q83" s="605"/>
      <c r="R83" s="605"/>
      <c r="S83" s="605"/>
      <c r="T83" s="605"/>
      <c r="U83" s="605"/>
      <c r="V83" s="605"/>
      <c r="W83" s="605"/>
      <c r="X83" s="605"/>
      <c r="Y83" s="605"/>
      <c r="Z83" s="605"/>
      <c r="AA83" s="605"/>
      <c r="AB83" s="605"/>
      <c r="AC83" s="605"/>
      <c r="AD83" s="605"/>
      <c r="AE83" s="605"/>
      <c r="AF83" s="605"/>
      <c r="AG83" s="607"/>
      <c r="AH83" s="605"/>
      <c r="AI83" s="605"/>
      <c r="AJ83" s="605"/>
      <c r="AK83" s="607"/>
      <c r="AL83" s="605"/>
      <c r="AM83" s="605"/>
      <c r="AN83" s="605"/>
      <c r="AO83" s="605"/>
      <c r="AP83" s="607"/>
      <c r="AQ83" s="607"/>
      <c r="AR83" s="607"/>
      <c r="AS83" s="607"/>
      <c r="AT83" s="608"/>
      <c r="AU83" s="608"/>
      <c r="AV83" s="608"/>
      <c r="AW83" s="609"/>
      <c r="AX83" s="594"/>
    </row>
    <row r="84" spans="1:50" x14ac:dyDescent="0.25">
      <c r="A84" s="594"/>
      <c r="B84" t="s">
        <v>449</v>
      </c>
      <c r="C84" s="604"/>
      <c r="D84" s="605"/>
      <c r="E84" s="605" t="str">
        <f>LEFT(T_Fordonslista[[#This Row],[REG_NR]],3)</f>
        <v/>
      </c>
      <c r="F84" s="605"/>
      <c r="G84" s="605"/>
      <c r="H84" s="605"/>
      <c r="I84" s="605"/>
      <c r="J84" s="605"/>
      <c r="K84" s="605"/>
      <c r="L84" s="779"/>
      <c r="M84" s="605"/>
      <c r="N84" s="605"/>
      <c r="O84" s="605"/>
      <c r="P84" s="605"/>
      <c r="Q84" s="605"/>
      <c r="R84" s="605"/>
      <c r="S84" s="605"/>
      <c r="T84" s="605"/>
      <c r="U84" s="605"/>
      <c r="V84" s="605"/>
      <c r="W84" s="605"/>
      <c r="X84" s="605"/>
      <c r="Y84" s="605"/>
      <c r="Z84" s="605"/>
      <c r="AA84" s="605"/>
      <c r="AB84" s="605"/>
      <c r="AC84" s="605"/>
      <c r="AD84" s="605"/>
      <c r="AE84" s="605"/>
      <c r="AF84" s="605"/>
      <c r="AG84" s="607"/>
      <c r="AH84" s="605"/>
      <c r="AI84" s="605"/>
      <c r="AJ84" s="605"/>
      <c r="AK84" s="607"/>
      <c r="AL84" s="605"/>
      <c r="AM84" s="605"/>
      <c r="AN84" s="605"/>
      <c r="AO84" s="605"/>
      <c r="AP84" s="607"/>
      <c r="AQ84" s="607"/>
      <c r="AR84" s="607"/>
      <c r="AS84" s="607"/>
      <c r="AT84" s="608"/>
      <c r="AU84" s="608"/>
      <c r="AV84" s="608"/>
      <c r="AW84" s="609"/>
      <c r="AX84" s="594"/>
    </row>
    <row r="85" spans="1:50" x14ac:dyDescent="0.25">
      <c r="A85" s="594"/>
      <c r="B85" t="s">
        <v>450</v>
      </c>
      <c r="C85" s="604"/>
      <c r="D85" s="605"/>
      <c r="E85" s="605" t="str">
        <f>LEFT(T_Fordonslista[[#This Row],[REG_NR]],3)</f>
        <v/>
      </c>
      <c r="F85" s="605"/>
      <c r="G85" s="605"/>
      <c r="H85" s="605"/>
      <c r="I85" s="605"/>
      <c r="J85" s="605"/>
      <c r="K85" s="605"/>
      <c r="L85" s="779"/>
      <c r="M85" s="605"/>
      <c r="N85" s="605"/>
      <c r="O85" s="605"/>
      <c r="P85" s="605"/>
      <c r="Q85" s="605"/>
      <c r="R85" s="605"/>
      <c r="S85" s="605"/>
      <c r="T85" s="605"/>
      <c r="U85" s="605"/>
      <c r="V85" s="605"/>
      <c r="W85" s="605"/>
      <c r="X85" s="605"/>
      <c r="Y85" s="605"/>
      <c r="Z85" s="605"/>
      <c r="AA85" s="605"/>
      <c r="AB85" s="605"/>
      <c r="AC85" s="605"/>
      <c r="AD85" s="605"/>
      <c r="AE85" s="605"/>
      <c r="AF85" s="605"/>
      <c r="AG85" s="607"/>
      <c r="AH85" s="605"/>
      <c r="AI85" s="605"/>
      <c r="AJ85" s="605"/>
      <c r="AK85" s="607"/>
      <c r="AL85" s="605"/>
      <c r="AM85" s="605"/>
      <c r="AN85" s="605"/>
      <c r="AO85" s="605"/>
      <c r="AP85" s="607"/>
      <c r="AQ85" s="607"/>
      <c r="AR85" s="607"/>
      <c r="AS85" s="607"/>
      <c r="AT85" s="608"/>
      <c r="AU85" s="608"/>
      <c r="AV85" s="608"/>
      <c r="AW85" s="609"/>
      <c r="AX85" s="594"/>
    </row>
    <row r="86" spans="1:50" x14ac:dyDescent="0.25">
      <c r="A86" s="594"/>
      <c r="B86" t="s">
        <v>451</v>
      </c>
      <c r="C86" s="604"/>
      <c r="D86" s="605"/>
      <c r="E86" s="605" t="str">
        <f>LEFT(T_Fordonslista[[#This Row],[REG_NR]],3)</f>
        <v/>
      </c>
      <c r="F86" s="605"/>
      <c r="G86" s="605"/>
      <c r="H86" s="605"/>
      <c r="I86" s="605"/>
      <c r="J86" s="605"/>
      <c r="K86" s="605"/>
      <c r="L86" s="779"/>
      <c r="M86" s="605"/>
      <c r="N86" s="605"/>
      <c r="O86" s="605"/>
      <c r="P86" s="605"/>
      <c r="Q86" s="605"/>
      <c r="R86" s="605"/>
      <c r="S86" s="605"/>
      <c r="T86" s="605"/>
      <c r="U86" s="605"/>
      <c r="V86" s="605"/>
      <c r="W86" s="605"/>
      <c r="X86" s="605"/>
      <c r="Y86" s="605"/>
      <c r="Z86" s="605"/>
      <c r="AA86" s="605"/>
      <c r="AB86" s="605"/>
      <c r="AC86" s="605"/>
      <c r="AD86" s="605"/>
      <c r="AE86" s="605"/>
      <c r="AF86" s="605"/>
      <c r="AG86" s="607"/>
      <c r="AH86" s="605"/>
      <c r="AI86" s="605"/>
      <c r="AJ86" s="605"/>
      <c r="AK86" s="607"/>
      <c r="AL86" s="605"/>
      <c r="AM86" s="605"/>
      <c r="AN86" s="605"/>
      <c r="AO86" s="605"/>
      <c r="AP86" s="607"/>
      <c r="AQ86" s="607"/>
      <c r="AR86" s="607"/>
      <c r="AS86" s="607"/>
      <c r="AT86" s="608"/>
      <c r="AU86" s="608"/>
      <c r="AV86" s="608"/>
      <c r="AW86" s="609"/>
      <c r="AX86" s="594"/>
    </row>
    <row r="87" spans="1:50" x14ac:dyDescent="0.25">
      <c r="A87" s="594"/>
      <c r="B87" t="s">
        <v>452</v>
      </c>
      <c r="C87" s="604"/>
      <c r="D87" s="605"/>
      <c r="E87" s="605" t="str">
        <f>LEFT(T_Fordonslista[[#This Row],[REG_NR]],3)</f>
        <v/>
      </c>
      <c r="F87" s="605"/>
      <c r="G87" s="605"/>
      <c r="H87" s="605"/>
      <c r="I87" s="605"/>
      <c r="J87" s="605"/>
      <c r="K87" s="605"/>
      <c r="L87" s="779"/>
      <c r="M87" s="605"/>
      <c r="N87" s="605"/>
      <c r="O87" s="605"/>
      <c r="P87" s="605"/>
      <c r="Q87" s="605"/>
      <c r="R87" s="605"/>
      <c r="S87" s="605"/>
      <c r="T87" s="605"/>
      <c r="U87" s="605"/>
      <c r="V87" s="605"/>
      <c r="W87" s="605"/>
      <c r="X87" s="605"/>
      <c r="Y87" s="605"/>
      <c r="Z87" s="605"/>
      <c r="AA87" s="605"/>
      <c r="AB87" s="605"/>
      <c r="AC87" s="605"/>
      <c r="AD87" s="605"/>
      <c r="AE87" s="605"/>
      <c r="AF87" s="605"/>
      <c r="AG87" s="607"/>
      <c r="AH87" s="605"/>
      <c r="AI87" s="605"/>
      <c r="AJ87" s="605"/>
      <c r="AK87" s="607"/>
      <c r="AL87" s="605"/>
      <c r="AM87" s="605"/>
      <c r="AN87" s="605"/>
      <c r="AO87" s="605"/>
      <c r="AP87" s="607"/>
      <c r="AQ87" s="607"/>
      <c r="AR87" s="607"/>
      <c r="AS87" s="607"/>
      <c r="AT87" s="608"/>
      <c r="AU87" s="608"/>
      <c r="AV87" s="608"/>
      <c r="AW87" s="609"/>
      <c r="AX87" s="594"/>
    </row>
    <row r="88" spans="1:50" x14ac:dyDescent="0.25">
      <c r="A88" s="594"/>
      <c r="B88" t="s">
        <v>453</v>
      </c>
      <c r="C88" s="604"/>
      <c r="D88" s="605"/>
      <c r="E88" s="605" t="str">
        <f>LEFT(T_Fordonslista[[#This Row],[REG_NR]],3)</f>
        <v/>
      </c>
      <c r="F88" s="605"/>
      <c r="G88" s="605"/>
      <c r="H88" s="605"/>
      <c r="I88" s="605"/>
      <c r="J88" s="605"/>
      <c r="K88" s="605"/>
      <c r="L88" s="779"/>
      <c r="M88" s="605"/>
      <c r="N88" s="605"/>
      <c r="O88" s="605"/>
      <c r="P88" s="605"/>
      <c r="Q88" s="605"/>
      <c r="R88" s="605"/>
      <c r="S88" s="605"/>
      <c r="T88" s="605"/>
      <c r="U88" s="605"/>
      <c r="V88" s="605"/>
      <c r="W88" s="605"/>
      <c r="X88" s="605"/>
      <c r="Y88" s="605"/>
      <c r="Z88" s="605"/>
      <c r="AA88" s="605"/>
      <c r="AB88" s="605"/>
      <c r="AC88" s="605"/>
      <c r="AD88" s="605"/>
      <c r="AE88" s="605"/>
      <c r="AF88" s="605"/>
      <c r="AG88" s="607"/>
      <c r="AH88" s="605"/>
      <c r="AI88" s="605"/>
      <c r="AJ88" s="605"/>
      <c r="AK88" s="607"/>
      <c r="AL88" s="605"/>
      <c r="AM88" s="605"/>
      <c r="AN88" s="605"/>
      <c r="AO88" s="605"/>
      <c r="AP88" s="607"/>
      <c r="AQ88" s="607"/>
      <c r="AR88" s="607"/>
      <c r="AS88" s="607"/>
      <c r="AT88" s="608"/>
      <c r="AU88" s="608"/>
      <c r="AV88" s="608"/>
      <c r="AW88" s="609"/>
      <c r="AX88" s="594"/>
    </row>
    <row r="89" spans="1:50" x14ac:dyDescent="0.25">
      <c r="A89" s="594"/>
      <c r="B89" t="s">
        <v>454</v>
      </c>
      <c r="C89" s="604"/>
      <c r="D89" s="605"/>
      <c r="E89" s="605" t="str">
        <f>LEFT(T_Fordonslista[[#This Row],[REG_NR]],3)</f>
        <v/>
      </c>
      <c r="F89" s="605"/>
      <c r="G89" s="605"/>
      <c r="H89" s="605"/>
      <c r="I89" s="605"/>
      <c r="J89" s="605"/>
      <c r="K89" s="605"/>
      <c r="L89" s="779"/>
      <c r="M89" s="605"/>
      <c r="N89" s="605"/>
      <c r="O89" s="605"/>
      <c r="P89" s="605"/>
      <c r="Q89" s="605"/>
      <c r="R89" s="605"/>
      <c r="S89" s="605"/>
      <c r="T89" s="605"/>
      <c r="U89" s="605"/>
      <c r="V89" s="605"/>
      <c r="W89" s="605"/>
      <c r="X89" s="605"/>
      <c r="Y89" s="605"/>
      <c r="Z89" s="605"/>
      <c r="AA89" s="605"/>
      <c r="AB89" s="605"/>
      <c r="AC89" s="605"/>
      <c r="AD89" s="605"/>
      <c r="AE89" s="605"/>
      <c r="AF89" s="605"/>
      <c r="AG89" s="607"/>
      <c r="AH89" s="605"/>
      <c r="AI89" s="605"/>
      <c r="AJ89" s="605"/>
      <c r="AK89" s="607"/>
      <c r="AL89" s="605"/>
      <c r="AM89" s="605"/>
      <c r="AN89" s="605"/>
      <c r="AO89" s="605"/>
      <c r="AP89" s="607"/>
      <c r="AQ89" s="607"/>
      <c r="AR89" s="607"/>
      <c r="AS89" s="607"/>
      <c r="AT89" s="608"/>
      <c r="AU89" s="608"/>
      <c r="AV89" s="608"/>
      <c r="AW89" s="609"/>
      <c r="AX89" s="594"/>
    </row>
    <row r="90" spans="1:50" x14ac:dyDescent="0.25">
      <c r="A90" s="594"/>
      <c r="B90" t="s">
        <v>455</v>
      </c>
      <c r="C90" s="604"/>
      <c r="D90" s="605"/>
      <c r="E90" s="605" t="str">
        <f>LEFT(T_Fordonslista[[#This Row],[REG_NR]],3)</f>
        <v/>
      </c>
      <c r="F90" s="605"/>
      <c r="G90" s="605"/>
      <c r="H90" s="605"/>
      <c r="I90" s="605"/>
      <c r="J90" s="605"/>
      <c r="K90" s="605"/>
      <c r="L90" s="779"/>
      <c r="M90" s="605"/>
      <c r="N90" s="605"/>
      <c r="O90" s="605"/>
      <c r="P90" s="605"/>
      <c r="Q90" s="605"/>
      <c r="R90" s="605"/>
      <c r="S90" s="605"/>
      <c r="T90" s="605"/>
      <c r="U90" s="605"/>
      <c r="V90" s="605"/>
      <c r="W90" s="605"/>
      <c r="X90" s="605"/>
      <c r="Y90" s="605"/>
      <c r="Z90" s="605"/>
      <c r="AA90" s="605"/>
      <c r="AB90" s="605"/>
      <c r="AC90" s="605"/>
      <c r="AD90" s="605"/>
      <c r="AE90" s="605"/>
      <c r="AF90" s="605"/>
      <c r="AG90" s="607"/>
      <c r="AH90" s="605"/>
      <c r="AI90" s="605"/>
      <c r="AJ90" s="605"/>
      <c r="AK90" s="607"/>
      <c r="AL90" s="605"/>
      <c r="AM90" s="605"/>
      <c r="AN90" s="605"/>
      <c r="AO90" s="605"/>
      <c r="AP90" s="607"/>
      <c r="AQ90" s="607"/>
      <c r="AR90" s="607"/>
      <c r="AS90" s="607"/>
      <c r="AT90" s="608"/>
      <c r="AU90" s="608"/>
      <c r="AV90" s="608"/>
      <c r="AW90" s="609"/>
      <c r="AX90" s="594"/>
    </row>
    <row r="91" spans="1:50" x14ac:dyDescent="0.25">
      <c r="A91" s="594"/>
      <c r="B91" t="s">
        <v>456</v>
      </c>
      <c r="C91" s="604"/>
      <c r="D91" s="605"/>
      <c r="E91" s="605" t="str">
        <f>LEFT(T_Fordonslista[[#This Row],[REG_NR]],3)</f>
        <v/>
      </c>
      <c r="F91" s="605"/>
      <c r="G91" s="605"/>
      <c r="H91" s="605"/>
      <c r="I91" s="605"/>
      <c r="J91" s="605"/>
      <c r="K91" s="605"/>
      <c r="L91" s="779"/>
      <c r="M91" s="605"/>
      <c r="N91" s="605"/>
      <c r="O91" s="605"/>
      <c r="P91" s="605"/>
      <c r="Q91" s="605"/>
      <c r="R91" s="605"/>
      <c r="S91" s="605"/>
      <c r="T91" s="605"/>
      <c r="U91" s="605"/>
      <c r="V91" s="605"/>
      <c r="W91" s="605"/>
      <c r="X91" s="605"/>
      <c r="Y91" s="605"/>
      <c r="Z91" s="605"/>
      <c r="AA91" s="605"/>
      <c r="AB91" s="605"/>
      <c r="AC91" s="605"/>
      <c r="AD91" s="605"/>
      <c r="AE91" s="605"/>
      <c r="AF91" s="605"/>
      <c r="AG91" s="607"/>
      <c r="AH91" s="605"/>
      <c r="AI91" s="605"/>
      <c r="AJ91" s="605"/>
      <c r="AK91" s="607"/>
      <c r="AL91" s="605"/>
      <c r="AM91" s="605"/>
      <c r="AN91" s="605"/>
      <c r="AO91" s="605"/>
      <c r="AP91" s="607"/>
      <c r="AQ91" s="607"/>
      <c r="AR91" s="607"/>
      <c r="AS91" s="607"/>
      <c r="AT91" s="608"/>
      <c r="AU91" s="608"/>
      <c r="AV91" s="608"/>
      <c r="AW91" s="609"/>
      <c r="AX91" s="594"/>
    </row>
    <row r="92" spans="1:50" x14ac:dyDescent="0.25">
      <c r="A92" s="594"/>
      <c r="B92" t="s">
        <v>457</v>
      </c>
      <c r="C92" s="604"/>
      <c r="D92" s="605"/>
      <c r="E92" s="605" t="str">
        <f>LEFT(T_Fordonslista[[#This Row],[REG_NR]],3)</f>
        <v/>
      </c>
      <c r="F92" s="605"/>
      <c r="G92" s="605"/>
      <c r="H92" s="605"/>
      <c r="I92" s="605"/>
      <c r="J92" s="605"/>
      <c r="K92" s="605"/>
      <c r="L92" s="779"/>
      <c r="M92" s="605"/>
      <c r="N92" s="605"/>
      <c r="O92" s="605"/>
      <c r="P92" s="605"/>
      <c r="Q92" s="605"/>
      <c r="R92" s="605"/>
      <c r="S92" s="605"/>
      <c r="T92" s="605"/>
      <c r="U92" s="605"/>
      <c r="V92" s="605"/>
      <c r="W92" s="605"/>
      <c r="X92" s="605"/>
      <c r="Y92" s="605"/>
      <c r="Z92" s="605"/>
      <c r="AA92" s="605"/>
      <c r="AB92" s="605"/>
      <c r="AC92" s="605"/>
      <c r="AD92" s="605"/>
      <c r="AE92" s="605"/>
      <c r="AF92" s="605"/>
      <c r="AG92" s="607"/>
      <c r="AH92" s="605"/>
      <c r="AI92" s="605"/>
      <c r="AJ92" s="605"/>
      <c r="AK92" s="607"/>
      <c r="AL92" s="605"/>
      <c r="AM92" s="605"/>
      <c r="AN92" s="605"/>
      <c r="AO92" s="605"/>
      <c r="AP92" s="607"/>
      <c r="AQ92" s="607"/>
      <c r="AR92" s="607"/>
      <c r="AS92" s="607"/>
      <c r="AT92" s="608"/>
      <c r="AU92" s="608"/>
      <c r="AV92" s="608"/>
      <c r="AW92" s="609"/>
      <c r="AX92" s="594"/>
    </row>
    <row r="93" spans="1:50" x14ac:dyDescent="0.25">
      <c r="A93" s="594"/>
      <c r="B93" t="s">
        <v>458</v>
      </c>
      <c r="C93" s="604"/>
      <c r="D93" s="605"/>
      <c r="E93" s="605" t="str">
        <f>LEFT(T_Fordonslista[[#This Row],[REG_NR]],3)</f>
        <v/>
      </c>
      <c r="F93" s="605"/>
      <c r="G93" s="605"/>
      <c r="H93" s="605"/>
      <c r="I93" s="605"/>
      <c r="J93" s="605"/>
      <c r="K93" s="605"/>
      <c r="L93" s="779"/>
      <c r="M93" s="605"/>
      <c r="N93" s="605"/>
      <c r="O93" s="605"/>
      <c r="P93" s="605"/>
      <c r="Q93" s="605"/>
      <c r="R93" s="605"/>
      <c r="S93" s="605"/>
      <c r="T93" s="605"/>
      <c r="U93" s="605"/>
      <c r="V93" s="605"/>
      <c r="W93" s="605"/>
      <c r="X93" s="605"/>
      <c r="Y93" s="605"/>
      <c r="Z93" s="605"/>
      <c r="AA93" s="605"/>
      <c r="AB93" s="605"/>
      <c r="AC93" s="605"/>
      <c r="AD93" s="605"/>
      <c r="AE93" s="605"/>
      <c r="AF93" s="605"/>
      <c r="AG93" s="607"/>
      <c r="AH93" s="605"/>
      <c r="AI93" s="605"/>
      <c r="AJ93" s="605"/>
      <c r="AK93" s="607"/>
      <c r="AL93" s="605"/>
      <c r="AM93" s="605"/>
      <c r="AN93" s="605"/>
      <c r="AO93" s="605"/>
      <c r="AP93" s="607"/>
      <c r="AQ93" s="607"/>
      <c r="AR93" s="607"/>
      <c r="AS93" s="607"/>
      <c r="AT93" s="608"/>
      <c r="AU93" s="608"/>
      <c r="AV93" s="608"/>
      <c r="AW93" s="609"/>
      <c r="AX93" s="594"/>
    </row>
    <row r="94" spans="1:50" x14ac:dyDescent="0.25">
      <c r="A94" s="594"/>
      <c r="B94" t="s">
        <v>459</v>
      </c>
      <c r="C94" s="604"/>
      <c r="D94" s="605"/>
      <c r="E94" s="605" t="str">
        <f>LEFT(T_Fordonslista[[#This Row],[REG_NR]],3)</f>
        <v/>
      </c>
      <c r="F94" s="605"/>
      <c r="G94" s="605"/>
      <c r="H94" s="605"/>
      <c r="I94" s="605"/>
      <c r="J94" s="605"/>
      <c r="K94" s="605"/>
      <c r="L94" s="779"/>
      <c r="M94" s="605"/>
      <c r="N94" s="605"/>
      <c r="O94" s="605"/>
      <c r="P94" s="605"/>
      <c r="Q94" s="605"/>
      <c r="R94" s="605"/>
      <c r="S94" s="605"/>
      <c r="T94" s="605"/>
      <c r="U94" s="605"/>
      <c r="V94" s="605"/>
      <c r="W94" s="605"/>
      <c r="X94" s="605"/>
      <c r="Y94" s="605"/>
      <c r="Z94" s="605"/>
      <c r="AA94" s="605"/>
      <c r="AB94" s="605"/>
      <c r="AC94" s="605"/>
      <c r="AD94" s="605"/>
      <c r="AE94" s="605"/>
      <c r="AF94" s="605"/>
      <c r="AG94" s="607"/>
      <c r="AH94" s="605"/>
      <c r="AI94" s="605"/>
      <c r="AJ94" s="605"/>
      <c r="AK94" s="607"/>
      <c r="AL94" s="605"/>
      <c r="AM94" s="605"/>
      <c r="AN94" s="605"/>
      <c r="AO94" s="605"/>
      <c r="AP94" s="607"/>
      <c r="AQ94" s="607"/>
      <c r="AR94" s="607"/>
      <c r="AS94" s="607"/>
      <c r="AT94" s="608"/>
      <c r="AU94" s="608"/>
      <c r="AV94" s="608"/>
      <c r="AW94" s="609"/>
      <c r="AX94" s="594"/>
    </row>
    <row r="95" spans="1:50" x14ac:dyDescent="0.25">
      <c r="A95" s="594"/>
      <c r="B95" t="s">
        <v>460</v>
      </c>
      <c r="C95" s="604"/>
      <c r="D95" s="605"/>
      <c r="E95" s="605" t="str">
        <f>LEFT(T_Fordonslista[[#This Row],[REG_NR]],3)</f>
        <v/>
      </c>
      <c r="F95" s="605"/>
      <c r="G95" s="605"/>
      <c r="H95" s="605"/>
      <c r="I95" s="605"/>
      <c r="J95" s="605"/>
      <c r="K95" s="605"/>
      <c r="L95" s="779"/>
      <c r="M95" s="605"/>
      <c r="N95" s="605"/>
      <c r="O95" s="605"/>
      <c r="P95" s="605"/>
      <c r="Q95" s="605"/>
      <c r="R95" s="605"/>
      <c r="S95" s="605"/>
      <c r="T95" s="605"/>
      <c r="U95" s="605"/>
      <c r="V95" s="605"/>
      <c r="W95" s="605"/>
      <c r="X95" s="605"/>
      <c r="Y95" s="605"/>
      <c r="Z95" s="605"/>
      <c r="AA95" s="605"/>
      <c r="AB95" s="605"/>
      <c r="AC95" s="605"/>
      <c r="AD95" s="605"/>
      <c r="AE95" s="605"/>
      <c r="AF95" s="605"/>
      <c r="AG95" s="607"/>
      <c r="AH95" s="605"/>
      <c r="AI95" s="605"/>
      <c r="AJ95" s="605"/>
      <c r="AK95" s="607"/>
      <c r="AL95" s="605"/>
      <c r="AM95" s="605"/>
      <c r="AN95" s="605"/>
      <c r="AO95" s="605"/>
      <c r="AP95" s="607"/>
      <c r="AQ95" s="607"/>
      <c r="AR95" s="607"/>
      <c r="AS95" s="607"/>
      <c r="AT95" s="608"/>
      <c r="AU95" s="608"/>
      <c r="AV95" s="608"/>
      <c r="AW95" s="609"/>
      <c r="AX95" s="594"/>
    </row>
    <row r="96" spans="1:50" x14ac:dyDescent="0.25">
      <c r="A96" s="594"/>
      <c r="B96" t="s">
        <v>461</v>
      </c>
      <c r="C96" s="604"/>
      <c r="D96" s="605"/>
      <c r="E96" s="605" t="str">
        <f>LEFT(T_Fordonslista[[#This Row],[REG_NR]],3)</f>
        <v/>
      </c>
      <c r="F96" s="605"/>
      <c r="G96" s="605"/>
      <c r="H96" s="605"/>
      <c r="I96" s="605"/>
      <c r="J96" s="605"/>
      <c r="K96" s="605"/>
      <c r="L96" s="779"/>
      <c r="M96" s="605"/>
      <c r="N96" s="605"/>
      <c r="O96" s="605"/>
      <c r="P96" s="605"/>
      <c r="Q96" s="605"/>
      <c r="R96" s="605"/>
      <c r="S96" s="605"/>
      <c r="T96" s="605"/>
      <c r="U96" s="605"/>
      <c r="V96" s="605"/>
      <c r="W96" s="605"/>
      <c r="X96" s="605"/>
      <c r="Y96" s="605"/>
      <c r="Z96" s="605"/>
      <c r="AA96" s="605"/>
      <c r="AB96" s="605"/>
      <c r="AC96" s="605"/>
      <c r="AD96" s="605"/>
      <c r="AE96" s="605"/>
      <c r="AF96" s="605"/>
      <c r="AG96" s="607"/>
      <c r="AH96" s="605"/>
      <c r="AI96" s="605"/>
      <c r="AJ96" s="605"/>
      <c r="AK96" s="607"/>
      <c r="AL96" s="605"/>
      <c r="AM96" s="605"/>
      <c r="AN96" s="605"/>
      <c r="AO96" s="605"/>
      <c r="AP96" s="607"/>
      <c r="AQ96" s="607"/>
      <c r="AR96" s="607"/>
      <c r="AS96" s="607"/>
      <c r="AT96" s="608"/>
      <c r="AU96" s="608"/>
      <c r="AV96" s="608"/>
      <c r="AW96" s="609"/>
      <c r="AX96" s="594"/>
    </row>
    <row r="97" spans="1:51" x14ac:dyDescent="0.25">
      <c r="A97" s="594"/>
      <c r="B97" t="s">
        <v>462</v>
      </c>
      <c r="C97" s="604"/>
      <c r="D97" s="605"/>
      <c r="E97" s="605" t="str">
        <f>LEFT(T_Fordonslista[[#This Row],[REG_NR]],3)</f>
        <v/>
      </c>
      <c r="F97" s="605"/>
      <c r="G97" s="605"/>
      <c r="H97" s="605"/>
      <c r="I97" s="605"/>
      <c r="J97" s="605"/>
      <c r="K97" s="605"/>
      <c r="L97" s="779"/>
      <c r="M97" s="605"/>
      <c r="N97" s="605"/>
      <c r="O97" s="605"/>
      <c r="P97" s="605"/>
      <c r="Q97" s="605"/>
      <c r="R97" s="605"/>
      <c r="S97" s="605"/>
      <c r="T97" s="605"/>
      <c r="U97" s="605"/>
      <c r="V97" s="605"/>
      <c r="W97" s="605"/>
      <c r="X97" s="605"/>
      <c r="Y97" s="605"/>
      <c r="Z97" s="605"/>
      <c r="AA97" s="605"/>
      <c r="AB97" s="605"/>
      <c r="AC97" s="605"/>
      <c r="AD97" s="605"/>
      <c r="AE97" s="605"/>
      <c r="AF97" s="605"/>
      <c r="AG97" s="607"/>
      <c r="AH97" s="605"/>
      <c r="AI97" s="605"/>
      <c r="AJ97" s="605"/>
      <c r="AK97" s="607"/>
      <c r="AL97" s="605"/>
      <c r="AM97" s="605"/>
      <c r="AN97" s="605"/>
      <c r="AO97" s="605"/>
      <c r="AP97" s="607"/>
      <c r="AQ97" s="607"/>
      <c r="AR97" s="607"/>
      <c r="AS97" s="607"/>
      <c r="AT97" s="608"/>
      <c r="AU97" s="608"/>
      <c r="AV97" s="608"/>
      <c r="AW97" s="609"/>
      <c r="AX97" s="594"/>
    </row>
    <row r="98" spans="1:51" x14ac:dyDescent="0.25">
      <c r="A98" s="594"/>
      <c r="B98" t="s">
        <v>463</v>
      </c>
      <c r="C98" s="604"/>
      <c r="D98" s="605"/>
      <c r="E98" s="605" t="str">
        <f>LEFT(T_Fordonslista[[#This Row],[REG_NR]],3)</f>
        <v/>
      </c>
      <c r="F98" s="605"/>
      <c r="G98" s="605"/>
      <c r="H98" s="605"/>
      <c r="I98" s="605"/>
      <c r="J98" s="605"/>
      <c r="K98" s="605"/>
      <c r="L98" s="779"/>
      <c r="M98" s="605"/>
      <c r="N98" s="605"/>
      <c r="O98" s="605"/>
      <c r="P98" s="605"/>
      <c r="Q98" s="605"/>
      <c r="R98" s="605"/>
      <c r="S98" s="605"/>
      <c r="T98" s="605"/>
      <c r="U98" s="605"/>
      <c r="V98" s="605"/>
      <c r="W98" s="605"/>
      <c r="X98" s="605"/>
      <c r="Y98" s="605"/>
      <c r="Z98" s="605"/>
      <c r="AA98" s="605"/>
      <c r="AB98" s="605"/>
      <c r="AC98" s="605"/>
      <c r="AD98" s="605"/>
      <c r="AE98" s="605"/>
      <c r="AF98" s="605"/>
      <c r="AG98" s="607"/>
      <c r="AH98" s="605"/>
      <c r="AI98" s="605"/>
      <c r="AJ98" s="605"/>
      <c r="AK98" s="607"/>
      <c r="AL98" s="605"/>
      <c r="AM98" s="605"/>
      <c r="AN98" s="605"/>
      <c r="AO98" s="605"/>
      <c r="AP98" s="607"/>
      <c r="AQ98" s="607"/>
      <c r="AR98" s="607"/>
      <c r="AS98" s="607"/>
      <c r="AT98" s="608"/>
      <c r="AU98" s="608"/>
      <c r="AV98" s="608"/>
      <c r="AW98" s="609"/>
      <c r="AX98" s="594"/>
    </row>
    <row r="99" spans="1:51" x14ac:dyDescent="0.25">
      <c r="A99" s="594"/>
      <c r="B99" t="s">
        <v>464</v>
      </c>
      <c r="C99" s="604"/>
      <c r="D99" s="605"/>
      <c r="E99" s="605" t="str">
        <f>LEFT(T_Fordonslista[[#This Row],[REG_NR]],3)</f>
        <v/>
      </c>
      <c r="F99" s="605"/>
      <c r="G99" s="605"/>
      <c r="H99" s="605"/>
      <c r="I99" s="605"/>
      <c r="J99" s="605"/>
      <c r="K99" s="605"/>
      <c r="L99" s="779"/>
      <c r="M99" s="605"/>
      <c r="N99" s="605"/>
      <c r="O99" s="605"/>
      <c r="P99" s="605"/>
      <c r="Q99" s="605"/>
      <c r="R99" s="605"/>
      <c r="S99" s="605"/>
      <c r="T99" s="605"/>
      <c r="U99" s="605"/>
      <c r="V99" s="605"/>
      <c r="W99" s="605"/>
      <c r="X99" s="605"/>
      <c r="Y99" s="605"/>
      <c r="Z99" s="605"/>
      <c r="AA99" s="605"/>
      <c r="AB99" s="605"/>
      <c r="AC99" s="605"/>
      <c r="AD99" s="605"/>
      <c r="AE99" s="605"/>
      <c r="AF99" s="605"/>
      <c r="AG99" s="607"/>
      <c r="AH99" s="605"/>
      <c r="AI99" s="605"/>
      <c r="AJ99" s="605"/>
      <c r="AK99" s="607"/>
      <c r="AL99" s="605"/>
      <c r="AM99" s="605"/>
      <c r="AN99" s="605"/>
      <c r="AO99" s="605"/>
      <c r="AP99" s="607"/>
      <c r="AQ99" s="607"/>
      <c r="AR99" s="607"/>
      <c r="AS99" s="607"/>
      <c r="AT99" s="608"/>
      <c r="AU99" s="608"/>
      <c r="AV99" s="608"/>
      <c r="AW99" s="609"/>
      <c r="AX99" s="594"/>
    </row>
    <row r="100" spans="1:51" x14ac:dyDescent="0.25">
      <c r="A100" s="594"/>
      <c r="B100" t="s">
        <v>465</v>
      </c>
      <c r="C100" s="604"/>
      <c r="D100" s="605"/>
      <c r="E100" s="605" t="str">
        <f>LEFT(T_Fordonslista[[#This Row],[REG_NR]],3)</f>
        <v/>
      </c>
      <c r="F100" s="605"/>
      <c r="G100" s="605"/>
      <c r="H100" s="605"/>
      <c r="I100" s="605"/>
      <c r="J100" s="605"/>
      <c r="K100" s="605"/>
      <c r="L100" s="779"/>
      <c r="M100" s="605"/>
      <c r="N100" s="605"/>
      <c r="O100" s="605"/>
      <c r="P100" s="605"/>
      <c r="Q100" s="605"/>
      <c r="R100" s="605"/>
      <c r="S100" s="605"/>
      <c r="T100" s="605"/>
      <c r="U100" s="605"/>
      <c r="V100" s="605"/>
      <c r="W100" s="605"/>
      <c r="X100" s="605"/>
      <c r="Y100" s="605"/>
      <c r="Z100" s="605"/>
      <c r="AA100" s="605"/>
      <c r="AB100" s="605"/>
      <c r="AC100" s="605"/>
      <c r="AD100" s="605"/>
      <c r="AE100" s="605"/>
      <c r="AF100" s="605"/>
      <c r="AG100" s="607"/>
      <c r="AH100" s="605"/>
      <c r="AI100" s="605"/>
      <c r="AJ100" s="605"/>
      <c r="AK100" s="607"/>
      <c r="AL100" s="605"/>
      <c r="AM100" s="605"/>
      <c r="AN100" s="605"/>
      <c r="AO100" s="605"/>
      <c r="AP100" s="607"/>
      <c r="AQ100" s="607"/>
      <c r="AR100" s="607"/>
      <c r="AS100" s="607"/>
      <c r="AT100" s="608"/>
      <c r="AU100" s="608"/>
      <c r="AV100" s="608"/>
      <c r="AW100" s="609"/>
      <c r="AX100" s="594"/>
    </row>
    <row r="101" spans="1:51" x14ac:dyDescent="0.25">
      <c r="A101" s="594"/>
      <c r="B101" t="s">
        <v>466</v>
      </c>
      <c r="C101" s="604"/>
      <c r="D101" s="605"/>
      <c r="E101" s="605" t="str">
        <f>LEFT(T_Fordonslista[[#This Row],[REG_NR]],3)</f>
        <v/>
      </c>
      <c r="F101" s="605"/>
      <c r="G101" s="605"/>
      <c r="H101" s="605"/>
      <c r="I101" s="605"/>
      <c r="J101" s="605"/>
      <c r="K101" s="605"/>
      <c r="L101" s="779"/>
      <c r="M101" s="605"/>
      <c r="N101" s="605"/>
      <c r="O101" s="605"/>
      <c r="P101" s="605"/>
      <c r="Q101" s="605"/>
      <c r="R101" s="605"/>
      <c r="S101" s="605"/>
      <c r="T101" s="605"/>
      <c r="U101" s="605"/>
      <c r="V101" s="605"/>
      <c r="W101" s="605"/>
      <c r="X101" s="605"/>
      <c r="Y101" s="605"/>
      <c r="Z101" s="605"/>
      <c r="AA101" s="605"/>
      <c r="AB101" s="605"/>
      <c r="AC101" s="605"/>
      <c r="AD101" s="605"/>
      <c r="AE101" s="605"/>
      <c r="AF101" s="605"/>
      <c r="AG101" s="607"/>
      <c r="AH101" s="605"/>
      <c r="AI101" s="605"/>
      <c r="AJ101" s="605"/>
      <c r="AK101" s="607"/>
      <c r="AL101" s="605"/>
      <c r="AM101" s="605"/>
      <c r="AN101" s="605"/>
      <c r="AO101" s="605"/>
      <c r="AP101" s="607"/>
      <c r="AQ101" s="607"/>
      <c r="AR101" s="607"/>
      <c r="AS101" s="607"/>
      <c r="AT101" s="608"/>
      <c r="AU101" s="608"/>
      <c r="AV101" s="608"/>
      <c r="AW101" s="609"/>
      <c r="AX101" s="594"/>
    </row>
    <row r="102" spans="1:51" x14ac:dyDescent="0.25">
      <c r="A102" s="594"/>
      <c r="B102" t="s">
        <v>467</v>
      </c>
      <c r="C102" s="604"/>
      <c r="D102" s="605"/>
      <c r="E102" s="605" t="str">
        <f>LEFT(T_Fordonslista[[#This Row],[REG_NR]],3)</f>
        <v/>
      </c>
      <c r="F102" s="605"/>
      <c r="G102" s="605"/>
      <c r="H102" s="605"/>
      <c r="I102" s="605"/>
      <c r="J102" s="605"/>
      <c r="K102" s="605"/>
      <c r="L102" s="779"/>
      <c r="M102" s="605"/>
      <c r="N102" s="605"/>
      <c r="O102" s="605"/>
      <c r="P102" s="605"/>
      <c r="Q102" s="605"/>
      <c r="R102" s="605"/>
      <c r="S102" s="605"/>
      <c r="T102" s="605"/>
      <c r="U102" s="605"/>
      <c r="V102" s="605"/>
      <c r="W102" s="605"/>
      <c r="X102" s="605"/>
      <c r="Y102" s="605"/>
      <c r="Z102" s="605"/>
      <c r="AA102" s="605"/>
      <c r="AB102" s="605"/>
      <c r="AC102" s="605"/>
      <c r="AD102" s="605"/>
      <c r="AE102" s="605"/>
      <c r="AF102" s="605"/>
      <c r="AG102" s="607"/>
      <c r="AH102" s="605"/>
      <c r="AI102" s="605"/>
      <c r="AJ102" s="605"/>
      <c r="AK102" s="607"/>
      <c r="AL102" s="605"/>
      <c r="AM102" s="605"/>
      <c r="AN102" s="605"/>
      <c r="AO102" s="605"/>
      <c r="AP102" s="607"/>
      <c r="AQ102" s="607"/>
      <c r="AR102" s="607"/>
      <c r="AS102" s="607"/>
      <c r="AT102" s="608"/>
      <c r="AU102" s="608"/>
      <c r="AV102" s="608"/>
      <c r="AW102" s="609"/>
      <c r="AX102" s="594"/>
    </row>
    <row r="103" spans="1:51" x14ac:dyDescent="0.25">
      <c r="A103" s="594"/>
      <c r="B103" t="s">
        <v>468</v>
      </c>
      <c r="C103" s="604"/>
      <c r="D103" s="605"/>
      <c r="E103" s="605" t="str">
        <f>LEFT(T_Fordonslista[[#This Row],[REG_NR]],3)</f>
        <v/>
      </c>
      <c r="F103" s="605"/>
      <c r="G103" s="605"/>
      <c r="H103" s="605"/>
      <c r="I103" s="605"/>
      <c r="J103" s="605"/>
      <c r="K103" s="605"/>
      <c r="L103" s="779"/>
      <c r="M103" s="605"/>
      <c r="N103" s="605"/>
      <c r="O103" s="605"/>
      <c r="P103" s="605"/>
      <c r="Q103" s="605"/>
      <c r="R103" s="605"/>
      <c r="S103" s="605"/>
      <c r="T103" s="605"/>
      <c r="U103" s="605"/>
      <c r="V103" s="605"/>
      <c r="W103" s="605"/>
      <c r="X103" s="605"/>
      <c r="Y103" s="605"/>
      <c r="Z103" s="605"/>
      <c r="AA103" s="605"/>
      <c r="AB103" s="605"/>
      <c r="AC103" s="605"/>
      <c r="AD103" s="605"/>
      <c r="AE103" s="605"/>
      <c r="AF103" s="605"/>
      <c r="AG103" s="607"/>
      <c r="AH103" s="605"/>
      <c r="AI103" s="605"/>
      <c r="AJ103" s="605"/>
      <c r="AK103" s="607"/>
      <c r="AL103" s="605"/>
      <c r="AM103" s="605"/>
      <c r="AN103" s="605"/>
      <c r="AO103" s="605"/>
      <c r="AP103" s="607"/>
      <c r="AQ103" s="607"/>
      <c r="AR103" s="607"/>
      <c r="AS103" s="607"/>
      <c r="AT103" s="608"/>
      <c r="AU103" s="608"/>
      <c r="AV103" s="608"/>
      <c r="AW103" s="609"/>
      <c r="AX103" s="594"/>
    </row>
    <row r="104" spans="1:51" x14ac:dyDescent="0.25">
      <c r="A104" s="594"/>
      <c r="B104" t="s">
        <v>469</v>
      </c>
      <c r="C104" s="610"/>
      <c r="D104" s="611"/>
      <c r="E104" s="611" t="str">
        <f>LEFT(T_Fordonslista[[#This Row],[REG_NR]],3)</f>
        <v/>
      </c>
      <c r="F104" s="611"/>
      <c r="G104" s="611"/>
      <c r="H104" s="611"/>
      <c r="I104" s="611"/>
      <c r="J104" s="611"/>
      <c r="K104" s="611"/>
      <c r="L104" s="780"/>
      <c r="M104" s="611"/>
      <c r="N104" s="611"/>
      <c r="O104" s="611"/>
      <c r="P104" s="611"/>
      <c r="Q104" s="611"/>
      <c r="R104" s="611"/>
      <c r="S104" s="611"/>
      <c r="T104" s="611"/>
      <c r="U104" s="611"/>
      <c r="V104" s="611"/>
      <c r="W104" s="611"/>
      <c r="X104" s="611"/>
      <c r="Y104" s="611"/>
      <c r="Z104" s="611"/>
      <c r="AA104" s="611"/>
      <c r="AB104" s="611"/>
      <c r="AC104" s="611"/>
      <c r="AD104" s="611"/>
      <c r="AE104" s="611"/>
      <c r="AF104" s="611"/>
      <c r="AG104" s="612"/>
      <c r="AH104" s="611"/>
      <c r="AI104" s="611"/>
      <c r="AJ104" s="611"/>
      <c r="AK104" s="612"/>
      <c r="AL104" s="611"/>
      <c r="AM104" s="611"/>
      <c r="AN104" s="611"/>
      <c r="AO104" s="611"/>
      <c r="AP104" s="612"/>
      <c r="AQ104" s="612"/>
      <c r="AR104" s="612"/>
      <c r="AS104" s="612"/>
      <c r="AT104" s="613"/>
      <c r="AU104" s="613"/>
      <c r="AV104" s="613"/>
      <c r="AW104" s="614"/>
      <c r="AX104" s="594"/>
    </row>
    <row r="105" spans="1:51" x14ac:dyDescent="0.25">
      <c r="A105" s="594"/>
      <c r="B105" s="533"/>
      <c r="C105" s="533"/>
      <c r="D105" s="533"/>
      <c r="E105" s="533"/>
      <c r="F105" s="533"/>
      <c r="G105" s="533"/>
      <c r="H105" s="533"/>
      <c r="I105" s="533"/>
      <c r="J105" s="533"/>
      <c r="K105" s="533"/>
      <c r="L105" s="533"/>
      <c r="M105" s="533"/>
      <c r="N105" s="533"/>
      <c r="O105" s="533"/>
      <c r="P105" s="533"/>
      <c r="Q105" s="533"/>
      <c r="R105" s="533"/>
      <c r="S105" s="533"/>
      <c r="T105" s="533"/>
      <c r="U105" s="533"/>
      <c r="V105" s="533"/>
      <c r="W105" s="533"/>
      <c r="X105" s="533"/>
      <c r="Y105" s="533"/>
      <c r="Z105" s="533"/>
      <c r="AA105" s="533"/>
      <c r="AB105" s="533"/>
      <c r="AC105" s="533"/>
      <c r="AD105" s="533"/>
      <c r="AE105" s="533"/>
      <c r="AF105" s="533"/>
      <c r="AG105" s="533"/>
      <c r="AH105" s="533"/>
      <c r="AI105" s="533"/>
      <c r="AJ105" s="533"/>
      <c r="AK105" s="533"/>
      <c r="AL105" s="533"/>
      <c r="AM105" s="533"/>
      <c r="AN105" s="533"/>
      <c r="AO105" s="533"/>
      <c r="AP105" s="533"/>
      <c r="AQ105" s="533"/>
      <c r="AR105" s="533"/>
      <c r="AS105" s="533"/>
      <c r="AT105" s="533"/>
      <c r="AU105" s="533"/>
      <c r="AV105" s="533"/>
      <c r="AW105" s="533"/>
      <c r="AX105" s="533"/>
      <c r="AY105" s="594"/>
    </row>
    <row r="106" spans="1:51" hidden="1" x14ac:dyDescent="0.25">
      <c r="A106" s="594"/>
    </row>
    <row r="107" spans="1:51" hidden="1" x14ac:dyDescent="0.25">
      <c r="A107" s="594"/>
    </row>
    <row r="108" spans="1:51" hidden="1" x14ac:dyDescent="0.25">
      <c r="A108" s="594"/>
    </row>
    <row r="109" spans="1:51" hidden="1" x14ac:dyDescent="0.25">
      <c r="A109" s="594"/>
    </row>
    <row r="110" spans="1:51" hidden="1" x14ac:dyDescent="0.25">
      <c r="A110" s="594"/>
    </row>
    <row r="111" spans="1:51" hidden="1" x14ac:dyDescent="0.25">
      <c r="A111" s="594"/>
    </row>
    <row r="112" spans="1:51" hidden="1" x14ac:dyDescent="0.25">
      <c r="A112" s="594"/>
    </row>
    <row r="113" spans="1:1" hidden="1" x14ac:dyDescent="0.25">
      <c r="A113" s="594"/>
    </row>
    <row r="114" spans="1:1" hidden="1" x14ac:dyDescent="0.25">
      <c r="A114" s="594"/>
    </row>
    <row r="115" spans="1:1" hidden="1" x14ac:dyDescent="0.25">
      <c r="A115" s="594"/>
    </row>
    <row r="116" spans="1:1" hidden="1" x14ac:dyDescent="0.25">
      <c r="A116" s="594"/>
    </row>
    <row r="117" spans="1:1" hidden="1" x14ac:dyDescent="0.25">
      <c r="A117" s="594"/>
    </row>
    <row r="118" spans="1:1" hidden="1" x14ac:dyDescent="0.25">
      <c r="A118" s="594"/>
    </row>
    <row r="119" spans="1:1" hidden="1" x14ac:dyDescent="0.25">
      <c r="A119" s="594"/>
    </row>
    <row r="120" spans="1:1" hidden="1" x14ac:dyDescent="0.25">
      <c r="A120" s="594"/>
    </row>
    <row r="121" spans="1:1" hidden="1" x14ac:dyDescent="0.25">
      <c r="A121" s="594"/>
    </row>
    <row r="122" spans="1:1" hidden="1" x14ac:dyDescent="0.25">
      <c r="A122" s="594"/>
    </row>
    <row r="123" spans="1:1" hidden="1" x14ac:dyDescent="0.25">
      <c r="A123" s="594"/>
    </row>
    <row r="124" spans="1:1" hidden="1" x14ac:dyDescent="0.25">
      <c r="A124" s="594"/>
    </row>
    <row r="125" spans="1:1" hidden="1" x14ac:dyDescent="0.25">
      <c r="A125" s="594"/>
    </row>
    <row r="126" spans="1:1" hidden="1" x14ac:dyDescent="0.25">
      <c r="A126" s="594"/>
    </row>
    <row r="127" spans="1:1" hidden="1" x14ac:dyDescent="0.25">
      <c r="A127" s="594"/>
    </row>
    <row r="128" spans="1:1" hidden="1" x14ac:dyDescent="0.25">
      <c r="A128" s="594"/>
    </row>
    <row r="129" spans="1:1" hidden="1" x14ac:dyDescent="0.25">
      <c r="A129" s="594"/>
    </row>
    <row r="130" spans="1:1" hidden="1" x14ac:dyDescent="0.25">
      <c r="A130" s="594"/>
    </row>
    <row r="131" spans="1:1" hidden="1" x14ac:dyDescent="0.25">
      <c r="A131" s="594"/>
    </row>
    <row r="132" spans="1:1" hidden="1" x14ac:dyDescent="0.25">
      <c r="A132" s="594"/>
    </row>
    <row r="133" spans="1:1" hidden="1" x14ac:dyDescent="0.25">
      <c r="A133" s="594"/>
    </row>
    <row r="134" spans="1:1" hidden="1" x14ac:dyDescent="0.25">
      <c r="A134" s="594"/>
    </row>
    <row r="135" spans="1:1" hidden="1" x14ac:dyDescent="0.25">
      <c r="A135" s="594"/>
    </row>
    <row r="136" spans="1:1" hidden="1" x14ac:dyDescent="0.25">
      <c r="A136" s="594"/>
    </row>
    <row r="137" spans="1:1" hidden="1" x14ac:dyDescent="0.25">
      <c r="A137" s="594"/>
    </row>
    <row r="138" spans="1:1" hidden="1" x14ac:dyDescent="0.25">
      <c r="A138" s="594"/>
    </row>
    <row r="139" spans="1:1" hidden="1" x14ac:dyDescent="0.25">
      <c r="A139" s="594"/>
    </row>
    <row r="140" spans="1:1" hidden="1" x14ac:dyDescent="0.25">
      <c r="A140" s="594"/>
    </row>
    <row r="141" spans="1:1" hidden="1" x14ac:dyDescent="0.25">
      <c r="A141" s="594"/>
    </row>
    <row r="142" spans="1:1" hidden="1" x14ac:dyDescent="0.25">
      <c r="A142" s="594"/>
    </row>
    <row r="143" spans="1:1" hidden="1" x14ac:dyDescent="0.25">
      <c r="A143" s="594"/>
    </row>
    <row r="144" spans="1:1" hidden="1" x14ac:dyDescent="0.25">
      <c r="A144" s="594"/>
    </row>
    <row r="145" spans="1:1" hidden="1" x14ac:dyDescent="0.25">
      <c r="A145" s="594"/>
    </row>
    <row r="146" spans="1:1" hidden="1" x14ac:dyDescent="0.25">
      <c r="A146" s="594"/>
    </row>
    <row r="147" spans="1:1" hidden="1" x14ac:dyDescent="0.25">
      <c r="A147" s="594"/>
    </row>
    <row r="148" spans="1:1" hidden="1" x14ac:dyDescent="0.25">
      <c r="A148" s="594"/>
    </row>
    <row r="149" spans="1:1" hidden="1" x14ac:dyDescent="0.25">
      <c r="A149" s="594"/>
    </row>
    <row r="150" spans="1:1" hidden="1" x14ac:dyDescent="0.25">
      <c r="A150" s="594"/>
    </row>
    <row r="151" spans="1:1" hidden="1" x14ac:dyDescent="0.25">
      <c r="A151" s="594"/>
    </row>
    <row r="152" spans="1:1" hidden="1" x14ac:dyDescent="0.25">
      <c r="A152" s="594"/>
    </row>
    <row r="153" spans="1:1" hidden="1" x14ac:dyDescent="0.25">
      <c r="A153" s="594"/>
    </row>
    <row r="154" spans="1:1" hidden="1" x14ac:dyDescent="0.25">
      <c r="A154" s="594"/>
    </row>
    <row r="155" spans="1:1" hidden="1" x14ac:dyDescent="0.25">
      <c r="A155" s="594"/>
    </row>
    <row r="156" spans="1:1" hidden="1" x14ac:dyDescent="0.25">
      <c r="A156" s="594"/>
    </row>
    <row r="157" spans="1:1" hidden="1" x14ac:dyDescent="0.25">
      <c r="A157" s="594"/>
    </row>
    <row r="158" spans="1:1" hidden="1" x14ac:dyDescent="0.25">
      <c r="A158" s="594"/>
    </row>
    <row r="159" spans="1:1" hidden="1" x14ac:dyDescent="0.25">
      <c r="A159" s="594"/>
    </row>
    <row r="160" spans="1:1" hidden="1" x14ac:dyDescent="0.25">
      <c r="A160" s="594"/>
    </row>
    <row r="161" spans="1:1" hidden="1" x14ac:dyDescent="0.25">
      <c r="A161" s="594"/>
    </row>
    <row r="162" spans="1:1" hidden="1" x14ac:dyDescent="0.25">
      <c r="A162" s="594"/>
    </row>
    <row r="163" spans="1:1" hidden="1" x14ac:dyDescent="0.25">
      <c r="A163" s="594"/>
    </row>
    <row r="164" spans="1:1" hidden="1" x14ac:dyDescent="0.25">
      <c r="A164" s="594"/>
    </row>
    <row r="165" spans="1:1" hidden="1" x14ac:dyDescent="0.25">
      <c r="A165" s="594"/>
    </row>
    <row r="166" spans="1:1" hidden="1" x14ac:dyDescent="0.25">
      <c r="A166" s="594"/>
    </row>
    <row r="167" spans="1:1" hidden="1" x14ac:dyDescent="0.25">
      <c r="A167" s="594"/>
    </row>
    <row r="168" spans="1:1" hidden="1" x14ac:dyDescent="0.25">
      <c r="A168" s="594"/>
    </row>
    <row r="169" spans="1:1" hidden="1" x14ac:dyDescent="0.25">
      <c r="A169" s="594"/>
    </row>
    <row r="170" spans="1:1" hidden="1" x14ac:dyDescent="0.25">
      <c r="A170" s="594"/>
    </row>
    <row r="171" spans="1:1" hidden="1" x14ac:dyDescent="0.25">
      <c r="A171" s="594"/>
    </row>
    <row r="172" spans="1:1" hidden="1" x14ac:dyDescent="0.25">
      <c r="A172" s="594"/>
    </row>
    <row r="173" spans="1:1" hidden="1" x14ac:dyDescent="0.25">
      <c r="A173" s="594"/>
    </row>
    <row r="174" spans="1:1" hidden="1" x14ac:dyDescent="0.25">
      <c r="A174" s="594"/>
    </row>
    <row r="175" spans="1:1" hidden="1" x14ac:dyDescent="0.25">
      <c r="A175" s="594"/>
    </row>
    <row r="176" spans="1:1" hidden="1" x14ac:dyDescent="0.25">
      <c r="A176" s="594"/>
    </row>
    <row r="177" spans="1:1" hidden="1" x14ac:dyDescent="0.25">
      <c r="A177" s="594"/>
    </row>
    <row r="178" spans="1:1" hidden="1" x14ac:dyDescent="0.25">
      <c r="A178" s="594"/>
    </row>
    <row r="179" spans="1:1" hidden="1" x14ac:dyDescent="0.25">
      <c r="A179" s="594"/>
    </row>
    <row r="180" spans="1:1" hidden="1" x14ac:dyDescent="0.25">
      <c r="A180" s="594"/>
    </row>
    <row r="181" spans="1:1" hidden="1" x14ac:dyDescent="0.25">
      <c r="A181" s="594"/>
    </row>
    <row r="182" spans="1:1" hidden="1" x14ac:dyDescent="0.25">
      <c r="A182" s="594"/>
    </row>
    <row r="183" spans="1:1" hidden="1" x14ac:dyDescent="0.25">
      <c r="A183" s="594"/>
    </row>
    <row r="184" spans="1:1" hidden="1" x14ac:dyDescent="0.25">
      <c r="A184" s="594"/>
    </row>
    <row r="185" spans="1:1" hidden="1" x14ac:dyDescent="0.25">
      <c r="A185" s="594"/>
    </row>
    <row r="186" spans="1:1" hidden="1" x14ac:dyDescent="0.25">
      <c r="A186" s="594"/>
    </row>
    <row r="187" spans="1:1" hidden="1" x14ac:dyDescent="0.25">
      <c r="A187" s="594"/>
    </row>
    <row r="188" spans="1:1" hidden="1" x14ac:dyDescent="0.25">
      <c r="A188" s="594"/>
    </row>
    <row r="189" spans="1:1" hidden="1" x14ac:dyDescent="0.25">
      <c r="A189" s="594"/>
    </row>
    <row r="190" spans="1:1" hidden="1" x14ac:dyDescent="0.25">
      <c r="A190" s="594"/>
    </row>
    <row r="191" spans="1:1" hidden="1" x14ac:dyDescent="0.25">
      <c r="A191" s="594"/>
    </row>
    <row r="192" spans="1:1" hidden="1" x14ac:dyDescent="0.25">
      <c r="A192" s="594"/>
    </row>
    <row r="193" spans="1:1" hidden="1" x14ac:dyDescent="0.25">
      <c r="A193" s="594"/>
    </row>
    <row r="194" spans="1:1" hidden="1" x14ac:dyDescent="0.25">
      <c r="A194" s="594"/>
    </row>
    <row r="195" spans="1:1" hidden="1" x14ac:dyDescent="0.25">
      <c r="A195" s="594"/>
    </row>
    <row r="196" spans="1:1" hidden="1" x14ac:dyDescent="0.25">
      <c r="A196" s="594"/>
    </row>
    <row r="197" spans="1:1" hidden="1" x14ac:dyDescent="0.25">
      <c r="A197" s="594"/>
    </row>
    <row r="198" spans="1:1" hidden="1" x14ac:dyDescent="0.25">
      <c r="A198" s="594"/>
    </row>
    <row r="199" spans="1:1" hidden="1" x14ac:dyDescent="0.25">
      <c r="A199" s="594"/>
    </row>
    <row r="200" spans="1:1" hidden="1" x14ac:dyDescent="0.25">
      <c r="A200" s="594"/>
    </row>
    <row r="201" spans="1:1" hidden="1" x14ac:dyDescent="0.25">
      <c r="A201" s="594"/>
    </row>
    <row r="202" spans="1:1" hidden="1" x14ac:dyDescent="0.25">
      <c r="A202" s="594"/>
    </row>
    <row r="203" spans="1:1" hidden="1" x14ac:dyDescent="0.25">
      <c r="A203" s="594"/>
    </row>
    <row r="204" spans="1:1" hidden="1" x14ac:dyDescent="0.25">
      <c r="A204" s="594"/>
    </row>
    <row r="205" spans="1:1" hidden="1" x14ac:dyDescent="0.25">
      <c r="A205" s="594"/>
    </row>
    <row r="206" spans="1:1" hidden="1" x14ac:dyDescent="0.25">
      <c r="A206" s="594"/>
    </row>
    <row r="207" spans="1:1" hidden="1" x14ac:dyDescent="0.25">
      <c r="A207" s="594"/>
    </row>
    <row r="208" spans="1:1" hidden="1" x14ac:dyDescent="0.25">
      <c r="A208" s="594"/>
    </row>
    <row r="209" spans="1:1" hidden="1" x14ac:dyDescent="0.25">
      <c r="A209" s="594"/>
    </row>
    <row r="210" spans="1:1" hidden="1" x14ac:dyDescent="0.25">
      <c r="A210" s="594"/>
    </row>
    <row r="211" spans="1:1" hidden="1" x14ac:dyDescent="0.25">
      <c r="A211" s="594"/>
    </row>
    <row r="212" spans="1:1" hidden="1" x14ac:dyDescent="0.25">
      <c r="A212" s="594"/>
    </row>
    <row r="213" spans="1:1" hidden="1" x14ac:dyDescent="0.25">
      <c r="A213" s="594"/>
    </row>
    <row r="214" spans="1:1" hidden="1" x14ac:dyDescent="0.25">
      <c r="A214" s="594"/>
    </row>
    <row r="215" spans="1:1" hidden="1" x14ac:dyDescent="0.25">
      <c r="A215" s="594"/>
    </row>
    <row r="216" spans="1:1" hidden="1" x14ac:dyDescent="0.25">
      <c r="A216" s="594"/>
    </row>
    <row r="217" spans="1:1" hidden="1" x14ac:dyDescent="0.25">
      <c r="A217" s="594"/>
    </row>
    <row r="218" spans="1:1" hidden="1" x14ac:dyDescent="0.25">
      <c r="A218" s="594"/>
    </row>
    <row r="219" spans="1:1" hidden="1" x14ac:dyDescent="0.25">
      <c r="A219" s="594"/>
    </row>
    <row r="220" spans="1:1" hidden="1" x14ac:dyDescent="0.25">
      <c r="A220" s="594"/>
    </row>
    <row r="221" spans="1:1" hidden="1" x14ac:dyDescent="0.25">
      <c r="A221" s="594"/>
    </row>
    <row r="222" spans="1:1" hidden="1" x14ac:dyDescent="0.25">
      <c r="A222" s="594"/>
    </row>
    <row r="223" spans="1:1" hidden="1" x14ac:dyDescent="0.25">
      <c r="A223" s="594"/>
    </row>
    <row r="224" spans="1:1" hidden="1" x14ac:dyDescent="0.25">
      <c r="A224" s="594"/>
    </row>
    <row r="225" spans="1:1" hidden="1" x14ac:dyDescent="0.25">
      <c r="A225" s="594"/>
    </row>
    <row r="226" spans="1:1" hidden="1" x14ac:dyDescent="0.25">
      <c r="A226" s="594"/>
    </row>
    <row r="227" spans="1:1" hidden="1" x14ac:dyDescent="0.25">
      <c r="A227" s="594"/>
    </row>
    <row r="228" spans="1:1" hidden="1" x14ac:dyDescent="0.25">
      <c r="A228" s="594"/>
    </row>
    <row r="229" spans="1:1" hidden="1" x14ac:dyDescent="0.25">
      <c r="A229" s="594"/>
    </row>
    <row r="230" spans="1:1" hidden="1" x14ac:dyDescent="0.25">
      <c r="A230" s="594"/>
    </row>
    <row r="231" spans="1:1" hidden="1" x14ac:dyDescent="0.25">
      <c r="A231" s="594"/>
    </row>
    <row r="232" spans="1:1" hidden="1" x14ac:dyDescent="0.25">
      <c r="A232" s="594"/>
    </row>
    <row r="233" spans="1:1" hidden="1" x14ac:dyDescent="0.25">
      <c r="A233" s="594"/>
    </row>
    <row r="234" spans="1:1" hidden="1" x14ac:dyDescent="0.25">
      <c r="A234" s="594"/>
    </row>
    <row r="235" spans="1:1" hidden="1" x14ac:dyDescent="0.25">
      <c r="A235" s="594"/>
    </row>
    <row r="236" spans="1:1" hidden="1" x14ac:dyDescent="0.25">
      <c r="A236" s="594"/>
    </row>
    <row r="237" spans="1:1" hidden="1" x14ac:dyDescent="0.25">
      <c r="A237" s="594"/>
    </row>
    <row r="238" spans="1:1" hidden="1" x14ac:dyDescent="0.25">
      <c r="A238" s="594"/>
    </row>
    <row r="239" spans="1:1" hidden="1" x14ac:dyDescent="0.25">
      <c r="A239" s="594"/>
    </row>
    <row r="240" spans="1:1" hidden="1" x14ac:dyDescent="0.25">
      <c r="A240" s="594"/>
    </row>
    <row r="241" spans="1:1" hidden="1" x14ac:dyDescent="0.25">
      <c r="A241" s="594"/>
    </row>
    <row r="242" spans="1:1" hidden="1" x14ac:dyDescent="0.25">
      <c r="A242" s="594"/>
    </row>
    <row r="243" spans="1:1" hidden="1" x14ac:dyDescent="0.25">
      <c r="A243" s="594"/>
    </row>
    <row r="244" spans="1:1" hidden="1" x14ac:dyDescent="0.25">
      <c r="A244" s="594"/>
    </row>
    <row r="245" spans="1:1" hidden="1" x14ac:dyDescent="0.25">
      <c r="A245" s="594"/>
    </row>
    <row r="246" spans="1:1" hidden="1" x14ac:dyDescent="0.25">
      <c r="A246" s="594"/>
    </row>
    <row r="247" spans="1:1" hidden="1" x14ac:dyDescent="0.25">
      <c r="A247" s="594"/>
    </row>
    <row r="248" spans="1:1" hidden="1" x14ac:dyDescent="0.25">
      <c r="A248" s="594"/>
    </row>
    <row r="249" spans="1:1" hidden="1" x14ac:dyDescent="0.25">
      <c r="A249" s="594"/>
    </row>
    <row r="250" spans="1:1" hidden="1" x14ac:dyDescent="0.25">
      <c r="A250" s="594"/>
    </row>
    <row r="251" spans="1:1" hidden="1" x14ac:dyDescent="0.25">
      <c r="A251" s="594"/>
    </row>
    <row r="252" spans="1:1" hidden="1" x14ac:dyDescent="0.25">
      <c r="A252" s="594"/>
    </row>
    <row r="253" spans="1:1" hidden="1" x14ac:dyDescent="0.25">
      <c r="A253" s="594"/>
    </row>
    <row r="254" spans="1:1" hidden="1" x14ac:dyDescent="0.25">
      <c r="A254" s="594"/>
    </row>
    <row r="255" spans="1:1" hidden="1" x14ac:dyDescent="0.25">
      <c r="A255" s="594"/>
    </row>
    <row r="256" spans="1:1" hidden="1" x14ac:dyDescent="0.25">
      <c r="A256" s="594"/>
    </row>
    <row r="257" spans="1:1" hidden="1" x14ac:dyDescent="0.25">
      <c r="A257" s="594"/>
    </row>
    <row r="258" spans="1:1" hidden="1" x14ac:dyDescent="0.25">
      <c r="A258" s="594"/>
    </row>
    <row r="259" spans="1:1" hidden="1" x14ac:dyDescent="0.25">
      <c r="A259" s="594"/>
    </row>
    <row r="260" spans="1:1" hidden="1" x14ac:dyDescent="0.25">
      <c r="A260" s="594"/>
    </row>
    <row r="261" spans="1:1" hidden="1" x14ac:dyDescent="0.25">
      <c r="A261" s="594"/>
    </row>
    <row r="262" spans="1:1" hidden="1" x14ac:dyDescent="0.25">
      <c r="A262" s="594"/>
    </row>
    <row r="263" spans="1:1" hidden="1" x14ac:dyDescent="0.25">
      <c r="A263" s="594"/>
    </row>
    <row r="264" spans="1:1" hidden="1" x14ac:dyDescent="0.25">
      <c r="A264" s="594"/>
    </row>
    <row r="265" spans="1:1" hidden="1" x14ac:dyDescent="0.25">
      <c r="A265" s="594"/>
    </row>
    <row r="266" spans="1:1" hidden="1" x14ac:dyDescent="0.25">
      <c r="A266" s="594"/>
    </row>
    <row r="267" spans="1:1" hidden="1" x14ac:dyDescent="0.25">
      <c r="A267" s="594"/>
    </row>
    <row r="268" spans="1:1" hidden="1" x14ac:dyDescent="0.25">
      <c r="A268" s="594"/>
    </row>
    <row r="269" spans="1:1" hidden="1" x14ac:dyDescent="0.25">
      <c r="A269" s="594"/>
    </row>
    <row r="270" spans="1:1" hidden="1" x14ac:dyDescent="0.25">
      <c r="A270" s="594"/>
    </row>
    <row r="271" spans="1:1" hidden="1" x14ac:dyDescent="0.25">
      <c r="A271" s="594"/>
    </row>
    <row r="272" spans="1:1" hidden="1" x14ac:dyDescent="0.25">
      <c r="A272" s="594"/>
    </row>
    <row r="273" spans="1:1" hidden="1" x14ac:dyDescent="0.25">
      <c r="A273" s="594"/>
    </row>
    <row r="274" spans="1:1" hidden="1" x14ac:dyDescent="0.25">
      <c r="A274" s="594"/>
    </row>
    <row r="275" spans="1:1" hidden="1" x14ac:dyDescent="0.25">
      <c r="A275" s="594"/>
    </row>
    <row r="276" spans="1:1" hidden="1" x14ac:dyDescent="0.25">
      <c r="A276" s="594"/>
    </row>
    <row r="277" spans="1:1" hidden="1" x14ac:dyDescent="0.25">
      <c r="A277" s="594"/>
    </row>
    <row r="278" spans="1:1" hidden="1" x14ac:dyDescent="0.25">
      <c r="A278" s="594"/>
    </row>
    <row r="279" spans="1:1" hidden="1" x14ac:dyDescent="0.25">
      <c r="A279" s="594"/>
    </row>
    <row r="280" spans="1:1" hidden="1" x14ac:dyDescent="0.25">
      <c r="A280" s="594"/>
    </row>
    <row r="281" spans="1:1" hidden="1" x14ac:dyDescent="0.25">
      <c r="A281" s="594"/>
    </row>
    <row r="282" spans="1:1" hidden="1" x14ac:dyDescent="0.25">
      <c r="A282" s="594"/>
    </row>
    <row r="283" spans="1:1" hidden="1" x14ac:dyDescent="0.25">
      <c r="A283" s="594"/>
    </row>
    <row r="284" spans="1:1" hidden="1" x14ac:dyDescent="0.25">
      <c r="A284" s="594"/>
    </row>
    <row r="285" spans="1:1" hidden="1" x14ac:dyDescent="0.25">
      <c r="A285" s="594"/>
    </row>
    <row r="286" spans="1:1" hidden="1" x14ac:dyDescent="0.25">
      <c r="A286" s="594"/>
    </row>
    <row r="287" spans="1:1" hidden="1" x14ac:dyDescent="0.25">
      <c r="A287" s="594"/>
    </row>
    <row r="288" spans="1:1" hidden="1" x14ac:dyDescent="0.25">
      <c r="A288" s="594"/>
    </row>
    <row r="289" spans="1:1" hidden="1" x14ac:dyDescent="0.25">
      <c r="A289" s="594"/>
    </row>
    <row r="290" spans="1:1" hidden="1" x14ac:dyDescent="0.25">
      <c r="A290" s="594"/>
    </row>
    <row r="291" spans="1:1" hidden="1" x14ac:dyDescent="0.25">
      <c r="A291" s="594"/>
    </row>
    <row r="292" spans="1:1" hidden="1" x14ac:dyDescent="0.25">
      <c r="A292" s="594"/>
    </row>
    <row r="293" spans="1:1" hidden="1" x14ac:dyDescent="0.25">
      <c r="A293" s="594"/>
    </row>
    <row r="294" spans="1:1" hidden="1" x14ac:dyDescent="0.25">
      <c r="A294" s="594"/>
    </row>
    <row r="295" spans="1:1" hidden="1" x14ac:dyDescent="0.25">
      <c r="A295" s="594"/>
    </row>
    <row r="296" spans="1:1" hidden="1" x14ac:dyDescent="0.25">
      <c r="A296" s="594"/>
    </row>
    <row r="297" spans="1:1" hidden="1" x14ac:dyDescent="0.25">
      <c r="A297" s="594"/>
    </row>
    <row r="298" spans="1:1" hidden="1" x14ac:dyDescent="0.25">
      <c r="A298" s="594"/>
    </row>
    <row r="299" spans="1:1" hidden="1" x14ac:dyDescent="0.25">
      <c r="A299" s="594"/>
    </row>
    <row r="300" spans="1:1" hidden="1" x14ac:dyDescent="0.25">
      <c r="A300" s="594"/>
    </row>
    <row r="301" spans="1:1" hidden="1" x14ac:dyDescent="0.25">
      <c r="A301" s="594"/>
    </row>
    <row r="302" spans="1:1" hidden="1" x14ac:dyDescent="0.25">
      <c r="A302" s="594"/>
    </row>
    <row r="303" spans="1:1" hidden="1" x14ac:dyDescent="0.25">
      <c r="A303" s="594"/>
    </row>
    <row r="304" spans="1:1" hidden="1" x14ac:dyDescent="0.25">
      <c r="A304" s="594"/>
    </row>
    <row r="305" spans="1:1" hidden="1" x14ac:dyDescent="0.25">
      <c r="A305" s="594"/>
    </row>
    <row r="306" spans="1:1" hidden="1" x14ac:dyDescent="0.25">
      <c r="A306" s="594"/>
    </row>
    <row r="307" spans="1:1" hidden="1" x14ac:dyDescent="0.25">
      <c r="A307" s="594"/>
    </row>
    <row r="308" spans="1:1" hidden="1" x14ac:dyDescent="0.25">
      <c r="A308" s="594"/>
    </row>
    <row r="309" spans="1:1" hidden="1" x14ac:dyDescent="0.25">
      <c r="A309" s="594"/>
    </row>
    <row r="310" spans="1:1" hidden="1" x14ac:dyDescent="0.25">
      <c r="A310" s="594"/>
    </row>
    <row r="311" spans="1:1" hidden="1" x14ac:dyDescent="0.25">
      <c r="A311" s="594"/>
    </row>
    <row r="312" spans="1:1" hidden="1" x14ac:dyDescent="0.25">
      <c r="A312" s="594"/>
    </row>
    <row r="313" spans="1:1" hidden="1" x14ac:dyDescent="0.25">
      <c r="A313" s="594"/>
    </row>
    <row r="314" spans="1:1" hidden="1" x14ac:dyDescent="0.25">
      <c r="A314" s="594"/>
    </row>
    <row r="315" spans="1:1" hidden="1" x14ac:dyDescent="0.25">
      <c r="A315" s="594"/>
    </row>
    <row r="316" spans="1:1" hidden="1" x14ac:dyDescent="0.25">
      <c r="A316" s="594"/>
    </row>
    <row r="317" spans="1:1" hidden="1" x14ac:dyDescent="0.25">
      <c r="A317" s="594"/>
    </row>
    <row r="318" spans="1:1" hidden="1" x14ac:dyDescent="0.25">
      <c r="A318" s="594"/>
    </row>
    <row r="319" spans="1:1" hidden="1" x14ac:dyDescent="0.25">
      <c r="A319" s="594"/>
    </row>
    <row r="320" spans="1:1" hidden="1" x14ac:dyDescent="0.25">
      <c r="A320" s="594"/>
    </row>
    <row r="321" spans="1:1" hidden="1" x14ac:dyDescent="0.25">
      <c r="A321" s="594"/>
    </row>
    <row r="322" spans="1:1" hidden="1" x14ac:dyDescent="0.25">
      <c r="A322" s="594"/>
    </row>
    <row r="323" spans="1:1" hidden="1" x14ac:dyDescent="0.25">
      <c r="A323" s="594"/>
    </row>
    <row r="324" spans="1:1" hidden="1" x14ac:dyDescent="0.25">
      <c r="A324" s="594"/>
    </row>
    <row r="325" spans="1:1" hidden="1" x14ac:dyDescent="0.25">
      <c r="A325" s="594"/>
    </row>
    <row r="326" spans="1:1" hidden="1" x14ac:dyDescent="0.25">
      <c r="A326" s="594"/>
    </row>
    <row r="327" spans="1:1" hidden="1" x14ac:dyDescent="0.25">
      <c r="A327" s="594"/>
    </row>
    <row r="328" spans="1:1" hidden="1" x14ac:dyDescent="0.25">
      <c r="A328" s="594"/>
    </row>
    <row r="329" spans="1:1" hidden="1" x14ac:dyDescent="0.25">
      <c r="A329" s="594"/>
    </row>
    <row r="330" spans="1:1" hidden="1" x14ac:dyDescent="0.25">
      <c r="A330" s="594"/>
    </row>
    <row r="331" spans="1:1" hidden="1" x14ac:dyDescent="0.25">
      <c r="A331" s="594"/>
    </row>
    <row r="332" spans="1:1" hidden="1" x14ac:dyDescent="0.25">
      <c r="A332" s="594"/>
    </row>
    <row r="333" spans="1:1" hidden="1" x14ac:dyDescent="0.25">
      <c r="A333" s="594"/>
    </row>
    <row r="334" spans="1:1" hidden="1" x14ac:dyDescent="0.25">
      <c r="A334" s="594"/>
    </row>
    <row r="335" spans="1:1" hidden="1" x14ac:dyDescent="0.25">
      <c r="A335" s="594"/>
    </row>
    <row r="336" spans="1:1" hidden="1" x14ac:dyDescent="0.25">
      <c r="A336" s="594"/>
    </row>
    <row r="337" spans="1:1" hidden="1" x14ac:dyDescent="0.25">
      <c r="A337" s="594"/>
    </row>
    <row r="338" spans="1:1" hidden="1" x14ac:dyDescent="0.25">
      <c r="A338" s="594"/>
    </row>
    <row r="339" spans="1:1" hidden="1" x14ac:dyDescent="0.25">
      <c r="A339" s="594"/>
    </row>
    <row r="340" spans="1:1" hidden="1" x14ac:dyDescent="0.25">
      <c r="A340" s="594"/>
    </row>
    <row r="341" spans="1:1" hidden="1" x14ac:dyDescent="0.25">
      <c r="A341" s="594"/>
    </row>
    <row r="342" spans="1:1" hidden="1" x14ac:dyDescent="0.25">
      <c r="A342" s="594"/>
    </row>
    <row r="343" spans="1:1" hidden="1" x14ac:dyDescent="0.25">
      <c r="A343" s="594"/>
    </row>
    <row r="344" spans="1:1" hidden="1" x14ac:dyDescent="0.25">
      <c r="A344" s="594"/>
    </row>
    <row r="345" spans="1:1" hidden="1" x14ac:dyDescent="0.25">
      <c r="A345" s="594"/>
    </row>
    <row r="346" spans="1:1" hidden="1" x14ac:dyDescent="0.25">
      <c r="A346" s="594"/>
    </row>
    <row r="347" spans="1:1" hidden="1" x14ac:dyDescent="0.25">
      <c r="A347" s="594"/>
    </row>
    <row r="348" spans="1:1" hidden="1" x14ac:dyDescent="0.25">
      <c r="A348" s="594"/>
    </row>
    <row r="349" spans="1:1" hidden="1" x14ac:dyDescent="0.25">
      <c r="A349" s="594"/>
    </row>
    <row r="350" spans="1:1" hidden="1" x14ac:dyDescent="0.25">
      <c r="A350" s="594"/>
    </row>
    <row r="351" spans="1:1" hidden="1" x14ac:dyDescent="0.25">
      <c r="A351" s="594"/>
    </row>
    <row r="352" spans="1:1" hidden="1" x14ac:dyDescent="0.25">
      <c r="A352" s="594"/>
    </row>
    <row r="353" spans="1:1" hidden="1" x14ac:dyDescent="0.25">
      <c r="A353" s="594"/>
    </row>
    <row r="354" spans="1:1" hidden="1" x14ac:dyDescent="0.25">
      <c r="A354" s="594"/>
    </row>
    <row r="355" spans="1:1" hidden="1" x14ac:dyDescent="0.25">
      <c r="A355" s="594"/>
    </row>
    <row r="356" spans="1:1" hidden="1" x14ac:dyDescent="0.25">
      <c r="A356" s="594"/>
    </row>
    <row r="357" spans="1:1" hidden="1" x14ac:dyDescent="0.25">
      <c r="A357" s="594"/>
    </row>
    <row r="358" spans="1:1" hidden="1" x14ac:dyDescent="0.25">
      <c r="A358" s="594"/>
    </row>
    <row r="359" spans="1:1" hidden="1" x14ac:dyDescent="0.25">
      <c r="A359" s="594"/>
    </row>
    <row r="360" spans="1:1" hidden="1" x14ac:dyDescent="0.25">
      <c r="A360" s="594"/>
    </row>
    <row r="361" spans="1:1" hidden="1" x14ac:dyDescent="0.25">
      <c r="A361" s="594"/>
    </row>
    <row r="362" spans="1:1" hidden="1" x14ac:dyDescent="0.25">
      <c r="A362" s="594"/>
    </row>
    <row r="363" spans="1:1" hidden="1" x14ac:dyDescent="0.25">
      <c r="A363" s="594"/>
    </row>
    <row r="364" spans="1:1" hidden="1" x14ac:dyDescent="0.25">
      <c r="A364" s="594"/>
    </row>
    <row r="365" spans="1:1" hidden="1" x14ac:dyDescent="0.25">
      <c r="A365" s="594"/>
    </row>
    <row r="366" spans="1:1" hidden="1" x14ac:dyDescent="0.25">
      <c r="A366" s="594"/>
    </row>
    <row r="367" spans="1:1" hidden="1" x14ac:dyDescent="0.25">
      <c r="A367" s="594"/>
    </row>
    <row r="368" spans="1:1" hidden="1" x14ac:dyDescent="0.25">
      <c r="A368" s="594"/>
    </row>
    <row r="369" spans="1:1" hidden="1" x14ac:dyDescent="0.25">
      <c r="A369" s="594"/>
    </row>
    <row r="370" spans="1:1" hidden="1" x14ac:dyDescent="0.25">
      <c r="A370" s="594"/>
    </row>
    <row r="371" spans="1:1" hidden="1" x14ac:dyDescent="0.25">
      <c r="A371" s="594"/>
    </row>
    <row r="372" spans="1:1" hidden="1" x14ac:dyDescent="0.25">
      <c r="A372" s="594"/>
    </row>
    <row r="373" spans="1:1" hidden="1" x14ac:dyDescent="0.25">
      <c r="A373" s="594"/>
    </row>
    <row r="374" spans="1:1" hidden="1" x14ac:dyDescent="0.25">
      <c r="A374" s="594"/>
    </row>
    <row r="375" spans="1:1" hidden="1" x14ac:dyDescent="0.25">
      <c r="A375" s="594"/>
    </row>
    <row r="376" spans="1:1" hidden="1" x14ac:dyDescent="0.25">
      <c r="A376" s="594"/>
    </row>
    <row r="377" spans="1:1" hidden="1" x14ac:dyDescent="0.25">
      <c r="A377" s="594"/>
    </row>
    <row r="378" spans="1:1" hidden="1" x14ac:dyDescent="0.25">
      <c r="A378" s="594"/>
    </row>
    <row r="379" spans="1:1" hidden="1" x14ac:dyDescent="0.25">
      <c r="A379" s="594"/>
    </row>
    <row r="380" spans="1:1" hidden="1" x14ac:dyDescent="0.25">
      <c r="A380" s="594"/>
    </row>
    <row r="381" spans="1:1" hidden="1" x14ac:dyDescent="0.25">
      <c r="A381" s="594"/>
    </row>
    <row r="382" spans="1:1" hidden="1" x14ac:dyDescent="0.25">
      <c r="A382" s="594"/>
    </row>
    <row r="383" spans="1:1" hidden="1" x14ac:dyDescent="0.25">
      <c r="A383" s="594"/>
    </row>
    <row r="384" spans="1:1" hidden="1" x14ac:dyDescent="0.25">
      <c r="A384" s="594"/>
    </row>
    <row r="385" spans="1:1" hidden="1" x14ac:dyDescent="0.25">
      <c r="A385" s="594"/>
    </row>
    <row r="386" spans="1:1" hidden="1" x14ac:dyDescent="0.25">
      <c r="A386" s="594"/>
    </row>
    <row r="387" spans="1:1" hidden="1" x14ac:dyDescent="0.25">
      <c r="A387" s="594"/>
    </row>
    <row r="388" spans="1:1" hidden="1" x14ac:dyDescent="0.25">
      <c r="A388" s="594"/>
    </row>
    <row r="389" spans="1:1" hidden="1" x14ac:dyDescent="0.25">
      <c r="A389" s="594"/>
    </row>
    <row r="390" spans="1:1" hidden="1" x14ac:dyDescent="0.25">
      <c r="A390" s="594"/>
    </row>
    <row r="391" spans="1:1" hidden="1" x14ac:dyDescent="0.25">
      <c r="A391" s="594"/>
    </row>
    <row r="392" spans="1:1" hidden="1" x14ac:dyDescent="0.25">
      <c r="A392" s="594"/>
    </row>
    <row r="393" spans="1:1" hidden="1" x14ac:dyDescent="0.25">
      <c r="A393" s="594"/>
    </row>
    <row r="394" spans="1:1" hidden="1" x14ac:dyDescent="0.25">
      <c r="A394" s="594"/>
    </row>
    <row r="395" spans="1:1" hidden="1" x14ac:dyDescent="0.25">
      <c r="A395" s="594"/>
    </row>
    <row r="396" spans="1:1" hidden="1" x14ac:dyDescent="0.25">
      <c r="A396" s="594"/>
    </row>
    <row r="397" spans="1:1" hidden="1" x14ac:dyDescent="0.25">
      <c r="A397" s="594"/>
    </row>
    <row r="398" spans="1:1" hidden="1" x14ac:dyDescent="0.25">
      <c r="A398" s="594"/>
    </row>
    <row r="399" spans="1:1" hidden="1" x14ac:dyDescent="0.25">
      <c r="A399" s="594"/>
    </row>
    <row r="400" spans="1:1" hidden="1" x14ac:dyDescent="0.25">
      <c r="A400" s="594"/>
    </row>
    <row r="401" spans="1:1" hidden="1" x14ac:dyDescent="0.25">
      <c r="A401" s="594"/>
    </row>
    <row r="402" spans="1:1" hidden="1" x14ac:dyDescent="0.25">
      <c r="A402" s="594"/>
    </row>
    <row r="403" spans="1:1" hidden="1" x14ac:dyDescent="0.25">
      <c r="A403" s="594"/>
    </row>
    <row r="404" spans="1:1" hidden="1" x14ac:dyDescent="0.25">
      <c r="A404" s="594"/>
    </row>
    <row r="405" spans="1:1" hidden="1" x14ac:dyDescent="0.25">
      <c r="A405" s="594"/>
    </row>
    <row r="406" spans="1:1" hidden="1" x14ac:dyDescent="0.25">
      <c r="A406" s="594"/>
    </row>
    <row r="407" spans="1:1" hidden="1" x14ac:dyDescent="0.25">
      <c r="A407" s="594"/>
    </row>
    <row r="408" spans="1:1" hidden="1" x14ac:dyDescent="0.25">
      <c r="A408" s="594"/>
    </row>
    <row r="409" spans="1:1" hidden="1" x14ac:dyDescent="0.25">
      <c r="A409" s="594"/>
    </row>
    <row r="410" spans="1:1" hidden="1" x14ac:dyDescent="0.25">
      <c r="A410" s="594"/>
    </row>
    <row r="411" spans="1:1" hidden="1" x14ac:dyDescent="0.25">
      <c r="A411" s="594"/>
    </row>
    <row r="412" spans="1:1" hidden="1" x14ac:dyDescent="0.25">
      <c r="A412" s="594"/>
    </row>
    <row r="413" spans="1:1" hidden="1" x14ac:dyDescent="0.25">
      <c r="A413" s="594"/>
    </row>
    <row r="414" spans="1:1" hidden="1" x14ac:dyDescent="0.25">
      <c r="A414" s="594"/>
    </row>
    <row r="415" spans="1:1" hidden="1" x14ac:dyDescent="0.25">
      <c r="A415" s="594"/>
    </row>
    <row r="416" spans="1:1" hidden="1" x14ac:dyDescent="0.25">
      <c r="A416" s="594"/>
    </row>
    <row r="417" spans="1:1" hidden="1" x14ac:dyDescent="0.25">
      <c r="A417" s="594"/>
    </row>
    <row r="418" spans="1:1" hidden="1" x14ac:dyDescent="0.25">
      <c r="A418" s="594"/>
    </row>
    <row r="419" spans="1:1" hidden="1" x14ac:dyDescent="0.25">
      <c r="A419" s="594"/>
    </row>
    <row r="420" spans="1:1" hidden="1" x14ac:dyDescent="0.25">
      <c r="A420" s="594"/>
    </row>
    <row r="421" spans="1:1" hidden="1" x14ac:dyDescent="0.25">
      <c r="A421" s="594"/>
    </row>
    <row r="422" spans="1:1" hidden="1" x14ac:dyDescent="0.25">
      <c r="A422" s="594"/>
    </row>
    <row r="423" spans="1:1" hidden="1" x14ac:dyDescent="0.25">
      <c r="A423" s="594"/>
    </row>
    <row r="424" spans="1:1" hidden="1" x14ac:dyDescent="0.25">
      <c r="A424" s="594"/>
    </row>
    <row r="425" spans="1:1" hidden="1" x14ac:dyDescent="0.25">
      <c r="A425" s="594"/>
    </row>
    <row r="426" spans="1:1" hidden="1" x14ac:dyDescent="0.25">
      <c r="A426" s="594"/>
    </row>
    <row r="427" spans="1:1" hidden="1" x14ac:dyDescent="0.25">
      <c r="A427" s="594"/>
    </row>
    <row r="428" spans="1:1" hidden="1" x14ac:dyDescent="0.25">
      <c r="A428" s="594"/>
    </row>
    <row r="429" spans="1:1" hidden="1" x14ac:dyDescent="0.25">
      <c r="A429" s="594"/>
    </row>
    <row r="430" spans="1:1" hidden="1" x14ac:dyDescent="0.25">
      <c r="A430" s="594"/>
    </row>
    <row r="431" spans="1:1" hidden="1" x14ac:dyDescent="0.25">
      <c r="A431" s="594"/>
    </row>
    <row r="432" spans="1:1" hidden="1" x14ac:dyDescent="0.25">
      <c r="A432" s="594"/>
    </row>
    <row r="433" spans="1:1" hidden="1" x14ac:dyDescent="0.25">
      <c r="A433" s="594"/>
    </row>
    <row r="434" spans="1:1" hidden="1" x14ac:dyDescent="0.25">
      <c r="A434" s="594"/>
    </row>
    <row r="435" spans="1:1" hidden="1" x14ac:dyDescent="0.25">
      <c r="A435" s="594"/>
    </row>
    <row r="436" spans="1:1" hidden="1" x14ac:dyDescent="0.25">
      <c r="A436" s="594"/>
    </row>
    <row r="437" spans="1:1" hidden="1" x14ac:dyDescent="0.25">
      <c r="A437" s="594"/>
    </row>
    <row r="438" spans="1:1" hidden="1" x14ac:dyDescent="0.25">
      <c r="A438" s="594"/>
    </row>
    <row r="439" spans="1:1" hidden="1" x14ac:dyDescent="0.25">
      <c r="A439" s="594"/>
    </row>
    <row r="440" spans="1:1" hidden="1" x14ac:dyDescent="0.25">
      <c r="A440" s="594"/>
    </row>
    <row r="441" spans="1:1" hidden="1" x14ac:dyDescent="0.25">
      <c r="A441" s="594"/>
    </row>
    <row r="442" spans="1:1" hidden="1" x14ac:dyDescent="0.25">
      <c r="A442" s="594"/>
    </row>
    <row r="443" spans="1:1" hidden="1" x14ac:dyDescent="0.25">
      <c r="A443" s="594"/>
    </row>
    <row r="444" spans="1:1" hidden="1" x14ac:dyDescent="0.25">
      <c r="A444" s="594"/>
    </row>
    <row r="445" spans="1:1" hidden="1" x14ac:dyDescent="0.25">
      <c r="A445" s="594"/>
    </row>
    <row r="446" spans="1:1" hidden="1" x14ac:dyDescent="0.25">
      <c r="A446" s="594"/>
    </row>
    <row r="447" spans="1:1" hidden="1" x14ac:dyDescent="0.25">
      <c r="A447" s="594"/>
    </row>
    <row r="448" spans="1:1" hidden="1" x14ac:dyDescent="0.25">
      <c r="A448" s="594"/>
    </row>
    <row r="449" spans="1:1" hidden="1" x14ac:dyDescent="0.25">
      <c r="A449" s="594"/>
    </row>
    <row r="450" spans="1:1" hidden="1" x14ac:dyDescent="0.25">
      <c r="A450" s="594"/>
    </row>
    <row r="451" spans="1:1" hidden="1" x14ac:dyDescent="0.25">
      <c r="A451" s="594"/>
    </row>
    <row r="452" spans="1:1" hidden="1" x14ac:dyDescent="0.25">
      <c r="A452" s="594"/>
    </row>
    <row r="453" spans="1:1" hidden="1" x14ac:dyDescent="0.25">
      <c r="A453" s="594"/>
    </row>
    <row r="454" spans="1:1" hidden="1" x14ac:dyDescent="0.25">
      <c r="A454" s="594"/>
    </row>
    <row r="455" spans="1:1" hidden="1" x14ac:dyDescent="0.25">
      <c r="A455" s="594"/>
    </row>
    <row r="456" spans="1:1" hidden="1" x14ac:dyDescent="0.25">
      <c r="A456" s="594"/>
    </row>
    <row r="457" spans="1:1" hidden="1" x14ac:dyDescent="0.25">
      <c r="A457" s="594"/>
    </row>
    <row r="458" spans="1:1" hidden="1" x14ac:dyDescent="0.25">
      <c r="A458" s="594"/>
    </row>
    <row r="459" spans="1:1" hidden="1" x14ac:dyDescent="0.25">
      <c r="A459" s="594"/>
    </row>
    <row r="460" spans="1:1" hidden="1" x14ac:dyDescent="0.25">
      <c r="A460" s="594"/>
    </row>
    <row r="461" spans="1:1" hidden="1" x14ac:dyDescent="0.25">
      <c r="A461" s="594"/>
    </row>
    <row r="462" spans="1:1" hidden="1" x14ac:dyDescent="0.25">
      <c r="A462" s="594"/>
    </row>
    <row r="463" spans="1:1" hidden="1" x14ac:dyDescent="0.25">
      <c r="A463" s="594"/>
    </row>
    <row r="464" spans="1:1" hidden="1" x14ac:dyDescent="0.25">
      <c r="A464" s="594"/>
    </row>
    <row r="465" spans="1:1" hidden="1" x14ac:dyDescent="0.25">
      <c r="A465" s="594"/>
    </row>
    <row r="466" spans="1:1" hidden="1" x14ac:dyDescent="0.25">
      <c r="A466" s="594"/>
    </row>
    <row r="467" spans="1:1" hidden="1" x14ac:dyDescent="0.25">
      <c r="A467" s="594"/>
    </row>
    <row r="468" spans="1:1" hidden="1" x14ac:dyDescent="0.25">
      <c r="A468" s="594"/>
    </row>
    <row r="469" spans="1:1" hidden="1" x14ac:dyDescent="0.25">
      <c r="A469" s="594"/>
    </row>
    <row r="470" spans="1:1" hidden="1" x14ac:dyDescent="0.25">
      <c r="A470" s="594"/>
    </row>
    <row r="471" spans="1:1" hidden="1" x14ac:dyDescent="0.25">
      <c r="A471" s="594"/>
    </row>
    <row r="472" spans="1:1" hidden="1" x14ac:dyDescent="0.25">
      <c r="A472" s="594"/>
    </row>
    <row r="473" spans="1:1" hidden="1" x14ac:dyDescent="0.25">
      <c r="A473" s="594"/>
    </row>
    <row r="474" spans="1:1" hidden="1" x14ac:dyDescent="0.25">
      <c r="A474" s="594"/>
    </row>
    <row r="475" spans="1:1" hidden="1" x14ac:dyDescent="0.25">
      <c r="A475" s="594"/>
    </row>
    <row r="476" spans="1:1" hidden="1" x14ac:dyDescent="0.25">
      <c r="A476" s="594"/>
    </row>
    <row r="477" spans="1:1" hidden="1" x14ac:dyDescent="0.25">
      <c r="A477" s="594"/>
    </row>
    <row r="478" spans="1:1" hidden="1" x14ac:dyDescent="0.25">
      <c r="A478" s="594"/>
    </row>
    <row r="479" spans="1:1" hidden="1" x14ac:dyDescent="0.25">
      <c r="A479" s="594"/>
    </row>
    <row r="480" spans="1:1" hidden="1" x14ac:dyDescent="0.25">
      <c r="A480" s="594"/>
    </row>
    <row r="481" spans="1:1" hidden="1" x14ac:dyDescent="0.25">
      <c r="A481" s="594"/>
    </row>
    <row r="482" spans="1:1" hidden="1" x14ac:dyDescent="0.25">
      <c r="A482" s="594"/>
    </row>
    <row r="483" spans="1:1" hidden="1" x14ac:dyDescent="0.25">
      <c r="A483" s="594"/>
    </row>
    <row r="484" spans="1:1" hidden="1" x14ac:dyDescent="0.25">
      <c r="A484" s="594"/>
    </row>
    <row r="485" spans="1:1" hidden="1" x14ac:dyDescent="0.25">
      <c r="A485" s="594"/>
    </row>
    <row r="486" spans="1:1" hidden="1" x14ac:dyDescent="0.25">
      <c r="A486" s="594"/>
    </row>
    <row r="487" spans="1:1" hidden="1" x14ac:dyDescent="0.25">
      <c r="A487" s="594"/>
    </row>
    <row r="488" spans="1:1" hidden="1" x14ac:dyDescent="0.25">
      <c r="A488" s="594"/>
    </row>
    <row r="489" spans="1:1" hidden="1" x14ac:dyDescent="0.25">
      <c r="A489" s="594"/>
    </row>
    <row r="490" spans="1:1" hidden="1" x14ac:dyDescent="0.25">
      <c r="A490" s="594"/>
    </row>
    <row r="491" spans="1:1" hidden="1" x14ac:dyDescent="0.25">
      <c r="A491" s="594"/>
    </row>
    <row r="492" spans="1:1" hidden="1" x14ac:dyDescent="0.25">
      <c r="A492" s="594"/>
    </row>
    <row r="493" spans="1:1" hidden="1" x14ac:dyDescent="0.25">
      <c r="A493" s="594"/>
    </row>
    <row r="494" spans="1:1" hidden="1" x14ac:dyDescent="0.25">
      <c r="A494" s="594"/>
    </row>
    <row r="495" spans="1:1" hidden="1" x14ac:dyDescent="0.25">
      <c r="A495" s="594"/>
    </row>
    <row r="496" spans="1:1" hidden="1" x14ac:dyDescent="0.25">
      <c r="A496" s="594"/>
    </row>
    <row r="497" spans="1:1" hidden="1" x14ac:dyDescent="0.25">
      <c r="A497" s="594"/>
    </row>
    <row r="498" spans="1:1" hidden="1" x14ac:dyDescent="0.25">
      <c r="A498" s="594"/>
    </row>
    <row r="499" spans="1:1" hidden="1" x14ac:dyDescent="0.25">
      <c r="A499" s="594"/>
    </row>
    <row r="500" spans="1:1" hidden="1" x14ac:dyDescent="0.25">
      <c r="A500" s="594"/>
    </row>
    <row r="501" spans="1:1" hidden="1" x14ac:dyDescent="0.25">
      <c r="A501" s="594"/>
    </row>
    <row r="502" spans="1:1" hidden="1" x14ac:dyDescent="0.25">
      <c r="A502" s="594"/>
    </row>
    <row r="503" spans="1:1" hidden="1" x14ac:dyDescent="0.25">
      <c r="A503" s="594"/>
    </row>
    <row r="504" spans="1:1" hidden="1" x14ac:dyDescent="0.25">
      <c r="A504" s="594"/>
    </row>
    <row r="505" spans="1:1" hidden="1" x14ac:dyDescent="0.25">
      <c r="A505" s="594"/>
    </row>
    <row r="506" spans="1:1" hidden="1" x14ac:dyDescent="0.25">
      <c r="A506" s="594"/>
    </row>
    <row r="507" spans="1:1" hidden="1" x14ac:dyDescent="0.25">
      <c r="A507" s="594"/>
    </row>
    <row r="508" spans="1:1" hidden="1" x14ac:dyDescent="0.25">
      <c r="A508" s="594"/>
    </row>
    <row r="509" spans="1:1" hidden="1" x14ac:dyDescent="0.25">
      <c r="A509" s="594"/>
    </row>
    <row r="510" spans="1:1" hidden="1" x14ac:dyDescent="0.25">
      <c r="A510" s="594"/>
    </row>
    <row r="511" spans="1:1" hidden="1" x14ac:dyDescent="0.25">
      <c r="A511" s="594"/>
    </row>
    <row r="512" spans="1:1" hidden="1" x14ac:dyDescent="0.25">
      <c r="A512" s="594"/>
    </row>
    <row r="513" spans="1:1" hidden="1" x14ac:dyDescent="0.25">
      <c r="A513" s="594"/>
    </row>
    <row r="514" spans="1:1" hidden="1" x14ac:dyDescent="0.25">
      <c r="A514" s="594"/>
    </row>
    <row r="515" spans="1:1" hidden="1" x14ac:dyDescent="0.25">
      <c r="A515" s="594"/>
    </row>
    <row r="516" spans="1:1" hidden="1" x14ac:dyDescent="0.25">
      <c r="A516" s="594"/>
    </row>
    <row r="517" spans="1:1" hidden="1" x14ac:dyDescent="0.25">
      <c r="A517" s="594"/>
    </row>
    <row r="518" spans="1:1" hidden="1" x14ac:dyDescent="0.25">
      <c r="A518" s="594"/>
    </row>
    <row r="519" spans="1:1" hidden="1" x14ac:dyDescent="0.25">
      <c r="A519" s="594"/>
    </row>
    <row r="520" spans="1:1" hidden="1" x14ac:dyDescent="0.25">
      <c r="A520" s="594"/>
    </row>
    <row r="521" spans="1:1" hidden="1" x14ac:dyDescent="0.25">
      <c r="A521" s="594"/>
    </row>
    <row r="522" spans="1:1" hidden="1" x14ac:dyDescent="0.25">
      <c r="A522" s="594"/>
    </row>
    <row r="523" spans="1:1" hidden="1" x14ac:dyDescent="0.25">
      <c r="A523" s="594"/>
    </row>
    <row r="524" spans="1:1" hidden="1" x14ac:dyDescent="0.25">
      <c r="A524" s="594"/>
    </row>
    <row r="525" spans="1:1" hidden="1" x14ac:dyDescent="0.25">
      <c r="A525" s="594"/>
    </row>
    <row r="526" spans="1:1" hidden="1" x14ac:dyDescent="0.25">
      <c r="A526" s="594"/>
    </row>
    <row r="527" spans="1:1" hidden="1" x14ac:dyDescent="0.25">
      <c r="A527" s="594"/>
    </row>
    <row r="528" spans="1:1" hidden="1" x14ac:dyDescent="0.25">
      <c r="A528" s="594"/>
    </row>
    <row r="529" spans="1:1" hidden="1" x14ac:dyDescent="0.25">
      <c r="A529" s="594"/>
    </row>
    <row r="530" spans="1:1" hidden="1" x14ac:dyDescent="0.25">
      <c r="A530" s="594"/>
    </row>
    <row r="531" spans="1:1" hidden="1" x14ac:dyDescent="0.25">
      <c r="A531" s="594"/>
    </row>
    <row r="532" spans="1:1" hidden="1" x14ac:dyDescent="0.25">
      <c r="A532" s="594"/>
    </row>
    <row r="533" spans="1:1" hidden="1" x14ac:dyDescent="0.25">
      <c r="A533" s="594"/>
    </row>
    <row r="534" spans="1:1" hidden="1" x14ac:dyDescent="0.25">
      <c r="A534" s="594"/>
    </row>
    <row r="535" spans="1:1" hidden="1" x14ac:dyDescent="0.25">
      <c r="A535" s="594"/>
    </row>
    <row r="536" spans="1:1" hidden="1" x14ac:dyDescent="0.25">
      <c r="A536" s="594"/>
    </row>
    <row r="537" spans="1:1" hidden="1" x14ac:dyDescent="0.25">
      <c r="A537" s="594"/>
    </row>
    <row r="538" spans="1:1" hidden="1" x14ac:dyDescent="0.25">
      <c r="A538" s="594"/>
    </row>
    <row r="539" spans="1:1" hidden="1" x14ac:dyDescent="0.25">
      <c r="A539" s="594"/>
    </row>
    <row r="540" spans="1:1" hidden="1" x14ac:dyDescent="0.25">
      <c r="A540" s="594"/>
    </row>
    <row r="541" spans="1:1" hidden="1" x14ac:dyDescent="0.25">
      <c r="A541" s="594"/>
    </row>
    <row r="542" spans="1:1" hidden="1" x14ac:dyDescent="0.25">
      <c r="A542" s="594"/>
    </row>
    <row r="543" spans="1:1" hidden="1" x14ac:dyDescent="0.25">
      <c r="A543" s="594"/>
    </row>
    <row r="544" spans="1:1" hidden="1" x14ac:dyDescent="0.25">
      <c r="A544" s="594"/>
    </row>
    <row r="545" spans="1:1" hidden="1" x14ac:dyDescent="0.25">
      <c r="A545" s="594"/>
    </row>
    <row r="546" spans="1:1" hidden="1" x14ac:dyDescent="0.25">
      <c r="A546" s="594"/>
    </row>
    <row r="547" spans="1:1" hidden="1" x14ac:dyDescent="0.25">
      <c r="A547" s="594"/>
    </row>
    <row r="548" spans="1:1" hidden="1" x14ac:dyDescent="0.25">
      <c r="A548" s="594"/>
    </row>
    <row r="549" spans="1:1" hidden="1" x14ac:dyDescent="0.25">
      <c r="A549" s="594"/>
    </row>
    <row r="550" spans="1:1" hidden="1" x14ac:dyDescent="0.25">
      <c r="A550" s="594"/>
    </row>
    <row r="551" spans="1:1" hidden="1" x14ac:dyDescent="0.25">
      <c r="A551" s="594"/>
    </row>
    <row r="552" spans="1:1" hidden="1" x14ac:dyDescent="0.25">
      <c r="A552" s="594"/>
    </row>
    <row r="553" spans="1:1" hidden="1" x14ac:dyDescent="0.25">
      <c r="A553" s="594"/>
    </row>
    <row r="554" spans="1:1" hidden="1" x14ac:dyDescent="0.25">
      <c r="A554" s="594"/>
    </row>
    <row r="555" spans="1:1" hidden="1" x14ac:dyDescent="0.25">
      <c r="A555" s="594"/>
    </row>
    <row r="556" spans="1:1" hidden="1" x14ac:dyDescent="0.25">
      <c r="A556" s="594"/>
    </row>
    <row r="557" spans="1:1" hidden="1" x14ac:dyDescent="0.25">
      <c r="A557" s="594"/>
    </row>
    <row r="558" spans="1:1" hidden="1" x14ac:dyDescent="0.25">
      <c r="A558" s="594"/>
    </row>
    <row r="559" spans="1:1" hidden="1" x14ac:dyDescent="0.25">
      <c r="A559" s="594"/>
    </row>
    <row r="560" spans="1:1" hidden="1" x14ac:dyDescent="0.25">
      <c r="A560" s="594"/>
    </row>
    <row r="561" spans="1:1" hidden="1" x14ac:dyDescent="0.25">
      <c r="A561" s="594"/>
    </row>
    <row r="562" spans="1:1" hidden="1" x14ac:dyDescent="0.25">
      <c r="A562" s="594"/>
    </row>
    <row r="563" spans="1:1" hidden="1" x14ac:dyDescent="0.25">
      <c r="A563" s="594"/>
    </row>
    <row r="564" spans="1:1" hidden="1" x14ac:dyDescent="0.25">
      <c r="A564" s="594"/>
    </row>
    <row r="565" spans="1:1" hidden="1" x14ac:dyDescent="0.25">
      <c r="A565" s="594"/>
    </row>
    <row r="566" spans="1:1" hidden="1" x14ac:dyDescent="0.25">
      <c r="A566" s="594"/>
    </row>
    <row r="567" spans="1:1" hidden="1" x14ac:dyDescent="0.25">
      <c r="A567" s="594"/>
    </row>
    <row r="568" spans="1:1" hidden="1" x14ac:dyDescent="0.25">
      <c r="A568" s="594"/>
    </row>
    <row r="569" spans="1:1" hidden="1" x14ac:dyDescent="0.25">
      <c r="A569" s="594"/>
    </row>
    <row r="570" spans="1:1" hidden="1" x14ac:dyDescent="0.25">
      <c r="A570" s="594"/>
    </row>
    <row r="571" spans="1:1" hidden="1" x14ac:dyDescent="0.25">
      <c r="A571" s="594"/>
    </row>
    <row r="572" spans="1:1" hidden="1" x14ac:dyDescent="0.25">
      <c r="A572" s="594"/>
    </row>
    <row r="573" spans="1:1" hidden="1" x14ac:dyDescent="0.25">
      <c r="A573" s="594"/>
    </row>
    <row r="574" spans="1:1" hidden="1" x14ac:dyDescent="0.25">
      <c r="A574" s="594"/>
    </row>
    <row r="575" spans="1:1" hidden="1" x14ac:dyDescent="0.25">
      <c r="A575" s="594"/>
    </row>
    <row r="576" spans="1:1" hidden="1" x14ac:dyDescent="0.25">
      <c r="A576" s="594"/>
    </row>
    <row r="577" spans="1:1" hidden="1" x14ac:dyDescent="0.25">
      <c r="A577" s="594"/>
    </row>
    <row r="578" spans="1:1" hidden="1" x14ac:dyDescent="0.25">
      <c r="A578" s="594"/>
    </row>
    <row r="579" spans="1:1" hidden="1" x14ac:dyDescent="0.25">
      <c r="A579" s="594"/>
    </row>
    <row r="580" spans="1:1" hidden="1" x14ac:dyDescent="0.25">
      <c r="A580" s="594"/>
    </row>
    <row r="581" spans="1:1" hidden="1" x14ac:dyDescent="0.25">
      <c r="A581" s="594"/>
    </row>
    <row r="582" spans="1:1" hidden="1" x14ac:dyDescent="0.25">
      <c r="A582" s="594"/>
    </row>
    <row r="583" spans="1:1" hidden="1" x14ac:dyDescent="0.25">
      <c r="A583" s="594"/>
    </row>
    <row r="584" spans="1:1" hidden="1" x14ac:dyDescent="0.25">
      <c r="A584" s="594"/>
    </row>
    <row r="585" spans="1:1" hidden="1" x14ac:dyDescent="0.25">
      <c r="A585" s="594"/>
    </row>
    <row r="586" spans="1:1" hidden="1" x14ac:dyDescent="0.25">
      <c r="A586" s="594"/>
    </row>
    <row r="587" spans="1:1" hidden="1" x14ac:dyDescent="0.25">
      <c r="A587" s="594"/>
    </row>
    <row r="588" spans="1:1" hidden="1" x14ac:dyDescent="0.25">
      <c r="A588" s="594"/>
    </row>
    <row r="589" spans="1:1" hidden="1" x14ac:dyDescent="0.25">
      <c r="A589" s="594"/>
    </row>
    <row r="590" spans="1:1" hidden="1" x14ac:dyDescent="0.25">
      <c r="A590" s="594"/>
    </row>
    <row r="591" spans="1:1" hidden="1" x14ac:dyDescent="0.25">
      <c r="A591" s="594"/>
    </row>
    <row r="592" spans="1:1" hidden="1" x14ac:dyDescent="0.25">
      <c r="A592" s="594"/>
    </row>
    <row r="593" spans="1:1" hidden="1" x14ac:dyDescent="0.25">
      <c r="A593" s="594"/>
    </row>
    <row r="594" spans="1:1" hidden="1" x14ac:dyDescent="0.25">
      <c r="A594" s="594"/>
    </row>
    <row r="595" spans="1:1" hidden="1" x14ac:dyDescent="0.25">
      <c r="A595" s="594"/>
    </row>
    <row r="596" spans="1:1" hidden="1" x14ac:dyDescent="0.25">
      <c r="A596" s="594"/>
    </row>
    <row r="597" spans="1:1" hidden="1" x14ac:dyDescent="0.25">
      <c r="A597" s="594"/>
    </row>
    <row r="598" spans="1:1" hidden="1" x14ac:dyDescent="0.25">
      <c r="A598" s="594"/>
    </row>
    <row r="599" spans="1:1" hidden="1" x14ac:dyDescent="0.25">
      <c r="A599" s="594"/>
    </row>
    <row r="600" spans="1:1" hidden="1" x14ac:dyDescent="0.25">
      <c r="A600" s="594"/>
    </row>
    <row r="601" spans="1:1" hidden="1" x14ac:dyDescent="0.25">
      <c r="A601" s="594"/>
    </row>
    <row r="602" spans="1:1" hidden="1" x14ac:dyDescent="0.25">
      <c r="A602" s="594"/>
    </row>
    <row r="603" spans="1:1" hidden="1" x14ac:dyDescent="0.25">
      <c r="A603" s="594"/>
    </row>
    <row r="604" spans="1:1" hidden="1" x14ac:dyDescent="0.25">
      <c r="A604" s="594"/>
    </row>
    <row r="605" spans="1:1" hidden="1" x14ac:dyDescent="0.25">
      <c r="A605" s="594"/>
    </row>
    <row r="606" spans="1:1" hidden="1" x14ac:dyDescent="0.25">
      <c r="A606" s="594"/>
    </row>
    <row r="607" spans="1:1" hidden="1" x14ac:dyDescent="0.25">
      <c r="A607" s="594"/>
    </row>
    <row r="608" spans="1:1" hidden="1" x14ac:dyDescent="0.25">
      <c r="A608" s="594"/>
    </row>
    <row r="609" spans="1:1" hidden="1" x14ac:dyDescent="0.25">
      <c r="A609" s="594"/>
    </row>
    <row r="610" spans="1:1" hidden="1" x14ac:dyDescent="0.25">
      <c r="A610" s="594"/>
    </row>
    <row r="611" spans="1:1" hidden="1" x14ac:dyDescent="0.25">
      <c r="A611" s="594"/>
    </row>
    <row r="612" spans="1:1" hidden="1" x14ac:dyDescent="0.25">
      <c r="A612" s="594"/>
    </row>
    <row r="613" spans="1:1" hidden="1" x14ac:dyDescent="0.25">
      <c r="A613" s="594"/>
    </row>
    <row r="614" spans="1:1" hidden="1" x14ac:dyDescent="0.25">
      <c r="A614" s="594"/>
    </row>
    <row r="615" spans="1:1" hidden="1" x14ac:dyDescent="0.25">
      <c r="A615" s="594"/>
    </row>
    <row r="616" spans="1:1" hidden="1" x14ac:dyDescent="0.25">
      <c r="A616" s="594"/>
    </row>
    <row r="617" spans="1:1" hidden="1" x14ac:dyDescent="0.25">
      <c r="A617" s="594"/>
    </row>
    <row r="618" spans="1:1" hidden="1" x14ac:dyDescent="0.25">
      <c r="A618" s="594"/>
    </row>
    <row r="619" spans="1:1" hidden="1" x14ac:dyDescent="0.25">
      <c r="A619" s="594"/>
    </row>
    <row r="620" spans="1:1" hidden="1" x14ac:dyDescent="0.25">
      <c r="A620" s="594"/>
    </row>
    <row r="621" spans="1:1" hidden="1" x14ac:dyDescent="0.25">
      <c r="A621" s="594"/>
    </row>
    <row r="622" spans="1:1" hidden="1" x14ac:dyDescent="0.25">
      <c r="A622" s="594"/>
    </row>
    <row r="623" spans="1:1" hidden="1" x14ac:dyDescent="0.25">
      <c r="A623" s="594"/>
    </row>
    <row r="624" spans="1:1" hidden="1" x14ac:dyDescent="0.25">
      <c r="A624" s="594"/>
    </row>
    <row r="625" spans="1:1" hidden="1" x14ac:dyDescent="0.25">
      <c r="A625" s="594"/>
    </row>
    <row r="626" spans="1:1" hidden="1" x14ac:dyDescent="0.25">
      <c r="A626" s="594"/>
    </row>
    <row r="627" spans="1:1" hidden="1" x14ac:dyDescent="0.25">
      <c r="A627" s="594"/>
    </row>
    <row r="628" spans="1:1" hidden="1" x14ac:dyDescent="0.25">
      <c r="A628" s="594"/>
    </row>
    <row r="629" spans="1:1" hidden="1" x14ac:dyDescent="0.25">
      <c r="A629" s="594"/>
    </row>
    <row r="630" spans="1:1" hidden="1" x14ac:dyDescent="0.25">
      <c r="A630" s="594"/>
    </row>
    <row r="631" spans="1:1" hidden="1" x14ac:dyDescent="0.25">
      <c r="A631" s="594"/>
    </row>
    <row r="632" spans="1:1" hidden="1" x14ac:dyDescent="0.25">
      <c r="A632" s="594"/>
    </row>
    <row r="633" spans="1:1" hidden="1" x14ac:dyDescent="0.25">
      <c r="A633" s="594"/>
    </row>
    <row r="634" spans="1:1" hidden="1" x14ac:dyDescent="0.25">
      <c r="A634" s="594"/>
    </row>
    <row r="635" spans="1:1" hidden="1" x14ac:dyDescent="0.25">
      <c r="A635" s="594"/>
    </row>
    <row r="636" spans="1:1" hidden="1" x14ac:dyDescent="0.25">
      <c r="A636" s="594"/>
    </row>
    <row r="637" spans="1:1" hidden="1" x14ac:dyDescent="0.25">
      <c r="A637" s="594"/>
    </row>
    <row r="638" spans="1:1" hidden="1" x14ac:dyDescent="0.25">
      <c r="A638" s="594"/>
    </row>
    <row r="639" spans="1:1" hidden="1" x14ac:dyDescent="0.25">
      <c r="A639" s="594"/>
    </row>
    <row r="640" spans="1:1" hidden="1" x14ac:dyDescent="0.25">
      <c r="A640" s="594"/>
    </row>
    <row r="641" spans="1:1" hidden="1" x14ac:dyDescent="0.25">
      <c r="A641" s="594"/>
    </row>
    <row r="642" spans="1:1" hidden="1" x14ac:dyDescent="0.25">
      <c r="A642" s="594"/>
    </row>
    <row r="643" spans="1:1" hidden="1" x14ac:dyDescent="0.25">
      <c r="A643" s="594"/>
    </row>
    <row r="644" spans="1:1" hidden="1" x14ac:dyDescent="0.25">
      <c r="A644" s="594"/>
    </row>
    <row r="645" spans="1:1" hidden="1" x14ac:dyDescent="0.25">
      <c r="A645" s="594"/>
    </row>
    <row r="646" spans="1:1" hidden="1" x14ac:dyDescent="0.25">
      <c r="A646" s="594"/>
    </row>
    <row r="647" spans="1:1" hidden="1" x14ac:dyDescent="0.25">
      <c r="A647" s="594"/>
    </row>
    <row r="648" spans="1:1" hidden="1" x14ac:dyDescent="0.25">
      <c r="A648" s="594"/>
    </row>
    <row r="649" spans="1:1" hidden="1" x14ac:dyDescent="0.25">
      <c r="A649" s="594"/>
    </row>
    <row r="650" spans="1:1" hidden="1" x14ac:dyDescent="0.25">
      <c r="A650" s="594"/>
    </row>
    <row r="651" spans="1:1" hidden="1" x14ac:dyDescent="0.25">
      <c r="A651" s="594"/>
    </row>
    <row r="652" spans="1:1" hidden="1" x14ac:dyDescent="0.25">
      <c r="A652" s="594"/>
    </row>
    <row r="653" spans="1:1" hidden="1" x14ac:dyDescent="0.25">
      <c r="A653" s="594"/>
    </row>
    <row r="654" spans="1:1" hidden="1" x14ac:dyDescent="0.25">
      <c r="A654" s="594"/>
    </row>
    <row r="655" spans="1:1" hidden="1" x14ac:dyDescent="0.25">
      <c r="A655" s="594"/>
    </row>
    <row r="656" spans="1:1" hidden="1" x14ac:dyDescent="0.25">
      <c r="A656" s="594"/>
    </row>
    <row r="657" spans="1:1" hidden="1" x14ac:dyDescent="0.25">
      <c r="A657" s="594"/>
    </row>
    <row r="658" spans="1:1" hidden="1" x14ac:dyDescent="0.25">
      <c r="A658" s="594"/>
    </row>
    <row r="659" spans="1:1" hidden="1" x14ac:dyDescent="0.25">
      <c r="A659" s="594"/>
    </row>
    <row r="660" spans="1:1" hidden="1" x14ac:dyDescent="0.25">
      <c r="A660" s="594"/>
    </row>
    <row r="661" spans="1:1" hidden="1" x14ac:dyDescent="0.25">
      <c r="A661" s="594"/>
    </row>
    <row r="662" spans="1:1" hidden="1" x14ac:dyDescent="0.25">
      <c r="A662" s="594"/>
    </row>
    <row r="663" spans="1:1" hidden="1" x14ac:dyDescent="0.25">
      <c r="A663" s="594"/>
    </row>
    <row r="664" spans="1:1" hidden="1" x14ac:dyDescent="0.25">
      <c r="A664" s="594"/>
    </row>
    <row r="665" spans="1:1" hidden="1" x14ac:dyDescent="0.25">
      <c r="A665" s="594"/>
    </row>
    <row r="666" spans="1:1" hidden="1" x14ac:dyDescent="0.25">
      <c r="A666" s="594"/>
    </row>
    <row r="667" spans="1:1" hidden="1" x14ac:dyDescent="0.25">
      <c r="A667" s="594"/>
    </row>
    <row r="668" spans="1:1" hidden="1" x14ac:dyDescent="0.25">
      <c r="A668" s="594"/>
    </row>
    <row r="669" spans="1:1" hidden="1" x14ac:dyDescent="0.25">
      <c r="A669" s="594"/>
    </row>
    <row r="670" spans="1:1" hidden="1" x14ac:dyDescent="0.25">
      <c r="A670" s="594"/>
    </row>
    <row r="671" spans="1:1" hidden="1" x14ac:dyDescent="0.25">
      <c r="A671" s="594"/>
    </row>
    <row r="672" spans="1:1" hidden="1" x14ac:dyDescent="0.25">
      <c r="A672" s="594"/>
    </row>
    <row r="673" spans="1:1" hidden="1" x14ac:dyDescent="0.25">
      <c r="A673" s="594"/>
    </row>
    <row r="674" spans="1:1" hidden="1" x14ac:dyDescent="0.25">
      <c r="A674" s="594"/>
    </row>
    <row r="675" spans="1:1" hidden="1" x14ac:dyDescent="0.25">
      <c r="A675" s="594"/>
    </row>
    <row r="676" spans="1:1" hidden="1" x14ac:dyDescent="0.25">
      <c r="A676" s="594"/>
    </row>
    <row r="677" spans="1:1" hidden="1" x14ac:dyDescent="0.25">
      <c r="A677" s="594"/>
    </row>
    <row r="678" spans="1:1" hidden="1" x14ac:dyDescent="0.25">
      <c r="A678" s="594"/>
    </row>
    <row r="679" spans="1:1" hidden="1" x14ac:dyDescent="0.25">
      <c r="A679" s="594"/>
    </row>
    <row r="680" spans="1:1" hidden="1" x14ac:dyDescent="0.25">
      <c r="A680" s="594"/>
    </row>
    <row r="681" spans="1:1" hidden="1" x14ac:dyDescent="0.25">
      <c r="A681" s="594"/>
    </row>
    <row r="682" spans="1:1" hidden="1" x14ac:dyDescent="0.25">
      <c r="A682" s="594"/>
    </row>
    <row r="683" spans="1:1" hidden="1" x14ac:dyDescent="0.25">
      <c r="A683" s="594"/>
    </row>
    <row r="684" spans="1:1" hidden="1" x14ac:dyDescent="0.25">
      <c r="A684" s="594"/>
    </row>
    <row r="685" spans="1:1" hidden="1" x14ac:dyDescent="0.25">
      <c r="A685" s="594"/>
    </row>
    <row r="686" spans="1:1" hidden="1" x14ac:dyDescent="0.25">
      <c r="A686" s="594"/>
    </row>
    <row r="687" spans="1:1" hidden="1" x14ac:dyDescent="0.25">
      <c r="A687" s="594"/>
    </row>
    <row r="688" spans="1:1" hidden="1" x14ac:dyDescent="0.25">
      <c r="A688" s="594"/>
    </row>
    <row r="689" spans="1:1" hidden="1" x14ac:dyDescent="0.25">
      <c r="A689" s="594"/>
    </row>
    <row r="690" spans="1:1" hidden="1" x14ac:dyDescent="0.25">
      <c r="A690" s="594"/>
    </row>
    <row r="691" spans="1:1" hidden="1" x14ac:dyDescent="0.25">
      <c r="A691" s="594"/>
    </row>
    <row r="692" spans="1:1" hidden="1" x14ac:dyDescent="0.25">
      <c r="A692" s="594"/>
    </row>
    <row r="693" spans="1:1" hidden="1" x14ac:dyDescent="0.25">
      <c r="A693" s="594"/>
    </row>
    <row r="694" spans="1:1" hidden="1" x14ac:dyDescent="0.25">
      <c r="A694" s="594"/>
    </row>
    <row r="695" spans="1:1" hidden="1" x14ac:dyDescent="0.25">
      <c r="A695" s="594"/>
    </row>
    <row r="696" spans="1:1" hidden="1" x14ac:dyDescent="0.25">
      <c r="A696" s="594"/>
    </row>
    <row r="697" spans="1:1" hidden="1" x14ac:dyDescent="0.25">
      <c r="A697" s="594"/>
    </row>
    <row r="698" spans="1:1" hidden="1" x14ac:dyDescent="0.25">
      <c r="A698" s="594"/>
    </row>
    <row r="699" spans="1:1" hidden="1" x14ac:dyDescent="0.25">
      <c r="A699" s="594"/>
    </row>
    <row r="700" spans="1:1" hidden="1" x14ac:dyDescent="0.25">
      <c r="A700" s="594"/>
    </row>
    <row r="701" spans="1:1" hidden="1" x14ac:dyDescent="0.25">
      <c r="A701" s="594"/>
    </row>
    <row r="702" spans="1:1" hidden="1" x14ac:dyDescent="0.25">
      <c r="A702" s="594"/>
    </row>
    <row r="703" spans="1:1" hidden="1" x14ac:dyDescent="0.25">
      <c r="A703" s="594"/>
    </row>
    <row r="704" spans="1:1" hidden="1" x14ac:dyDescent="0.25">
      <c r="A704" s="594"/>
    </row>
    <row r="705" spans="1:1" hidden="1" x14ac:dyDescent="0.25">
      <c r="A705" s="594"/>
    </row>
    <row r="706" spans="1:1" hidden="1" x14ac:dyDescent="0.25">
      <c r="A706" s="594"/>
    </row>
    <row r="707" spans="1:1" hidden="1" x14ac:dyDescent="0.25">
      <c r="A707" s="594"/>
    </row>
    <row r="708" spans="1:1" hidden="1" x14ac:dyDescent="0.25">
      <c r="A708" s="594"/>
    </row>
    <row r="709" spans="1:1" hidden="1" x14ac:dyDescent="0.25">
      <c r="A709" s="594"/>
    </row>
    <row r="710" spans="1:1" hidden="1" x14ac:dyDescent="0.25">
      <c r="A710" s="594"/>
    </row>
    <row r="711" spans="1:1" hidden="1" x14ac:dyDescent="0.25">
      <c r="A711" s="594"/>
    </row>
    <row r="712" spans="1:1" hidden="1" x14ac:dyDescent="0.25">
      <c r="A712" s="594"/>
    </row>
    <row r="713" spans="1:1" hidden="1" x14ac:dyDescent="0.25">
      <c r="A713" s="594"/>
    </row>
    <row r="714" spans="1:1" hidden="1" x14ac:dyDescent="0.25">
      <c r="A714" s="594"/>
    </row>
    <row r="715" spans="1:1" hidden="1" x14ac:dyDescent="0.25">
      <c r="A715" s="594"/>
    </row>
    <row r="716" spans="1:1" hidden="1" x14ac:dyDescent="0.25">
      <c r="A716" s="594"/>
    </row>
    <row r="717" spans="1:1" hidden="1" x14ac:dyDescent="0.25">
      <c r="A717" s="594"/>
    </row>
    <row r="718" spans="1:1" hidden="1" x14ac:dyDescent="0.25">
      <c r="A718" s="594"/>
    </row>
    <row r="719" spans="1:1" hidden="1" x14ac:dyDescent="0.25">
      <c r="A719" s="594"/>
    </row>
    <row r="720" spans="1:1" hidden="1" x14ac:dyDescent="0.25">
      <c r="A720" s="594"/>
    </row>
    <row r="721" spans="1:1" hidden="1" x14ac:dyDescent="0.25">
      <c r="A721" s="594"/>
    </row>
    <row r="722" spans="1:1" hidden="1" x14ac:dyDescent="0.25">
      <c r="A722" s="594"/>
    </row>
    <row r="723" spans="1:1" hidden="1" x14ac:dyDescent="0.25">
      <c r="A723" s="594"/>
    </row>
    <row r="724" spans="1:1" hidden="1" x14ac:dyDescent="0.25">
      <c r="A724" s="594"/>
    </row>
    <row r="725" spans="1:1" hidden="1" x14ac:dyDescent="0.25">
      <c r="A725" s="594"/>
    </row>
    <row r="726" spans="1:1" hidden="1" x14ac:dyDescent="0.25">
      <c r="A726" s="594"/>
    </row>
    <row r="727" spans="1:1" hidden="1" x14ac:dyDescent="0.25">
      <c r="A727" s="594"/>
    </row>
    <row r="728" spans="1:1" hidden="1" x14ac:dyDescent="0.25">
      <c r="A728" s="594"/>
    </row>
    <row r="729" spans="1:1" hidden="1" x14ac:dyDescent="0.25">
      <c r="A729" s="594"/>
    </row>
    <row r="730" spans="1:1" hidden="1" x14ac:dyDescent="0.25">
      <c r="A730" s="594"/>
    </row>
    <row r="731" spans="1:1" hidden="1" x14ac:dyDescent="0.25">
      <c r="A731" s="594"/>
    </row>
    <row r="732" spans="1:1" hidden="1" x14ac:dyDescent="0.25">
      <c r="A732" s="594"/>
    </row>
    <row r="733" spans="1:1" hidden="1" x14ac:dyDescent="0.25">
      <c r="A733" s="594"/>
    </row>
    <row r="734" spans="1:1" hidden="1" x14ac:dyDescent="0.25">
      <c r="A734" s="594"/>
    </row>
    <row r="735" spans="1:1" hidden="1" x14ac:dyDescent="0.25">
      <c r="A735" s="594"/>
    </row>
    <row r="736" spans="1:1" hidden="1" x14ac:dyDescent="0.25">
      <c r="A736" s="594"/>
    </row>
    <row r="737" spans="1:1" hidden="1" x14ac:dyDescent="0.25">
      <c r="A737" s="594"/>
    </row>
    <row r="738" spans="1:1" hidden="1" x14ac:dyDescent="0.25">
      <c r="A738" s="594"/>
    </row>
    <row r="739" spans="1:1" hidden="1" x14ac:dyDescent="0.25">
      <c r="A739" s="594"/>
    </row>
    <row r="740" spans="1:1" hidden="1" x14ac:dyDescent="0.25">
      <c r="A740" s="594"/>
    </row>
    <row r="741" spans="1:1" hidden="1" x14ac:dyDescent="0.25">
      <c r="A741" s="594"/>
    </row>
    <row r="742" spans="1:1" hidden="1" x14ac:dyDescent="0.25">
      <c r="A742" s="594"/>
    </row>
    <row r="743" spans="1:1" hidden="1" x14ac:dyDescent="0.25">
      <c r="A743" s="594"/>
    </row>
    <row r="744" spans="1:1" hidden="1" x14ac:dyDescent="0.25">
      <c r="A744" s="594"/>
    </row>
    <row r="745" spans="1:1" hidden="1" x14ac:dyDescent="0.25">
      <c r="A745" s="594"/>
    </row>
    <row r="746" spans="1:1" hidden="1" x14ac:dyDescent="0.25">
      <c r="A746" s="594"/>
    </row>
    <row r="747" spans="1:1" hidden="1" x14ac:dyDescent="0.25">
      <c r="A747" s="594"/>
    </row>
    <row r="748" spans="1:1" hidden="1" x14ac:dyDescent="0.25">
      <c r="A748" s="594"/>
    </row>
    <row r="749" spans="1:1" hidden="1" x14ac:dyDescent="0.25">
      <c r="A749" s="594"/>
    </row>
    <row r="750" spans="1:1" hidden="1" x14ac:dyDescent="0.25">
      <c r="A750" s="594"/>
    </row>
    <row r="751" spans="1:1" hidden="1" x14ac:dyDescent="0.25">
      <c r="A751" s="594"/>
    </row>
    <row r="752" spans="1:1" hidden="1" x14ac:dyDescent="0.25">
      <c r="A752" s="594"/>
    </row>
    <row r="753" spans="1:1" hidden="1" x14ac:dyDescent="0.25">
      <c r="A753" s="594"/>
    </row>
    <row r="754" spans="1:1" hidden="1" x14ac:dyDescent="0.25">
      <c r="A754" s="594"/>
    </row>
    <row r="755" spans="1:1" hidden="1" x14ac:dyDescent="0.25">
      <c r="A755" s="594"/>
    </row>
    <row r="756" spans="1:1" hidden="1" x14ac:dyDescent="0.25">
      <c r="A756" s="594"/>
    </row>
    <row r="757" spans="1:1" hidden="1" x14ac:dyDescent="0.25">
      <c r="A757" s="594"/>
    </row>
    <row r="758" spans="1:1" hidden="1" x14ac:dyDescent="0.25">
      <c r="A758" s="594"/>
    </row>
    <row r="759" spans="1:1" hidden="1" x14ac:dyDescent="0.25">
      <c r="A759" s="594"/>
    </row>
    <row r="760" spans="1:1" hidden="1" x14ac:dyDescent="0.25">
      <c r="A760" s="594"/>
    </row>
    <row r="761" spans="1:1" hidden="1" x14ac:dyDescent="0.25">
      <c r="A761" s="594"/>
    </row>
    <row r="762" spans="1:1" hidden="1" x14ac:dyDescent="0.25">
      <c r="A762" s="594"/>
    </row>
    <row r="763" spans="1:1" hidden="1" x14ac:dyDescent="0.25">
      <c r="A763" s="594"/>
    </row>
    <row r="764" spans="1:1" hidden="1" x14ac:dyDescent="0.25">
      <c r="A764" s="594"/>
    </row>
    <row r="765" spans="1:1" hidden="1" x14ac:dyDescent="0.25">
      <c r="A765" s="594"/>
    </row>
    <row r="766" spans="1:1" hidden="1" x14ac:dyDescent="0.25">
      <c r="A766" s="594"/>
    </row>
    <row r="767" spans="1:1" hidden="1" x14ac:dyDescent="0.25">
      <c r="A767" s="594"/>
    </row>
    <row r="768" spans="1:1" hidden="1" x14ac:dyDescent="0.25">
      <c r="A768" s="594"/>
    </row>
    <row r="769" spans="1:1" hidden="1" x14ac:dyDescent="0.25">
      <c r="A769" s="594"/>
    </row>
    <row r="770" spans="1:1" hidden="1" x14ac:dyDescent="0.25">
      <c r="A770" s="594"/>
    </row>
    <row r="771" spans="1:1" hidden="1" x14ac:dyDescent="0.25">
      <c r="A771" s="594"/>
    </row>
    <row r="772" spans="1:1" hidden="1" x14ac:dyDescent="0.25">
      <c r="A772" s="594"/>
    </row>
    <row r="773" spans="1:1" hidden="1" x14ac:dyDescent="0.25">
      <c r="A773" s="594"/>
    </row>
    <row r="774" spans="1:1" hidden="1" x14ac:dyDescent="0.25">
      <c r="A774" s="594"/>
    </row>
    <row r="775" spans="1:1" hidden="1" x14ac:dyDescent="0.25">
      <c r="A775" s="594"/>
    </row>
    <row r="776" spans="1:1" hidden="1" x14ac:dyDescent="0.25">
      <c r="A776" s="594"/>
    </row>
    <row r="777" spans="1:1" hidden="1" x14ac:dyDescent="0.25">
      <c r="A777" s="594"/>
    </row>
    <row r="778" spans="1:1" hidden="1" x14ac:dyDescent="0.25">
      <c r="A778" s="594"/>
    </row>
    <row r="779" spans="1:1" hidden="1" x14ac:dyDescent="0.25">
      <c r="A779" s="594"/>
    </row>
    <row r="780" spans="1:1" hidden="1" x14ac:dyDescent="0.25">
      <c r="A780" s="594"/>
    </row>
    <row r="781" spans="1:1" hidden="1" x14ac:dyDescent="0.25">
      <c r="A781" s="594"/>
    </row>
    <row r="782" spans="1:1" hidden="1" x14ac:dyDescent="0.25">
      <c r="A782" s="594"/>
    </row>
    <row r="783" spans="1:1" hidden="1" x14ac:dyDescent="0.25">
      <c r="A783" s="594"/>
    </row>
    <row r="784" spans="1:1" hidden="1" x14ac:dyDescent="0.25">
      <c r="A784" s="594"/>
    </row>
    <row r="785" spans="1:1" hidden="1" x14ac:dyDescent="0.25">
      <c r="A785" s="594"/>
    </row>
    <row r="786" spans="1:1" hidden="1" x14ac:dyDescent="0.25">
      <c r="A786" s="594"/>
    </row>
    <row r="787" spans="1:1" hidden="1" x14ac:dyDescent="0.25">
      <c r="A787" s="594"/>
    </row>
    <row r="788" spans="1:1" hidden="1" x14ac:dyDescent="0.25">
      <c r="A788" s="594"/>
    </row>
    <row r="789" spans="1:1" hidden="1" x14ac:dyDescent="0.25">
      <c r="A789" s="594"/>
    </row>
    <row r="790" spans="1:1" hidden="1" x14ac:dyDescent="0.25">
      <c r="A790" s="594"/>
    </row>
    <row r="791" spans="1:1" hidden="1" x14ac:dyDescent="0.25">
      <c r="A791" s="594"/>
    </row>
    <row r="792" spans="1:1" hidden="1" x14ac:dyDescent="0.25">
      <c r="A792" s="594"/>
    </row>
    <row r="793" spans="1:1" hidden="1" x14ac:dyDescent="0.25">
      <c r="A793" s="594"/>
    </row>
    <row r="794" spans="1:1" hidden="1" x14ac:dyDescent="0.25">
      <c r="A794" s="594"/>
    </row>
    <row r="795" spans="1:1" hidden="1" x14ac:dyDescent="0.25">
      <c r="A795" s="594"/>
    </row>
    <row r="796" spans="1:1" hidden="1" x14ac:dyDescent="0.25">
      <c r="A796" s="594"/>
    </row>
    <row r="797" spans="1:1" hidden="1" x14ac:dyDescent="0.25">
      <c r="A797" s="594"/>
    </row>
    <row r="798" spans="1:1" hidden="1" x14ac:dyDescent="0.25">
      <c r="A798" s="594"/>
    </row>
    <row r="799" spans="1:1" hidden="1" x14ac:dyDescent="0.25">
      <c r="A799" s="594"/>
    </row>
    <row r="800" spans="1:1" hidden="1" x14ac:dyDescent="0.25">
      <c r="A800" s="594"/>
    </row>
    <row r="801" spans="1:1" hidden="1" x14ac:dyDescent="0.25">
      <c r="A801" s="594"/>
    </row>
    <row r="802" spans="1:1" hidden="1" x14ac:dyDescent="0.25">
      <c r="A802" s="594"/>
    </row>
    <row r="803" spans="1:1" hidden="1" x14ac:dyDescent="0.25">
      <c r="A803" s="594"/>
    </row>
    <row r="804" spans="1:1" hidden="1" x14ac:dyDescent="0.25">
      <c r="A804" s="594"/>
    </row>
    <row r="805" spans="1:1" hidden="1" x14ac:dyDescent="0.25">
      <c r="A805" s="594"/>
    </row>
    <row r="806" spans="1:1" hidden="1" x14ac:dyDescent="0.25">
      <c r="A806" s="594"/>
    </row>
    <row r="807" spans="1:1" hidden="1" x14ac:dyDescent="0.25">
      <c r="A807" s="594"/>
    </row>
    <row r="808" spans="1:1" hidden="1" x14ac:dyDescent="0.25">
      <c r="A808" s="594"/>
    </row>
    <row r="809" spans="1:1" hidden="1" x14ac:dyDescent="0.25">
      <c r="A809" s="594"/>
    </row>
    <row r="810" spans="1:1" hidden="1" x14ac:dyDescent="0.25">
      <c r="A810" s="594"/>
    </row>
    <row r="811" spans="1:1" hidden="1" x14ac:dyDescent="0.25">
      <c r="A811" s="594"/>
    </row>
    <row r="812" spans="1:1" hidden="1" x14ac:dyDescent="0.25">
      <c r="A812" s="594"/>
    </row>
    <row r="813" spans="1:1" hidden="1" x14ac:dyDescent="0.25">
      <c r="A813" s="594"/>
    </row>
    <row r="814" spans="1:1" hidden="1" x14ac:dyDescent="0.25">
      <c r="A814" s="594"/>
    </row>
    <row r="815" spans="1:1" hidden="1" x14ac:dyDescent="0.25">
      <c r="A815" s="594"/>
    </row>
    <row r="816" spans="1:1" hidden="1" x14ac:dyDescent="0.25">
      <c r="A816" s="594"/>
    </row>
    <row r="817" spans="1:1" hidden="1" x14ac:dyDescent="0.25">
      <c r="A817" s="594"/>
    </row>
    <row r="818" spans="1:1" hidden="1" x14ac:dyDescent="0.25">
      <c r="A818" s="594"/>
    </row>
    <row r="819" spans="1:1" hidden="1" x14ac:dyDescent="0.25">
      <c r="A819" s="594"/>
    </row>
    <row r="820" spans="1:1" hidden="1" x14ac:dyDescent="0.25">
      <c r="A820" s="594"/>
    </row>
    <row r="821" spans="1:1" hidden="1" x14ac:dyDescent="0.25">
      <c r="A821" s="594"/>
    </row>
    <row r="822" spans="1:1" hidden="1" x14ac:dyDescent="0.25">
      <c r="A822" s="594"/>
    </row>
    <row r="823" spans="1:1" hidden="1" x14ac:dyDescent="0.25">
      <c r="A823" s="594"/>
    </row>
    <row r="824" spans="1:1" hidden="1" x14ac:dyDescent="0.25">
      <c r="A824" s="594"/>
    </row>
    <row r="825" spans="1:1" hidden="1" x14ac:dyDescent="0.25">
      <c r="A825" s="594"/>
    </row>
    <row r="826" spans="1:1" hidden="1" x14ac:dyDescent="0.25">
      <c r="A826" s="594"/>
    </row>
    <row r="827" spans="1:1" hidden="1" x14ac:dyDescent="0.25">
      <c r="A827" s="594"/>
    </row>
    <row r="828" spans="1:1" hidden="1" x14ac:dyDescent="0.25">
      <c r="A828" s="594"/>
    </row>
    <row r="829" spans="1:1" hidden="1" x14ac:dyDescent="0.25">
      <c r="A829" s="594"/>
    </row>
    <row r="830" spans="1:1" hidden="1" x14ac:dyDescent="0.25">
      <c r="A830" s="594"/>
    </row>
    <row r="831" spans="1:1" hidden="1" x14ac:dyDescent="0.25">
      <c r="A831" s="594"/>
    </row>
    <row r="832" spans="1:1" hidden="1" x14ac:dyDescent="0.25">
      <c r="A832" s="594"/>
    </row>
    <row r="833" spans="1:1" hidden="1" x14ac:dyDescent="0.25">
      <c r="A833" s="594"/>
    </row>
    <row r="834" spans="1:1" hidden="1" x14ac:dyDescent="0.25">
      <c r="A834" s="594"/>
    </row>
    <row r="835" spans="1:1" hidden="1" x14ac:dyDescent="0.25">
      <c r="A835" s="594"/>
    </row>
    <row r="836" spans="1:1" hidden="1" x14ac:dyDescent="0.25">
      <c r="A836" s="594"/>
    </row>
    <row r="837" spans="1:1" hidden="1" x14ac:dyDescent="0.25">
      <c r="A837" s="594"/>
    </row>
    <row r="838" spans="1:1" hidden="1" x14ac:dyDescent="0.25">
      <c r="A838" s="594"/>
    </row>
    <row r="839" spans="1:1" hidden="1" x14ac:dyDescent="0.25">
      <c r="A839" s="594"/>
    </row>
    <row r="840" spans="1:1" hidden="1" x14ac:dyDescent="0.25">
      <c r="A840" s="594"/>
    </row>
    <row r="841" spans="1:1" hidden="1" x14ac:dyDescent="0.25">
      <c r="A841" s="594"/>
    </row>
    <row r="842" spans="1:1" hidden="1" x14ac:dyDescent="0.25">
      <c r="A842" s="594"/>
    </row>
    <row r="843" spans="1:1" hidden="1" x14ac:dyDescent="0.25">
      <c r="A843" s="594"/>
    </row>
    <row r="844" spans="1:1" hidden="1" x14ac:dyDescent="0.25">
      <c r="A844" s="594"/>
    </row>
    <row r="845" spans="1:1" hidden="1" x14ac:dyDescent="0.25">
      <c r="A845" s="594"/>
    </row>
    <row r="846" spans="1:1" hidden="1" x14ac:dyDescent="0.25">
      <c r="A846" s="594"/>
    </row>
    <row r="847" spans="1:1" hidden="1" x14ac:dyDescent="0.25">
      <c r="A847" s="594"/>
    </row>
    <row r="848" spans="1:1" hidden="1" x14ac:dyDescent="0.25">
      <c r="A848" s="594"/>
    </row>
    <row r="849" spans="1:1" hidden="1" x14ac:dyDescent="0.25">
      <c r="A849" s="594"/>
    </row>
    <row r="850" spans="1:1" hidden="1" x14ac:dyDescent="0.25">
      <c r="A850" s="594"/>
    </row>
    <row r="851" spans="1:1" hidden="1" x14ac:dyDescent="0.25">
      <c r="A851" s="594"/>
    </row>
    <row r="852" spans="1:1" hidden="1" x14ac:dyDescent="0.25">
      <c r="A852" s="594"/>
    </row>
    <row r="853" spans="1:1" hidden="1" x14ac:dyDescent="0.25">
      <c r="A853" s="594"/>
    </row>
    <row r="854" spans="1:1" hidden="1" x14ac:dyDescent="0.25">
      <c r="A854" s="594"/>
    </row>
    <row r="855" spans="1:1" hidden="1" x14ac:dyDescent="0.25">
      <c r="A855" s="594"/>
    </row>
    <row r="856" spans="1:1" hidden="1" x14ac:dyDescent="0.25">
      <c r="A856" s="594"/>
    </row>
    <row r="857" spans="1:1" hidden="1" x14ac:dyDescent="0.25">
      <c r="A857" s="594"/>
    </row>
    <row r="858" spans="1:1" hidden="1" x14ac:dyDescent="0.25">
      <c r="A858" s="594"/>
    </row>
    <row r="859" spans="1:1" hidden="1" x14ac:dyDescent="0.25">
      <c r="A859" s="594"/>
    </row>
    <row r="860" spans="1:1" hidden="1" x14ac:dyDescent="0.25">
      <c r="A860" s="594"/>
    </row>
    <row r="861" spans="1:1" hidden="1" x14ac:dyDescent="0.25">
      <c r="A861" s="594"/>
    </row>
    <row r="862" spans="1:1" hidden="1" x14ac:dyDescent="0.25">
      <c r="A862" s="594"/>
    </row>
    <row r="863" spans="1:1" hidden="1" x14ac:dyDescent="0.25">
      <c r="A863" s="594"/>
    </row>
    <row r="864" spans="1:1" hidden="1" x14ac:dyDescent="0.25">
      <c r="A864" s="594"/>
    </row>
    <row r="865" spans="1:1" hidden="1" x14ac:dyDescent="0.25">
      <c r="A865" s="594"/>
    </row>
    <row r="866" spans="1:1" hidden="1" x14ac:dyDescent="0.25">
      <c r="A866" s="594"/>
    </row>
    <row r="867" spans="1:1" hidden="1" x14ac:dyDescent="0.25">
      <c r="A867" s="594"/>
    </row>
    <row r="868" spans="1:1" hidden="1" x14ac:dyDescent="0.25">
      <c r="A868" s="594"/>
    </row>
    <row r="869" spans="1:1" hidden="1" x14ac:dyDescent="0.25">
      <c r="A869" s="594"/>
    </row>
    <row r="870" spans="1:1" hidden="1" x14ac:dyDescent="0.25">
      <c r="A870" s="594"/>
    </row>
    <row r="871" spans="1:1" hidden="1" x14ac:dyDescent="0.25">
      <c r="A871" s="594"/>
    </row>
    <row r="872" spans="1:1" hidden="1" x14ac:dyDescent="0.25">
      <c r="A872" s="594"/>
    </row>
    <row r="873" spans="1:1" hidden="1" x14ac:dyDescent="0.25">
      <c r="A873" s="594"/>
    </row>
    <row r="874" spans="1:1" hidden="1" x14ac:dyDescent="0.25">
      <c r="A874" s="594"/>
    </row>
    <row r="875" spans="1:1" hidden="1" x14ac:dyDescent="0.25">
      <c r="A875" s="594"/>
    </row>
    <row r="876" spans="1:1" hidden="1" x14ac:dyDescent="0.25">
      <c r="A876" s="594"/>
    </row>
    <row r="877" spans="1:1" hidden="1" x14ac:dyDescent="0.25">
      <c r="A877" s="594"/>
    </row>
    <row r="878" spans="1:1" hidden="1" x14ac:dyDescent="0.25">
      <c r="A878" s="594"/>
    </row>
    <row r="879" spans="1:1" hidden="1" x14ac:dyDescent="0.25">
      <c r="A879" s="594"/>
    </row>
    <row r="880" spans="1:1" hidden="1" x14ac:dyDescent="0.25">
      <c r="A880" s="594"/>
    </row>
    <row r="881" spans="1:1" hidden="1" x14ac:dyDescent="0.25">
      <c r="A881" s="594"/>
    </row>
    <row r="882" spans="1:1" hidden="1" x14ac:dyDescent="0.25">
      <c r="A882" s="594"/>
    </row>
    <row r="883" spans="1:1" hidden="1" x14ac:dyDescent="0.25">
      <c r="A883" s="594"/>
    </row>
    <row r="884" spans="1:1" hidden="1" x14ac:dyDescent="0.25">
      <c r="A884" s="594"/>
    </row>
    <row r="885" spans="1:1" hidden="1" x14ac:dyDescent="0.25">
      <c r="A885" s="594"/>
    </row>
    <row r="886" spans="1:1" hidden="1" x14ac:dyDescent="0.25">
      <c r="A886" s="594"/>
    </row>
    <row r="887" spans="1:1" hidden="1" x14ac:dyDescent="0.25">
      <c r="A887" s="594"/>
    </row>
    <row r="888" spans="1:1" hidden="1" x14ac:dyDescent="0.25">
      <c r="A888" s="594"/>
    </row>
    <row r="889" spans="1:1" hidden="1" x14ac:dyDescent="0.25">
      <c r="A889" s="594"/>
    </row>
    <row r="890" spans="1:1" hidden="1" x14ac:dyDescent="0.25">
      <c r="A890" s="594"/>
    </row>
    <row r="891" spans="1:1" hidden="1" x14ac:dyDescent="0.25">
      <c r="A891" s="594"/>
    </row>
    <row r="892" spans="1:1" hidden="1" x14ac:dyDescent="0.25">
      <c r="A892" s="594"/>
    </row>
    <row r="893" spans="1:1" hidden="1" x14ac:dyDescent="0.25">
      <c r="A893" s="594"/>
    </row>
    <row r="894" spans="1:1" hidden="1" x14ac:dyDescent="0.25">
      <c r="A894" s="594"/>
    </row>
    <row r="895" spans="1:1" hidden="1" x14ac:dyDescent="0.25">
      <c r="A895" s="594"/>
    </row>
    <row r="896" spans="1:1" hidden="1" x14ac:dyDescent="0.25">
      <c r="A896" s="594"/>
    </row>
    <row r="897" spans="1:1" hidden="1" x14ac:dyDescent="0.25">
      <c r="A897" s="594"/>
    </row>
    <row r="898" spans="1:1" hidden="1" x14ac:dyDescent="0.25">
      <c r="A898" s="594"/>
    </row>
    <row r="899" spans="1:1" hidden="1" x14ac:dyDescent="0.25">
      <c r="A899" s="594"/>
    </row>
    <row r="900" spans="1:1" hidden="1" x14ac:dyDescent="0.25">
      <c r="A900" s="594"/>
    </row>
    <row r="901" spans="1:1" hidden="1" x14ac:dyDescent="0.25">
      <c r="A901" s="594"/>
    </row>
    <row r="902" spans="1:1" hidden="1" x14ac:dyDescent="0.25">
      <c r="A902" s="594"/>
    </row>
    <row r="903" spans="1:1" hidden="1" x14ac:dyDescent="0.25">
      <c r="A903" s="594"/>
    </row>
    <row r="904" spans="1:1" hidden="1" x14ac:dyDescent="0.25">
      <c r="A904" s="594"/>
    </row>
    <row r="905" spans="1:1" hidden="1" x14ac:dyDescent="0.25">
      <c r="A905" s="594"/>
    </row>
    <row r="906" spans="1:1" hidden="1" x14ac:dyDescent="0.25">
      <c r="A906" s="594"/>
    </row>
    <row r="907" spans="1:1" hidden="1" x14ac:dyDescent="0.25">
      <c r="A907" s="594"/>
    </row>
    <row r="908" spans="1:1" hidden="1" x14ac:dyDescent="0.25">
      <c r="A908" s="594"/>
    </row>
    <row r="909" spans="1:1" hidden="1" x14ac:dyDescent="0.25">
      <c r="A909" s="594"/>
    </row>
    <row r="910" spans="1:1" hidden="1" x14ac:dyDescent="0.25">
      <c r="A910" s="594"/>
    </row>
    <row r="911" spans="1:1" hidden="1" x14ac:dyDescent="0.25">
      <c r="A911" s="594"/>
    </row>
    <row r="912" spans="1:1" hidden="1" x14ac:dyDescent="0.25">
      <c r="A912" s="594"/>
    </row>
    <row r="913" spans="1:1" hidden="1" x14ac:dyDescent="0.25">
      <c r="A913" s="594"/>
    </row>
    <row r="914" spans="1:1" hidden="1" x14ac:dyDescent="0.25">
      <c r="A914" s="594"/>
    </row>
    <row r="915" spans="1:1" hidden="1" x14ac:dyDescent="0.25">
      <c r="A915" s="594"/>
    </row>
    <row r="916" spans="1:1" hidden="1" x14ac:dyDescent="0.25">
      <c r="A916" s="594"/>
    </row>
    <row r="917" spans="1:1" hidden="1" x14ac:dyDescent="0.25">
      <c r="A917" s="594"/>
    </row>
    <row r="918" spans="1:1" hidden="1" x14ac:dyDescent="0.25">
      <c r="A918" s="594"/>
    </row>
    <row r="919" spans="1:1" hidden="1" x14ac:dyDescent="0.25">
      <c r="A919" s="594"/>
    </row>
    <row r="920" spans="1:1" hidden="1" x14ac:dyDescent="0.25">
      <c r="A920" s="594"/>
    </row>
    <row r="921" spans="1:1" hidden="1" x14ac:dyDescent="0.25">
      <c r="A921" s="594"/>
    </row>
    <row r="922" spans="1:1" hidden="1" x14ac:dyDescent="0.25">
      <c r="A922" s="594"/>
    </row>
    <row r="923" spans="1:1" hidden="1" x14ac:dyDescent="0.25">
      <c r="A923" s="594"/>
    </row>
    <row r="924" spans="1:1" hidden="1" x14ac:dyDescent="0.25">
      <c r="A924" s="594"/>
    </row>
    <row r="925" spans="1:1" hidden="1" x14ac:dyDescent="0.25">
      <c r="A925" s="594"/>
    </row>
    <row r="926" spans="1:1" hidden="1" x14ac:dyDescent="0.25">
      <c r="A926" s="594"/>
    </row>
    <row r="927" spans="1:1" hidden="1" x14ac:dyDescent="0.25">
      <c r="A927" s="594"/>
    </row>
    <row r="928" spans="1:1" hidden="1" x14ac:dyDescent="0.25">
      <c r="A928" s="594"/>
    </row>
    <row r="929" spans="1:1" hidden="1" x14ac:dyDescent="0.25">
      <c r="A929" s="594"/>
    </row>
    <row r="930" spans="1:1" hidden="1" x14ac:dyDescent="0.25">
      <c r="A930" s="594"/>
    </row>
    <row r="931" spans="1:1" hidden="1" x14ac:dyDescent="0.25">
      <c r="A931" s="594"/>
    </row>
    <row r="932" spans="1:1" hidden="1" x14ac:dyDescent="0.25">
      <c r="A932" s="594"/>
    </row>
    <row r="933" spans="1:1" hidden="1" x14ac:dyDescent="0.25">
      <c r="A933" s="594"/>
    </row>
    <row r="934" spans="1:1" hidden="1" x14ac:dyDescent="0.25">
      <c r="A934" s="594"/>
    </row>
    <row r="935" spans="1:1" hidden="1" x14ac:dyDescent="0.25">
      <c r="A935" s="594"/>
    </row>
    <row r="936" spans="1:1" hidden="1" x14ac:dyDescent="0.25">
      <c r="A936" s="594"/>
    </row>
    <row r="937" spans="1:1" hidden="1" x14ac:dyDescent="0.25">
      <c r="A937" s="594"/>
    </row>
    <row r="938" spans="1:1" hidden="1" x14ac:dyDescent="0.25">
      <c r="A938" s="594"/>
    </row>
    <row r="939" spans="1:1" hidden="1" x14ac:dyDescent="0.25">
      <c r="A939" s="594"/>
    </row>
    <row r="940" spans="1:1" hidden="1" x14ac:dyDescent="0.25">
      <c r="A940" s="594"/>
    </row>
    <row r="941" spans="1:1" hidden="1" x14ac:dyDescent="0.25">
      <c r="A941" s="594"/>
    </row>
    <row r="942" spans="1:1" hidden="1" x14ac:dyDescent="0.25">
      <c r="A942" s="594"/>
    </row>
    <row r="943" spans="1:1" hidden="1" x14ac:dyDescent="0.25">
      <c r="A943" s="594"/>
    </row>
    <row r="944" spans="1:1" hidden="1" x14ac:dyDescent="0.25">
      <c r="A944" s="594"/>
    </row>
    <row r="945" spans="1:1" hidden="1" x14ac:dyDescent="0.25">
      <c r="A945" s="594"/>
    </row>
    <row r="946" spans="1:1" hidden="1" x14ac:dyDescent="0.25">
      <c r="A946" s="594"/>
    </row>
    <row r="947" spans="1:1" hidden="1" x14ac:dyDescent="0.25">
      <c r="A947" s="594"/>
    </row>
    <row r="948" spans="1:1" hidden="1" x14ac:dyDescent="0.25">
      <c r="A948" s="594"/>
    </row>
    <row r="949" spans="1:1" hidden="1" x14ac:dyDescent="0.25">
      <c r="A949" s="594"/>
    </row>
    <row r="950" spans="1:1" hidden="1" x14ac:dyDescent="0.25">
      <c r="A950" s="594"/>
    </row>
    <row r="951" spans="1:1" hidden="1" x14ac:dyDescent="0.25">
      <c r="A951" s="594"/>
    </row>
    <row r="952" spans="1:1" hidden="1" x14ac:dyDescent="0.25">
      <c r="A952" s="594"/>
    </row>
    <row r="953" spans="1:1" hidden="1" x14ac:dyDescent="0.25">
      <c r="A953" s="594"/>
    </row>
    <row r="954" spans="1:1" hidden="1" x14ac:dyDescent="0.25">
      <c r="A954" s="594"/>
    </row>
    <row r="955" spans="1:1" hidden="1" x14ac:dyDescent="0.25">
      <c r="A955" s="594"/>
    </row>
    <row r="956" spans="1:1" hidden="1" x14ac:dyDescent="0.25">
      <c r="A956" s="594"/>
    </row>
    <row r="957" spans="1:1" hidden="1" x14ac:dyDescent="0.25">
      <c r="A957" s="594"/>
    </row>
    <row r="958" spans="1:1" hidden="1" x14ac:dyDescent="0.25">
      <c r="A958" s="594"/>
    </row>
    <row r="959" spans="1:1" hidden="1" x14ac:dyDescent="0.25">
      <c r="A959" s="594"/>
    </row>
    <row r="960" spans="1:1" hidden="1" x14ac:dyDescent="0.25">
      <c r="A960" s="594"/>
    </row>
    <row r="961" spans="1:1" hidden="1" x14ac:dyDescent="0.25">
      <c r="A961" s="594"/>
    </row>
    <row r="962" spans="1:1" hidden="1" x14ac:dyDescent="0.25">
      <c r="A962" s="594"/>
    </row>
    <row r="963" spans="1:1" hidden="1" x14ac:dyDescent="0.25">
      <c r="A963" s="594"/>
    </row>
    <row r="964" spans="1:1" hidden="1" x14ac:dyDescent="0.25">
      <c r="A964" s="594"/>
    </row>
    <row r="965" spans="1:1" hidden="1" x14ac:dyDescent="0.25">
      <c r="A965" s="594"/>
    </row>
    <row r="966" spans="1:1" hidden="1" x14ac:dyDescent="0.25">
      <c r="A966" s="594"/>
    </row>
    <row r="967" spans="1:1" hidden="1" x14ac:dyDescent="0.25">
      <c r="A967" s="594"/>
    </row>
    <row r="968" spans="1:1" hidden="1" x14ac:dyDescent="0.25">
      <c r="A968" s="594"/>
    </row>
    <row r="969" spans="1:1" hidden="1" x14ac:dyDescent="0.25">
      <c r="A969" s="594"/>
    </row>
    <row r="970" spans="1:1" hidden="1" x14ac:dyDescent="0.25">
      <c r="A970" s="594"/>
    </row>
    <row r="971" spans="1:1" hidden="1" x14ac:dyDescent="0.25">
      <c r="A971" s="594"/>
    </row>
    <row r="972" spans="1:1" hidden="1" x14ac:dyDescent="0.25">
      <c r="A972" s="594"/>
    </row>
    <row r="973" spans="1:1" hidden="1" x14ac:dyDescent="0.25">
      <c r="A973" s="594"/>
    </row>
    <row r="974" spans="1:1" hidden="1" x14ac:dyDescent="0.25">
      <c r="A974" s="594"/>
    </row>
    <row r="975" spans="1:1" hidden="1" x14ac:dyDescent="0.25">
      <c r="A975" s="594"/>
    </row>
    <row r="976" spans="1:1" hidden="1" x14ac:dyDescent="0.25">
      <c r="A976" s="594"/>
    </row>
    <row r="977" spans="1:1" hidden="1" x14ac:dyDescent="0.25">
      <c r="A977" s="594"/>
    </row>
    <row r="978" spans="1:1" hidden="1" x14ac:dyDescent="0.25">
      <c r="A978" s="594"/>
    </row>
    <row r="979" spans="1:1" hidden="1" x14ac:dyDescent="0.25">
      <c r="A979" s="594"/>
    </row>
    <row r="980" spans="1:1" hidden="1" x14ac:dyDescent="0.25">
      <c r="A980" s="594"/>
    </row>
    <row r="981" spans="1:1" hidden="1" x14ac:dyDescent="0.25">
      <c r="A981" s="594"/>
    </row>
    <row r="982" spans="1:1" hidden="1" x14ac:dyDescent="0.25">
      <c r="A982" s="594"/>
    </row>
    <row r="983" spans="1:1" hidden="1" x14ac:dyDescent="0.25">
      <c r="A983" s="594"/>
    </row>
    <row r="984" spans="1:1" hidden="1" x14ac:dyDescent="0.25">
      <c r="A984" s="594"/>
    </row>
    <row r="985" spans="1:1" hidden="1" x14ac:dyDescent="0.25">
      <c r="A985" s="594"/>
    </row>
    <row r="986" spans="1:1" hidden="1" x14ac:dyDescent="0.25">
      <c r="A986" s="594"/>
    </row>
    <row r="987" spans="1:1" hidden="1" x14ac:dyDescent="0.25">
      <c r="A987" s="594"/>
    </row>
    <row r="988" spans="1:1" hidden="1" x14ac:dyDescent="0.25">
      <c r="A988" s="594"/>
    </row>
    <row r="989" spans="1:1" hidden="1" x14ac:dyDescent="0.25">
      <c r="A989" s="594"/>
    </row>
    <row r="990" spans="1:1" hidden="1" x14ac:dyDescent="0.25">
      <c r="A990" s="594"/>
    </row>
    <row r="991" spans="1:1" hidden="1" x14ac:dyDescent="0.25">
      <c r="A991" s="594"/>
    </row>
    <row r="992" spans="1:1" hidden="1" x14ac:dyDescent="0.25">
      <c r="A992" s="594"/>
    </row>
    <row r="993" spans="1:1" hidden="1" x14ac:dyDescent="0.25">
      <c r="A993" s="594"/>
    </row>
    <row r="994" spans="1:1" hidden="1" x14ac:dyDescent="0.25">
      <c r="A994" s="594"/>
    </row>
    <row r="995" spans="1:1" hidden="1" x14ac:dyDescent="0.25">
      <c r="A995" s="594"/>
    </row>
    <row r="996" spans="1:1" hidden="1" x14ac:dyDescent="0.25">
      <c r="A996" s="594"/>
    </row>
    <row r="997" spans="1:1" hidden="1" x14ac:dyDescent="0.25">
      <c r="A997" s="594"/>
    </row>
    <row r="998" spans="1:1" hidden="1" x14ac:dyDescent="0.25">
      <c r="A998" s="594"/>
    </row>
    <row r="999" spans="1:1" hidden="1" x14ac:dyDescent="0.25">
      <c r="A999" s="594"/>
    </row>
    <row r="1000" spans="1:1" x14ac:dyDescent="0.25"/>
  </sheetData>
  <sheetProtection formatCells="0" formatColumns="0" formatRows="0" insertHyperlinks="0" sort="0" autoFilter="0" pivotTables="0"/>
  <mergeCells count="4">
    <mergeCell ref="U3:AP3"/>
    <mergeCell ref="AQ3:AT3"/>
    <mergeCell ref="AU3:AW3"/>
    <mergeCell ref="L3:R3"/>
  </mergeCells>
  <phoneticPr fontId="6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B8241D37236B394DBDB71213478E7F9E" ma:contentTypeVersion="10" ma:contentTypeDescription="Skapa ett nytt dokument." ma:contentTypeScope="" ma:versionID="eb326f117eeca24ee267005780a83a8a">
  <xsd:schema xmlns:xsd="http://www.w3.org/2001/XMLSchema" xmlns:xs="http://www.w3.org/2001/XMLSchema" xmlns:p="http://schemas.microsoft.com/office/2006/metadata/properties" xmlns:ns2="512c8f7d-5017-4a51-a2a0-b1b8addacf05" xmlns:ns3="e11737ba-ef7b-4f22-935a-c0623f5226e5" targetNamespace="http://schemas.microsoft.com/office/2006/metadata/properties" ma:root="true" ma:fieldsID="f6fa831087b7f76e89a9014f6adb2aa3" ns2:_="" ns3:_="">
    <xsd:import namespace="512c8f7d-5017-4a51-a2a0-b1b8addacf05"/>
    <xsd:import namespace="e11737ba-ef7b-4f22-935a-c0623f5226e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12c8f7d-5017-4a51-a2a0-b1b8addacf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737ba-ef7b-4f22-935a-c0623f5226e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Dela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lat med information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94E3D6-CDD0-4868-9E1C-674994E23CF7}">
  <ds:schemaRefs>
    <ds:schemaRef ds:uri="http://www.w3.org/XML/1998/namespace"/>
    <ds:schemaRef ds:uri="http://purl.org/dc/dcmitype/"/>
    <ds:schemaRef ds:uri="http://purl.org/dc/elements/1.1/"/>
    <ds:schemaRef ds:uri="http://schemas.microsoft.com/office/2006/documentManagement/types"/>
    <ds:schemaRef ds:uri="512c8f7d-5017-4a51-a2a0-b1b8addacf05"/>
    <ds:schemaRef ds:uri="e11737ba-ef7b-4f22-935a-c0623f5226e5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DDBFA02-328C-4368-BC81-E5BABB2063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12c8f7d-5017-4a51-a2a0-b1b8addacf05"/>
    <ds:schemaRef ds:uri="e11737ba-ef7b-4f22-935a-c0623f5226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8739348-A96A-4305-8622-FC6112236FB5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636EDB10-9403-40F7-A4C0-97964C0B3BC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</vt:i4>
      </vt:variant>
    </vt:vector>
  </HeadingPairs>
  <TitlesOfParts>
    <vt:vector size="14" baseType="lpstr">
      <vt:lpstr>Bränslefakta</vt:lpstr>
      <vt:lpstr>STARTSIDA</vt:lpstr>
      <vt:lpstr>Registrering &amp; Resultat</vt:lpstr>
      <vt:lpstr>Åkerisammanställning</vt:lpstr>
      <vt:lpstr>Lastbil</vt:lpstr>
      <vt:lpstr>Cost parametres</vt:lpstr>
      <vt:lpstr>Släp</vt:lpstr>
      <vt:lpstr>Sammandrag</vt:lpstr>
      <vt:lpstr>Laddlogistik 1</vt:lpstr>
      <vt:lpstr>Laddlogistik 2</vt:lpstr>
      <vt:lpstr>Sammanställning</vt:lpstr>
      <vt:lpstr>FORDONSLISTA</vt:lpstr>
      <vt:lpstr>'Laddlogistik 1'!Print_Area</vt:lpstr>
      <vt:lpstr>'Laddlogistik 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Petter Huddén, Intuizio AB</dc:creator>
  <cp:lastModifiedBy>Petter Huddén</cp:lastModifiedBy>
  <cp:lastPrinted>2022-06-21T12:08:35Z</cp:lastPrinted>
  <dcterms:created xsi:type="dcterms:W3CDTF">2020-08-12T06:19:00Z</dcterms:created>
  <dcterms:modified xsi:type="dcterms:W3CDTF">2022-10-04T17:40:30Z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0x010100B8241D37236B394DBDB71213478E7F9E</vt:lpwstr>
  </property>
</Properties>
</file>