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ahp\UnB\MATLAB\_07\03_resistencia vth\"/>
    </mc:Choice>
  </mc:AlternateContent>
  <bookViews>
    <workbookView xWindow="0" yWindow="0" windowWidth="19200" windowHeight="8420" activeTab="2"/>
  </bookViews>
  <sheets>
    <sheet name="Sheet1" sheetId="1" r:id="rId1"/>
    <sheet name="Sheet2" sheetId="2" r:id="rId2"/>
    <sheet name="Tabela" sheetId="3" r:id="rId3"/>
    <sheet name="Vsup" sheetId="4" r:id="rId4"/>
    <sheet name="Valores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6" l="1"/>
  <c r="P37" i="6"/>
  <c r="Q37" i="6"/>
  <c r="R37" i="6"/>
  <c r="S37" i="6"/>
  <c r="T37" i="6"/>
  <c r="U37" i="6"/>
  <c r="V37" i="6"/>
  <c r="W37" i="6"/>
  <c r="X37" i="6"/>
  <c r="O38" i="6"/>
  <c r="P38" i="6"/>
  <c r="Q38" i="6"/>
  <c r="R38" i="6"/>
  <c r="S38" i="6"/>
  <c r="T38" i="6"/>
  <c r="U38" i="6"/>
  <c r="V38" i="6"/>
  <c r="W38" i="6"/>
  <c r="X38" i="6"/>
  <c r="O39" i="6"/>
  <c r="P39" i="6"/>
  <c r="Q39" i="6"/>
  <c r="R39" i="6"/>
  <c r="S39" i="6"/>
  <c r="T39" i="6"/>
  <c r="U39" i="6"/>
  <c r="V39" i="6"/>
  <c r="W39" i="6"/>
  <c r="X39" i="6"/>
  <c r="O40" i="6"/>
  <c r="P40" i="6"/>
  <c r="Q40" i="6"/>
  <c r="R40" i="6"/>
  <c r="S40" i="6"/>
  <c r="T40" i="6"/>
  <c r="U40" i="6"/>
  <c r="V40" i="6"/>
  <c r="W40" i="6"/>
  <c r="X40" i="6"/>
  <c r="N40" i="6"/>
  <c r="N39" i="6"/>
  <c r="N38" i="6"/>
  <c r="N37" i="6"/>
  <c r="U5" i="6"/>
  <c r="T5" i="6"/>
  <c r="U4" i="6"/>
  <c r="U6" i="6"/>
  <c r="U3" i="6"/>
  <c r="T4" i="6"/>
  <c r="T6" i="6"/>
  <c r="T3" i="6"/>
  <c r="J4" i="6"/>
  <c r="J5" i="6"/>
  <c r="J6" i="6"/>
  <c r="J3" i="6"/>
  <c r="I3" i="6"/>
  <c r="I4" i="6" l="1"/>
  <c r="I5" i="6"/>
  <c r="I6" i="6"/>
  <c r="N6" i="6" l="1"/>
  <c r="N5" i="6"/>
  <c r="N4" i="6"/>
  <c r="N3" i="6"/>
  <c r="B6" i="6"/>
  <c r="B5" i="6"/>
  <c r="B4" i="6"/>
  <c r="B3" i="6"/>
  <c r="B18" i="3" l="1"/>
  <c r="B22" i="4"/>
  <c r="C22" i="4"/>
  <c r="D22" i="4"/>
  <c r="E22" i="4"/>
  <c r="F22" i="4"/>
  <c r="G22" i="4"/>
  <c r="H22" i="4"/>
  <c r="I22" i="4"/>
  <c r="J22" i="4"/>
  <c r="K22" i="4"/>
  <c r="L22" i="4"/>
  <c r="B23" i="4"/>
  <c r="C23" i="4"/>
  <c r="D23" i="4"/>
  <c r="E23" i="4"/>
  <c r="F23" i="4"/>
  <c r="G23" i="4"/>
  <c r="H23" i="4"/>
  <c r="I23" i="4"/>
  <c r="J23" i="4"/>
  <c r="K23" i="4"/>
  <c r="L23" i="4"/>
  <c r="B24" i="4"/>
  <c r="C24" i="4"/>
  <c r="D24" i="4"/>
  <c r="E24" i="4"/>
  <c r="F24" i="4"/>
  <c r="G24" i="4"/>
  <c r="H24" i="4"/>
  <c r="I24" i="4"/>
  <c r="J24" i="4"/>
  <c r="K24" i="4"/>
  <c r="L24" i="4"/>
  <c r="C21" i="4"/>
  <c r="D21" i="4"/>
  <c r="E21" i="4"/>
  <c r="F21" i="4"/>
  <c r="G21" i="4"/>
  <c r="H21" i="4"/>
  <c r="I21" i="4"/>
  <c r="J21" i="4"/>
  <c r="K21" i="4"/>
  <c r="L21" i="4"/>
  <c r="B21" i="4"/>
  <c r="M21" i="3" l="1"/>
  <c r="M20" i="3"/>
  <c r="M19" i="3"/>
  <c r="M18" i="3"/>
  <c r="U3" i="3" l="1"/>
  <c r="U4" i="3"/>
  <c r="U5" i="3"/>
  <c r="U2" i="3"/>
  <c r="T3" i="3"/>
  <c r="T4" i="3"/>
  <c r="T5" i="3"/>
  <c r="T2" i="3"/>
  <c r="K5" i="3" l="1"/>
  <c r="D3" i="3"/>
  <c r="B19" i="3" s="1"/>
  <c r="D4" i="3"/>
  <c r="B20" i="3" s="1"/>
  <c r="D5" i="3"/>
  <c r="B21" i="3" s="1"/>
  <c r="D2" i="3"/>
  <c r="B25" i="3"/>
  <c r="C25" i="3"/>
  <c r="E25" i="3"/>
  <c r="B26" i="3"/>
  <c r="C26" i="3"/>
  <c r="G26" i="3"/>
  <c r="B27" i="3"/>
  <c r="C27" i="3"/>
  <c r="C24" i="3"/>
  <c r="B24" i="3"/>
  <c r="D20" i="3"/>
  <c r="X5" i="3"/>
  <c r="Y5" i="3" s="1"/>
  <c r="F21" i="3" s="1"/>
  <c r="X4" i="3"/>
  <c r="Y4" i="3" s="1"/>
  <c r="F20" i="3" s="1"/>
  <c r="X3" i="3"/>
  <c r="Y3" i="3" s="1"/>
  <c r="F19" i="3" s="1"/>
  <c r="X2" i="3"/>
  <c r="Y2" i="3" s="1"/>
  <c r="F18" i="3" s="1"/>
  <c r="Z2" i="3"/>
  <c r="F24" i="3" s="1"/>
  <c r="Z3" i="3"/>
  <c r="F25" i="3" s="1"/>
  <c r="Z4" i="3"/>
  <c r="F26" i="3" s="1"/>
  <c r="Z5" i="3"/>
  <c r="F27" i="3" s="1"/>
  <c r="X11" i="3"/>
  <c r="X12" i="3"/>
  <c r="X13" i="3"/>
  <c r="X14" i="3"/>
  <c r="V2" i="3"/>
  <c r="E24" i="3" s="1"/>
  <c r="V3" i="3"/>
  <c r="V4" i="3"/>
  <c r="E26" i="3" s="1"/>
  <c r="V5" i="3"/>
  <c r="E27" i="3" s="1"/>
  <c r="Q5" i="3"/>
  <c r="C21" i="3" s="1"/>
  <c r="Q3" i="3"/>
  <c r="C19" i="3" s="1"/>
  <c r="Q4" i="3"/>
  <c r="C20" i="3" s="1"/>
  <c r="Q2" i="3"/>
  <c r="C18" i="3" s="1"/>
  <c r="D21" i="3"/>
  <c r="D26" i="3"/>
  <c r="D25" i="3"/>
  <c r="D18" i="3"/>
  <c r="L5" i="3"/>
  <c r="G27" i="3" s="1"/>
  <c r="L4" i="3"/>
  <c r="L3" i="3"/>
  <c r="G25" i="3" s="1"/>
  <c r="L2" i="3"/>
  <c r="G24" i="3" s="1"/>
  <c r="I5" i="3"/>
  <c r="I4" i="3"/>
  <c r="I3" i="3"/>
  <c r="I2" i="3"/>
  <c r="G11" i="3"/>
  <c r="G12" i="3"/>
  <c r="G13" i="3"/>
  <c r="G14" i="3"/>
  <c r="G2" i="3"/>
  <c r="H2" i="3" s="1"/>
  <c r="K2" i="3" s="1"/>
  <c r="G18" i="3" s="1"/>
  <c r="G3" i="3"/>
  <c r="H3" i="3" s="1"/>
  <c r="K3" i="3" s="1"/>
  <c r="G19" i="3" s="1"/>
  <c r="G4" i="3"/>
  <c r="H4" i="3" s="1"/>
  <c r="K4" i="3" s="1"/>
  <c r="G20" i="3" s="1"/>
  <c r="G5" i="3"/>
  <c r="H5" i="3" s="1"/>
  <c r="G21" i="3" s="1"/>
  <c r="B14" i="3"/>
  <c r="D14" i="3" s="1"/>
  <c r="B13" i="3"/>
  <c r="D13" i="3" s="1"/>
  <c r="B12" i="3"/>
  <c r="D12" i="3" s="1"/>
  <c r="B11" i="3"/>
  <c r="D11" i="3" s="1"/>
  <c r="B5" i="3"/>
  <c r="E14" i="3"/>
  <c r="E13" i="3"/>
  <c r="E12" i="3"/>
  <c r="E11" i="3"/>
  <c r="B4" i="3"/>
  <c r="B3" i="3"/>
  <c r="B2" i="3"/>
  <c r="D19" i="3" l="1"/>
  <c r="D24" i="3"/>
  <c r="D27" i="3"/>
  <c r="E20" i="3"/>
  <c r="E19" i="3"/>
  <c r="E18" i="3"/>
  <c r="E21" i="3"/>
</calcChain>
</file>

<file path=xl/sharedStrings.xml><?xml version="1.0" encoding="utf-8"?>
<sst xmlns="http://schemas.openxmlformats.org/spreadsheetml/2006/main" count="235" uniqueCount="103">
  <si>
    <t>1G</t>
  </si>
  <si>
    <t xml:space="preserve">        a: 3.7019e+06</t>
  </si>
  <si>
    <t xml:space="preserve">        b: 2.4157e+05</t>
  </si>
  <si>
    <t xml:space="preserve">        c: 1.2101e+05</t>
  </si>
  <si>
    <t xml:space="preserve">    media: 1.3548e+06</t>
  </si>
  <si>
    <t>FBG</t>
  </si>
  <si>
    <t xml:space="preserve">        a: 6.6073e+06</t>
  </si>
  <si>
    <t xml:space="preserve">        b: 1.4520e+05</t>
  </si>
  <si>
    <t xml:space="preserve">        c: 8.0427e+04</t>
  </si>
  <si>
    <t xml:space="preserve">    media: 2.2776e+06</t>
  </si>
  <si>
    <t>2G</t>
  </si>
  <si>
    <t xml:space="preserve">        a: 8.0346e+04</t>
  </si>
  <si>
    <t xml:space="preserve">        b: 1.0420e+05</t>
  </si>
  <si>
    <t xml:space="preserve">        c: 1.0858e+05</t>
  </si>
  <si>
    <t xml:space="preserve">    media: 9.7711e+04</t>
  </si>
  <si>
    <t xml:space="preserve">3G </t>
  </si>
  <si>
    <t xml:space="preserve">        a: 1.8651e+05</t>
  </si>
  <si>
    <t xml:space="preserve">        b: 2.0686e+05</t>
  </si>
  <si>
    <t xml:space="preserve">        c: 2.7254e+05</t>
  </si>
  <si>
    <t xml:space="preserve">    media: 2.2197e+05</t>
  </si>
  <si>
    <t>R_on</t>
  </si>
  <si>
    <t>R_out</t>
  </si>
  <si>
    <t>R_saida</t>
  </si>
  <si>
    <t>3G</t>
  </si>
  <si>
    <t>NaN</t>
  </si>
  <si>
    <t>m_eff</t>
  </si>
  <si>
    <t>gm</t>
  </si>
  <si>
    <t>r0</t>
  </si>
  <si>
    <t>Stefan</t>
  </si>
  <si>
    <t>Calc</t>
  </si>
  <si>
    <t>Meus dados</t>
  </si>
  <si>
    <t>Rsaida</t>
  </si>
  <si>
    <t>Cg</t>
  </si>
  <si>
    <t xml:space="preserve"> CL=8CG</t>
  </si>
  <si>
    <t>EL=8*CG*Vsup*Vsup</t>
  </si>
  <si>
    <t>EL</t>
  </si>
  <si>
    <t>Vsup/2 (1G,2G,FBG)</t>
  </si>
  <si>
    <t>Vsup/2 (3G)</t>
  </si>
  <si>
    <t>Ron</t>
  </si>
  <si>
    <t>Vth</t>
  </si>
  <si>
    <t>VDD</t>
  </si>
  <si>
    <t>VDD (3G)</t>
  </si>
  <si>
    <t>Vth antiga</t>
  </si>
  <si>
    <t>Vth correta</t>
  </si>
  <si>
    <t>Vth/VDD</t>
  </si>
  <si>
    <t>Tp = K*8*CG*Ron</t>
  </si>
  <si>
    <t>K(Vth)</t>
  </si>
  <si>
    <t>Ioff</t>
  </si>
  <si>
    <t>PS=Ioff*Vsup</t>
  </si>
  <si>
    <t>gmr0</t>
  </si>
  <si>
    <t>Vth/Vsup</t>
  </si>
  <si>
    <t>Ron/ch</t>
  </si>
  <si>
    <t>TP/ch</t>
  </si>
  <si>
    <t>PS/ch</t>
  </si>
  <si>
    <t>r0 (stefan)</t>
  </si>
  <si>
    <t>K=(2(Vth/VDD))/1-(Vth/VDD) + ln(3- 4Vth/VDD)</t>
  </si>
  <si>
    <t>r0 1V</t>
  </si>
  <si>
    <t>r0 1.3</t>
  </si>
  <si>
    <t>VALORES CORRETOS</t>
  </si>
  <si>
    <t>1G:</t>
  </si>
  <si>
    <t>FBG:</t>
  </si>
  <si>
    <t>2G:</t>
  </si>
  <si>
    <t>3G:</t>
  </si>
  <si>
    <t>R0</t>
  </si>
  <si>
    <t>Feito no excel</t>
  </si>
  <si>
    <t>Para nova versão do COOS</t>
  </si>
  <si>
    <t>Nova</t>
  </si>
  <si>
    <t>Antiga</t>
  </si>
  <si>
    <t>de Ron</t>
  </si>
  <si>
    <t>meio</t>
  </si>
  <si>
    <t>vgs max</t>
  </si>
  <si>
    <t>Ron antigo</t>
  </si>
  <si>
    <t>Ron novo</t>
  </si>
  <si>
    <t>com diferença finita</t>
  </si>
  <si>
    <t>(op2(i).V_d&gt;=0.5 &amp; op2(i).V_d&lt;=0.7)</t>
  </si>
  <si>
    <t>(op2(i).V_d&gt;=0.9 &amp; op2(i).V_d&lt;=1.1)</t>
  </si>
  <si>
    <t>(indice - 1), indice, (indice +1)</t>
  </si>
  <si>
    <t>ganho intrinseco</t>
  </si>
  <si>
    <t>indice, (indice +1)</t>
  </si>
  <si>
    <t>(indice - 1), indice]</t>
  </si>
  <si>
    <t>usando smooth</t>
  </si>
  <si>
    <t>V/I = R</t>
  </si>
  <si>
    <t>Peak Gm até 2V</t>
  </si>
  <si>
    <t>fit</t>
  </si>
  <si>
    <t>primeiro fit</t>
  </si>
  <si>
    <t>1V</t>
  </si>
  <si>
    <t>2V</t>
  </si>
  <si>
    <t>fit entre 1 e 2V</t>
  </si>
  <si>
    <t>diferenca entre 1 e 2V</t>
  </si>
  <si>
    <t>0.9 a 1.1V</t>
  </si>
  <si>
    <t>1 a 2V</t>
  </si>
  <si>
    <t>1.5 a 2V</t>
  </si>
  <si>
    <t>Escolhido</t>
  </si>
  <si>
    <t>gm em (1,1) / (0.6,0.6)</t>
  </si>
  <si>
    <t>coos v20</t>
  </si>
  <si>
    <t>r0 (fit 1.5-2V)</t>
  </si>
  <si>
    <t>fit 1V</t>
  </si>
  <si>
    <t>Other Calc</t>
  </si>
  <si>
    <t>r0 fit 1V</t>
  </si>
  <si>
    <t>finita</t>
  </si>
  <si>
    <t>r0 fit 1.5-2V</t>
  </si>
  <si>
    <t>coos v30</t>
  </si>
  <si>
    <t>Ajustado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</si>
</sst>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E+00"/>
    <numFmt numFmtId="166" formatCode="0.0E+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2" borderId="0" xfId="0" applyFill="1"/>
    <xf numFmtId="11" fontId="0" fillId="3" borderId="0" xfId="0" applyNumberFormat="1" applyFill="1"/>
    <xf numFmtId="11" fontId="0" fillId="0" borderId="0" xfId="0" applyNumberFormat="1" applyFill="1"/>
    <xf numFmtId="11" fontId="0" fillId="4" borderId="0" xfId="0" applyNumberFormat="1" applyFill="1"/>
    <xf numFmtId="1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25400</xdr:rowOff>
    </xdr:from>
    <xdr:to>
      <xdr:col>10</xdr:col>
      <xdr:colOff>415824</xdr:colOff>
      <xdr:row>27</xdr:row>
      <xdr:rowOff>126550</xdr:rowOff>
    </xdr:to>
    <xdr:pic>
      <xdr:nvPicPr>
        <xdr:cNvPr id="3" name="Picture 2" descr="https://gm1.ggpht.com/QNctaw8x80nsKiOexJuFfr2dGtS9lKD0e8AJkHSySAqbsAXzEQvgRH-OpNzmfe_LpefO1whBf0SW2_QpXI9WuWyniOD-WhPNj2Vf_Tm2IWsf5wpjalQ93YeQu7LvuEhSLUrae8xTHBVP4Lt36IosLmNVXEMo8xjKhP7e9XzniugcxSi8iJdZcO163zOBnqU-9TKAd-Zu8Tx_PHgp8tUKY0Rz10hLZL5pH_QJIEw_NHb3j5zZ7rXKZH1Kw6EqLPw-qHBJIs0EoeQ50UpCN_VaXphY3Fe4fVpl4LkEsI8u9lwytrmmklbKMeNwpS_xZ_mEx1lkNPik5DRYefAiETlLv8Tdxv8zyVAKDgLqIgkog4CoPPUb0OTPFkHmu1YngPm43inHshqqoRZKo73Xqeq4FdYwprsYZgrnIjlPbW6_mGaKDcH2BINI76KF7PSgO9p5-yl-klfu37mmA1AHr1-1iwI9HiC_5X9_SfEEuE23BTC6KuUgfVkugKdXmdJuL0QN_j04OoiA6iewQ1Jgef_wY2V2_CcE1mW2vSIK3mwRKBwSRkL3GxmtJKRymLZPk8MCKgqnRA8NloOkl0hVAZRnDU-UZf_rJCHe7Wtke7BdiHxu-5XPZxoEq0aoaa2uZ09mOlVTznqcBFi_2YbcCqFkMdAuJQGhp_vhR-gk4ZP_D466rtqcmMAlDh0VqUxsWQ=w1920-h936-l75-ft">
          <a:extLst>
            <a:ext uri="{FF2B5EF4-FFF2-40B4-BE49-F238E27FC236}">
              <a16:creationId xmlns:a16="http://schemas.microsoft.com/office/drawing/2014/main" id="{327EAC72-F827-4C87-BADA-24FA2529C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8600"/>
          <a:ext cx="6676924" cy="36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177800</xdr:rowOff>
    </xdr:from>
    <xdr:to>
      <xdr:col>22</xdr:col>
      <xdr:colOff>239360</xdr:colOff>
      <xdr:row>27</xdr:row>
      <xdr:rowOff>94800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399A8D-EF1E-47AC-B272-D574466FE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0" y="1466850"/>
          <a:ext cx="6678260" cy="36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K10" sqref="K10:N10"/>
    </sheetView>
  </sheetViews>
  <sheetFormatPr defaultRowHeight="14.5" x14ac:dyDescent="0.35"/>
  <sheetData>
    <row r="1" spans="1:14" x14ac:dyDescent="0.35">
      <c r="A1" t="s">
        <v>0</v>
      </c>
      <c r="C1" t="s">
        <v>5</v>
      </c>
      <c r="E1" t="s">
        <v>10</v>
      </c>
      <c r="G1" t="s">
        <v>15</v>
      </c>
    </row>
    <row r="2" spans="1:14" x14ac:dyDescent="0.35">
      <c r="A2" t="s">
        <v>1</v>
      </c>
      <c r="C2" t="s">
        <v>6</v>
      </c>
      <c r="E2" t="s">
        <v>11</v>
      </c>
      <c r="G2" t="s">
        <v>16</v>
      </c>
    </row>
    <row r="3" spans="1:14" x14ac:dyDescent="0.35">
      <c r="A3" t="s">
        <v>2</v>
      </c>
      <c r="C3" t="s">
        <v>7</v>
      </c>
      <c r="E3" t="s">
        <v>12</v>
      </c>
      <c r="G3" t="s">
        <v>17</v>
      </c>
    </row>
    <row r="4" spans="1:14" x14ac:dyDescent="0.35">
      <c r="A4" t="s">
        <v>3</v>
      </c>
      <c r="C4" t="s">
        <v>8</v>
      </c>
      <c r="E4" t="s">
        <v>13</v>
      </c>
      <c r="G4" t="s">
        <v>18</v>
      </c>
    </row>
    <row r="5" spans="1:14" x14ac:dyDescent="0.35">
      <c r="A5" t="s">
        <v>4</v>
      </c>
      <c r="C5" t="s">
        <v>9</v>
      </c>
      <c r="E5" t="s">
        <v>14</v>
      </c>
      <c r="G5" t="s">
        <v>19</v>
      </c>
    </row>
    <row r="7" spans="1:14" x14ac:dyDescent="0.35">
      <c r="I7" s="9" t="s">
        <v>65</v>
      </c>
    </row>
    <row r="8" spans="1:14" x14ac:dyDescent="0.35">
      <c r="B8" t="s">
        <v>0</v>
      </c>
      <c r="C8" t="s">
        <v>5</v>
      </c>
      <c r="D8" t="s">
        <v>10</v>
      </c>
      <c r="E8" t="s">
        <v>15</v>
      </c>
      <c r="J8" t="s">
        <v>20</v>
      </c>
      <c r="K8" t="s">
        <v>0</v>
      </c>
      <c r="L8" t="s">
        <v>5</v>
      </c>
      <c r="M8" t="s">
        <v>10</v>
      </c>
      <c r="N8" t="s">
        <v>15</v>
      </c>
    </row>
    <row r="9" spans="1:14" x14ac:dyDescent="0.35">
      <c r="A9" t="s">
        <v>20</v>
      </c>
      <c r="B9" s="1">
        <v>1354839.5363256801</v>
      </c>
      <c r="C9" s="1">
        <v>2277627.9064628901</v>
      </c>
      <c r="D9" s="1">
        <v>97710.841724854297</v>
      </c>
      <c r="E9" s="1">
        <v>221967.66921246101</v>
      </c>
      <c r="J9" t="s">
        <v>67</v>
      </c>
      <c r="K9" s="1">
        <v>1354839.5363256801</v>
      </c>
      <c r="L9" s="1">
        <v>2277627.9064628901</v>
      </c>
      <c r="M9" s="1">
        <v>97710.841724854297</v>
      </c>
      <c r="N9" s="1">
        <v>221967.66921246101</v>
      </c>
    </row>
    <row r="10" spans="1:14" x14ac:dyDescent="0.35">
      <c r="A10" t="s">
        <v>21</v>
      </c>
      <c r="B10" s="1">
        <v>409458.62702287798</v>
      </c>
      <c r="C10" s="1">
        <v>296849.161209949</v>
      </c>
      <c r="D10" s="1">
        <v>1974026.20041091</v>
      </c>
      <c r="E10" s="1">
        <v>1591364.0746848001</v>
      </c>
      <c r="J10" t="s">
        <v>66</v>
      </c>
      <c r="K10" s="1">
        <v>1416423.9804263599</v>
      </c>
      <c r="L10" s="1">
        <v>1644874.50585947</v>
      </c>
      <c r="M10" s="1">
        <v>142781.17449916099</v>
      </c>
      <c r="N10" s="1">
        <v>219179.030145731</v>
      </c>
    </row>
    <row r="11" spans="1:14" x14ac:dyDescent="0.35">
      <c r="A11" t="s">
        <v>22</v>
      </c>
      <c r="B11" s="1">
        <v>811630.32518587203</v>
      </c>
      <c r="C11" s="1">
        <v>1583007.6984806</v>
      </c>
      <c r="D11" s="1">
        <v>27508810.324634299</v>
      </c>
      <c r="E11" s="1">
        <v>33342559.755326401</v>
      </c>
    </row>
    <row r="13" spans="1:14" x14ac:dyDescent="0.35">
      <c r="K13" s="1"/>
      <c r="L13" s="1"/>
      <c r="M13" s="1"/>
      <c r="N13" s="1"/>
    </row>
    <row r="14" spans="1:14" x14ac:dyDescent="0.35">
      <c r="B14" t="s">
        <v>0</v>
      </c>
      <c r="C14" t="s">
        <v>5</v>
      </c>
      <c r="D14" t="s">
        <v>10</v>
      </c>
      <c r="E14" t="s">
        <v>15</v>
      </c>
    </row>
    <row r="15" spans="1:14" x14ac:dyDescent="0.35">
      <c r="A15" t="s">
        <v>22</v>
      </c>
      <c r="B15" s="1">
        <v>811630.32518587203</v>
      </c>
      <c r="C15" s="1">
        <v>1583007.6984806</v>
      </c>
      <c r="D15" s="1">
        <v>27508810.324634299</v>
      </c>
      <c r="E15" s="1">
        <v>1023947.59983987</v>
      </c>
    </row>
    <row r="17" spans="2:5" x14ac:dyDescent="0.35">
      <c r="B17" s="1"/>
      <c r="C17" s="1"/>
      <c r="D17" s="1"/>
      <c r="E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N12" sqref="N12"/>
    </sheetView>
  </sheetViews>
  <sheetFormatPr defaultRowHeight="14.5" x14ac:dyDescent="0.35"/>
  <cols>
    <col min="13" max="13" width="17.81640625" bestFit="1" customWidth="1"/>
  </cols>
  <sheetData>
    <row r="1" spans="1:14" x14ac:dyDescent="0.35">
      <c r="B1" t="s">
        <v>0</v>
      </c>
      <c r="C1" t="s">
        <v>5</v>
      </c>
      <c r="D1" t="s">
        <v>10</v>
      </c>
      <c r="E1" t="s">
        <v>15</v>
      </c>
    </row>
    <row r="2" spans="1:14" x14ac:dyDescent="0.35">
      <c r="A2" t="s">
        <v>20</v>
      </c>
      <c r="B2" s="1">
        <v>1354839.5363256801</v>
      </c>
      <c r="C2" s="1">
        <v>2277627.9064628901</v>
      </c>
      <c r="D2" s="1">
        <v>97710.841724854297</v>
      </c>
      <c r="E2" s="1">
        <v>221967.66921246101</v>
      </c>
    </row>
    <row r="3" spans="1:14" x14ac:dyDescent="0.35">
      <c r="A3" t="s">
        <v>21</v>
      </c>
      <c r="B3" s="1">
        <v>409458.62702287798</v>
      </c>
      <c r="C3" s="1">
        <v>296849.161209949</v>
      </c>
      <c r="D3" s="1">
        <v>1974026.20041091</v>
      </c>
      <c r="E3" s="1">
        <v>1591364.0746848001</v>
      </c>
    </row>
    <row r="4" spans="1:14" x14ac:dyDescent="0.35">
      <c r="A4" t="s">
        <v>22</v>
      </c>
      <c r="B4" s="1">
        <v>811630.32518587203</v>
      </c>
      <c r="C4" s="1">
        <v>1583007.6984806</v>
      </c>
      <c r="D4" s="1">
        <v>27508810.324634299</v>
      </c>
      <c r="E4" s="1">
        <v>1023947.59983987</v>
      </c>
    </row>
    <row r="6" spans="1:14" x14ac:dyDescent="0.35">
      <c r="A6" t="s">
        <v>25</v>
      </c>
      <c r="B6" s="2">
        <v>0.04</v>
      </c>
      <c r="C6" s="2">
        <v>0.1</v>
      </c>
      <c r="D6" s="2">
        <v>0.2</v>
      </c>
      <c r="E6" s="2">
        <v>0.3</v>
      </c>
      <c r="F6" s="2">
        <v>0.4</v>
      </c>
      <c r="G6" s="2">
        <v>0.5</v>
      </c>
      <c r="H6" s="2">
        <v>0.6</v>
      </c>
      <c r="I6" s="2">
        <v>0.7</v>
      </c>
      <c r="J6" s="2">
        <v>0.8</v>
      </c>
      <c r="K6" s="2">
        <v>0.9</v>
      </c>
      <c r="L6" s="2">
        <v>1</v>
      </c>
    </row>
    <row r="7" spans="1:14" x14ac:dyDescent="0.35">
      <c r="A7" t="s">
        <v>0</v>
      </c>
      <c r="B7" s="1" t="s">
        <v>24</v>
      </c>
      <c r="C7" s="1">
        <v>1584843.1283269699</v>
      </c>
      <c r="D7" s="1">
        <v>1736122.2969607599</v>
      </c>
      <c r="E7" s="1">
        <v>1966644.9972429201</v>
      </c>
      <c r="F7" s="1">
        <v>2318828.1710563898</v>
      </c>
      <c r="G7" s="1">
        <v>2809504.7123481599</v>
      </c>
      <c r="H7" s="1">
        <v>3443772.2565651201</v>
      </c>
      <c r="I7" s="1">
        <v>4228225.3068315797</v>
      </c>
      <c r="J7" s="1">
        <v>5173931.0908559896</v>
      </c>
      <c r="K7" s="1">
        <v>6294505.2031845301</v>
      </c>
      <c r="L7" s="1">
        <v>7604708.5286384104</v>
      </c>
    </row>
    <row r="8" spans="1:14" x14ac:dyDescent="0.35">
      <c r="A8" t="s">
        <v>5</v>
      </c>
      <c r="B8" s="1" t="s">
        <v>24</v>
      </c>
      <c r="C8" s="1">
        <v>1560809.5771601701</v>
      </c>
      <c r="D8" s="1">
        <v>1612544.6179811701</v>
      </c>
      <c r="E8" s="1">
        <v>1856619.8120754301</v>
      </c>
      <c r="F8" s="1">
        <v>2237021.7232839898</v>
      </c>
      <c r="G8" s="1">
        <v>2747405.6042333301</v>
      </c>
      <c r="H8" s="1">
        <v>3393386.6457579699</v>
      </c>
      <c r="I8" s="1">
        <v>4185337.8376712101</v>
      </c>
      <c r="J8" s="1">
        <v>5136036.7286828402</v>
      </c>
      <c r="K8" s="1">
        <v>6259600.42199283</v>
      </c>
      <c r="L8" s="1">
        <v>7570899.12522633</v>
      </c>
    </row>
    <row r="9" spans="1:14" x14ac:dyDescent="0.35">
      <c r="A9" t="s">
        <v>10</v>
      </c>
      <c r="B9" s="1">
        <v>83410.009164675503</v>
      </c>
      <c r="C9" s="1" t="s">
        <v>24</v>
      </c>
      <c r="D9" s="1">
        <v>385228.27281633002</v>
      </c>
      <c r="E9" s="1">
        <v>699466.40355792898</v>
      </c>
      <c r="F9" s="1" t="s">
        <v>24</v>
      </c>
      <c r="G9" s="1">
        <v>1662705.96539677</v>
      </c>
      <c r="H9" s="1">
        <v>2362351.7555484399</v>
      </c>
      <c r="I9" s="1">
        <v>3230937.0176296402</v>
      </c>
      <c r="J9" s="1">
        <v>4287028.5132394796</v>
      </c>
      <c r="K9" s="1">
        <v>5547307.6995443497</v>
      </c>
      <c r="L9" s="1">
        <v>7028932.8329908997</v>
      </c>
    </row>
    <row r="10" spans="1:14" x14ac:dyDescent="0.35">
      <c r="A10" t="s">
        <v>23</v>
      </c>
      <c r="B10" s="1">
        <v>219179.030145731</v>
      </c>
      <c r="C10" s="1">
        <v>292761.15923282597</v>
      </c>
      <c r="D10" s="1">
        <v>1770304.17390555</v>
      </c>
      <c r="E10" s="1">
        <v>4095335.5279605002</v>
      </c>
      <c r="F10" s="1">
        <v>7842530.7302958304</v>
      </c>
      <c r="G10" s="1">
        <v>13338919.1314967</v>
      </c>
      <c r="H10" s="1">
        <v>20904239.0391289</v>
      </c>
      <c r="I10" s="1">
        <v>30838394.517766599</v>
      </c>
      <c r="J10" s="1">
        <v>43409077.475648597</v>
      </c>
      <c r="K10" s="1">
        <v>58844552.117296197</v>
      </c>
      <c r="L10" s="1">
        <v>77326702.0184879</v>
      </c>
    </row>
    <row r="12" spans="1:14" x14ac:dyDescent="0.35">
      <c r="A12" t="s">
        <v>25</v>
      </c>
      <c r="B12" s="2">
        <v>0.04</v>
      </c>
      <c r="C12" s="2">
        <v>0.1</v>
      </c>
      <c r="D12" s="2">
        <v>0.2</v>
      </c>
      <c r="E12" s="2">
        <v>0.3</v>
      </c>
      <c r="F12" s="2">
        <v>0.4</v>
      </c>
      <c r="G12" s="2">
        <v>0.5</v>
      </c>
      <c r="H12" s="2">
        <v>0.6</v>
      </c>
      <c r="I12" s="2">
        <v>0.7</v>
      </c>
      <c r="J12" s="2">
        <v>0.8</v>
      </c>
      <c r="K12" s="2">
        <v>0.9</v>
      </c>
      <c r="L12" s="2">
        <v>1</v>
      </c>
      <c r="M12" s="9" t="s">
        <v>58</v>
      </c>
      <c r="N12" t="s">
        <v>68</v>
      </c>
    </row>
    <row r="13" spans="1:14" x14ac:dyDescent="0.35">
      <c r="A13" t="s">
        <v>0</v>
      </c>
      <c r="B13" s="1">
        <v>1416423.9804263599</v>
      </c>
      <c r="C13" s="1">
        <v>1584843.1283269699</v>
      </c>
      <c r="D13" s="1">
        <v>1736122.2969607599</v>
      </c>
      <c r="E13" s="1">
        <v>1966644.9972429201</v>
      </c>
      <c r="F13" s="1">
        <v>2318828.1710563898</v>
      </c>
      <c r="G13" s="1">
        <v>2809504.7123481599</v>
      </c>
      <c r="H13" s="1">
        <v>3443772.2565651201</v>
      </c>
      <c r="I13" s="1">
        <v>4228225.3068315797</v>
      </c>
      <c r="J13" s="1">
        <v>5173931.0908559896</v>
      </c>
      <c r="K13" s="1">
        <v>6294505.2031845301</v>
      </c>
      <c r="L13" s="1">
        <v>7604708.5286384104</v>
      </c>
    </row>
    <row r="14" spans="1:14" x14ac:dyDescent="0.35">
      <c r="A14" t="s">
        <v>5</v>
      </c>
      <c r="B14" s="1">
        <v>1644874.50585947</v>
      </c>
      <c r="C14" s="1">
        <v>1560809.5771601701</v>
      </c>
      <c r="D14" s="1">
        <v>1612544.6179811701</v>
      </c>
      <c r="E14" s="1">
        <v>1856619.8120754301</v>
      </c>
      <c r="F14" s="1">
        <v>2237021.7232839898</v>
      </c>
      <c r="G14" s="1">
        <v>2747405.6042333301</v>
      </c>
      <c r="H14" s="1">
        <v>3393386.6457579699</v>
      </c>
      <c r="I14" s="1">
        <v>4185337.8376712101</v>
      </c>
      <c r="J14" s="1">
        <v>5136036.7286828402</v>
      </c>
      <c r="K14" s="1">
        <v>6259600.42199283</v>
      </c>
      <c r="L14" s="1">
        <v>7570899.12522633</v>
      </c>
    </row>
    <row r="15" spans="1:14" x14ac:dyDescent="0.35">
      <c r="A15" t="s">
        <v>10</v>
      </c>
      <c r="B15" s="1">
        <v>142781.17449916099</v>
      </c>
      <c r="C15" s="1">
        <v>199629.673301637</v>
      </c>
      <c r="D15" s="1">
        <v>385228.27281633002</v>
      </c>
      <c r="E15" s="1">
        <v>699466.40355792898</v>
      </c>
      <c r="F15" s="1">
        <v>1128382.57637664</v>
      </c>
      <c r="G15" s="1">
        <v>1662705.96539677</v>
      </c>
      <c r="H15" s="1">
        <v>2362351.7555484399</v>
      </c>
      <c r="I15" s="1">
        <v>3230937.0176296402</v>
      </c>
      <c r="J15" s="1">
        <v>4287028.5132394796</v>
      </c>
      <c r="K15" s="1">
        <v>5547307.6995443497</v>
      </c>
      <c r="L15" s="1">
        <v>7028932.8329908997</v>
      </c>
    </row>
    <row r="16" spans="1:14" x14ac:dyDescent="0.35">
      <c r="A16" t="s">
        <v>23</v>
      </c>
      <c r="B16" s="1">
        <v>219179.030145731</v>
      </c>
      <c r="C16" s="1">
        <v>544902.42415932205</v>
      </c>
      <c r="D16" s="1">
        <v>1770304.17390555</v>
      </c>
      <c r="E16" s="1">
        <v>4095335.5279605002</v>
      </c>
      <c r="F16" s="1">
        <v>7842530.7302958304</v>
      </c>
      <c r="G16" s="1">
        <v>13338919.1314967</v>
      </c>
      <c r="H16" s="1">
        <v>20904239.0391289</v>
      </c>
      <c r="I16" s="1">
        <v>30838394.517766599</v>
      </c>
      <c r="J16" s="1">
        <v>43409077.475648597</v>
      </c>
      <c r="K16" s="1">
        <v>58844552.117296197</v>
      </c>
      <c r="L16" s="1">
        <v>77326702.0184879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topLeftCell="A16" workbookViewId="0">
      <pane xSplit="1" topLeftCell="B1" activePane="topRight" state="frozen"/>
      <selection pane="topRight" activeCell="O24" sqref="O24"/>
    </sheetView>
  </sheetViews>
  <sheetFormatPr defaultRowHeight="14.5" x14ac:dyDescent="0.35"/>
  <cols>
    <col min="2" max="2" width="9.81640625" bestFit="1" customWidth="1"/>
    <col min="4" max="4" width="9.36328125" bestFit="1" customWidth="1"/>
    <col min="6" max="6" width="8" bestFit="1" customWidth="1"/>
    <col min="7" max="7" width="8.81640625" bestFit="1" customWidth="1"/>
    <col min="8" max="8" width="9" bestFit="1" customWidth="1"/>
    <col min="10" max="10" width="8.36328125" bestFit="1" customWidth="1"/>
    <col min="11" max="11" width="18.36328125" bestFit="1" customWidth="1"/>
    <col min="14" max="14" width="8.36328125" bestFit="1" customWidth="1"/>
    <col min="15" max="15" width="8.36328125" customWidth="1"/>
    <col min="16" max="16" width="9.1796875" bestFit="1" customWidth="1"/>
    <col min="17" max="17" width="10.08984375" bestFit="1" customWidth="1"/>
    <col min="18" max="19" width="8.1796875" customWidth="1"/>
    <col min="20" max="20" width="18.08984375" customWidth="1"/>
    <col min="21" max="21" width="15.54296875" bestFit="1" customWidth="1"/>
    <col min="22" max="23" width="9.54296875" customWidth="1"/>
    <col min="24" max="24" width="11.81640625" bestFit="1" customWidth="1"/>
    <col min="25" max="25" width="11.81640625" customWidth="1"/>
  </cols>
  <sheetData>
    <row r="1" spans="1:26" x14ac:dyDescent="0.35">
      <c r="B1" t="s">
        <v>26</v>
      </c>
      <c r="C1" t="s">
        <v>27</v>
      </c>
      <c r="D1" t="s">
        <v>29</v>
      </c>
      <c r="E1" t="s">
        <v>28</v>
      </c>
      <c r="G1" t="s">
        <v>32</v>
      </c>
      <c r="H1" t="s">
        <v>33</v>
      </c>
      <c r="I1" t="s">
        <v>28</v>
      </c>
      <c r="K1" t="s">
        <v>34</v>
      </c>
      <c r="L1" t="s">
        <v>28</v>
      </c>
      <c r="N1" t="s">
        <v>38</v>
      </c>
      <c r="P1" t="s">
        <v>39</v>
      </c>
      <c r="Q1" t="s">
        <v>44</v>
      </c>
      <c r="R1" t="s">
        <v>28</v>
      </c>
      <c r="T1" t="s">
        <v>55</v>
      </c>
      <c r="U1" t="s">
        <v>45</v>
      </c>
      <c r="V1" t="s">
        <v>28</v>
      </c>
      <c r="X1" t="s">
        <v>47</v>
      </c>
      <c r="Y1" t="s">
        <v>48</v>
      </c>
      <c r="Z1" t="s">
        <v>28</v>
      </c>
    </row>
    <row r="2" spans="1:26" x14ac:dyDescent="0.35">
      <c r="A2" t="s">
        <v>0</v>
      </c>
      <c r="B2" s="1">
        <f>3.3*10^-6</f>
        <v>3.2999999999999997E-6</v>
      </c>
      <c r="C2" s="1">
        <v>811630.32518587203</v>
      </c>
      <c r="D2" s="2">
        <f>B2*C2</f>
        <v>2.6783800731133773</v>
      </c>
      <c r="E2">
        <v>2.7</v>
      </c>
      <c r="G2">
        <f>15.5 *10^-18</f>
        <v>1.5500000000000002E-17</v>
      </c>
      <c r="H2" s="5">
        <f>8*G2</f>
        <v>1.2400000000000002E-16</v>
      </c>
      <c r="I2" s="5">
        <f>0.12*10^-15</f>
        <v>1.2E-16</v>
      </c>
      <c r="J2" s="5"/>
      <c r="K2" s="1">
        <f>H2*$M$7*$M$7</f>
        <v>4.9600000000000007E-16</v>
      </c>
      <c r="L2">
        <f>0.48*10^-15</f>
        <v>4.8000000000000001E-16</v>
      </c>
      <c r="N2" s="1">
        <v>1416423.9804263599</v>
      </c>
      <c r="O2" s="1"/>
      <c r="P2" s="1">
        <v>0.27969844438008201</v>
      </c>
      <c r="Q2" s="3">
        <f>P2/$Q$7</f>
        <v>0.13984922219004101</v>
      </c>
      <c r="R2">
        <v>0.219</v>
      </c>
      <c r="T2" s="2">
        <f>((2*Q2)/(1-Q2)) + LN(3 - 4*Q2)</f>
        <v>1.2174189243320352</v>
      </c>
      <c r="U2" s="1">
        <f>T2*H2*N2</f>
        <v>2.1382328847244615E-10</v>
      </c>
      <c r="V2" s="1">
        <f>212*10^-12</f>
        <v>2.1199999999999999E-10</v>
      </c>
      <c r="W2" s="1"/>
      <c r="X2" s="1">
        <f>3.368*10^-10</f>
        <v>3.3680000000000002E-10</v>
      </c>
      <c r="Y2" s="1">
        <f>X2*$Q$7</f>
        <v>6.7360000000000003E-10</v>
      </c>
      <c r="Z2">
        <f>0.67*10^-9</f>
        <v>6.7000000000000006E-10</v>
      </c>
    </row>
    <row r="3" spans="1:26" x14ac:dyDescent="0.35">
      <c r="A3" t="s">
        <v>5</v>
      </c>
      <c r="B3" s="1">
        <f>6.4*10^-6</f>
        <v>6.3999999999999997E-6</v>
      </c>
      <c r="C3" s="1">
        <v>1583007.6984806</v>
      </c>
      <c r="D3" s="2">
        <f t="shared" ref="D3:D5" si="0">B3*C3</f>
        <v>10.131249270275839</v>
      </c>
      <c r="E3">
        <v>10</v>
      </c>
      <c r="G3">
        <f>16.3 *10^-18</f>
        <v>1.6300000000000001E-17</v>
      </c>
      <c r="H3" s="5">
        <f t="shared" ref="H3:H5" si="1">8*G3</f>
        <v>1.3040000000000001E-16</v>
      </c>
      <c r="I3" s="5">
        <f>0.13*10^-15</f>
        <v>1.3000000000000002E-16</v>
      </c>
      <c r="J3" s="5"/>
      <c r="K3" s="1">
        <f>H3*$M$7*$M$7</f>
        <v>5.2160000000000003E-16</v>
      </c>
      <c r="L3">
        <f>0.52*10^-15</f>
        <v>5.2000000000000007E-16</v>
      </c>
      <c r="N3" s="1">
        <v>1644874.50585947</v>
      </c>
      <c r="O3" s="1"/>
      <c r="P3" s="1">
        <v>0.32142672995136001</v>
      </c>
      <c r="Q3" s="3">
        <f>P3/$Q$7</f>
        <v>0.16071336497568001</v>
      </c>
      <c r="R3">
        <v>0.28000000000000003</v>
      </c>
      <c r="T3" s="2">
        <f t="shared" ref="T3:T5" si="2">((2*Q3)/(1-Q3)) + LN(3 - 4*Q3)</f>
        <v>1.2404279034752241</v>
      </c>
      <c r="U3" s="1">
        <f t="shared" ref="U3:U5" si="3">T3*H3*N3</f>
        <v>2.6606140981571722E-10</v>
      </c>
      <c r="V3" s="1">
        <f>418*10^-12</f>
        <v>4.18E-10</v>
      </c>
      <c r="W3" s="1"/>
      <c r="X3">
        <f>1.165*10^-10</f>
        <v>1.1650000000000001E-10</v>
      </c>
      <c r="Y3" s="1">
        <f>X3*$Q$7</f>
        <v>2.3300000000000002E-10</v>
      </c>
      <c r="Z3">
        <f>0.23*10^-9</f>
        <v>2.3000000000000003E-10</v>
      </c>
    </row>
    <row r="4" spans="1:26" x14ac:dyDescent="0.35">
      <c r="A4" t="s">
        <v>10</v>
      </c>
      <c r="B4" s="1">
        <f>7.3*10^-6</f>
        <v>7.2999999999999996E-6</v>
      </c>
      <c r="C4" s="1">
        <v>27508810.324634299</v>
      </c>
      <c r="D4" s="2">
        <f t="shared" si="0"/>
        <v>200.81431536983038</v>
      </c>
      <c r="E4">
        <v>200</v>
      </c>
      <c r="G4">
        <f>16.3 *10^-18</f>
        <v>1.6300000000000001E-17</v>
      </c>
      <c r="H4" s="5">
        <f t="shared" si="1"/>
        <v>1.3040000000000001E-16</v>
      </c>
      <c r="I4" s="5">
        <f>0.13*10^-15</f>
        <v>1.3000000000000002E-16</v>
      </c>
      <c r="J4" s="5"/>
      <c r="K4" s="1">
        <f>H4*$M$7*$M$7</f>
        <v>5.2160000000000003E-16</v>
      </c>
      <c r="L4">
        <f>0.52*10^-15</f>
        <v>5.2000000000000007E-16</v>
      </c>
      <c r="N4" s="1">
        <v>142781.17449916099</v>
      </c>
      <c r="O4" s="1"/>
      <c r="P4" s="1">
        <v>0.46001966358768298</v>
      </c>
      <c r="Q4" s="3">
        <f>P4/$Q$7</f>
        <v>0.23000983179384149</v>
      </c>
      <c r="R4">
        <v>0.28399999999999997</v>
      </c>
      <c r="T4" s="2">
        <f t="shared" si="2"/>
        <v>1.3297847491645254</v>
      </c>
      <c r="U4" s="1">
        <f t="shared" si="3"/>
        <v>2.4758816972508522E-11</v>
      </c>
      <c r="V4" s="1">
        <f>18*10^-12</f>
        <v>1.7999999999999999E-11</v>
      </c>
      <c r="W4" s="1"/>
      <c r="X4">
        <f>1.316*10^-10</f>
        <v>1.3160000000000002E-10</v>
      </c>
      <c r="Y4" s="1">
        <f>X4*$Q$7</f>
        <v>2.6320000000000003E-10</v>
      </c>
      <c r="Z4">
        <f>0.26*10^-9</f>
        <v>2.6000000000000003E-10</v>
      </c>
    </row>
    <row r="5" spans="1:26" x14ac:dyDescent="0.35">
      <c r="A5" t="s">
        <v>23</v>
      </c>
      <c r="B5" s="1">
        <f>1.6*10^-6</f>
        <v>1.5999999999999999E-6</v>
      </c>
      <c r="C5" s="1">
        <v>33342559.755326401</v>
      </c>
      <c r="D5" s="2">
        <f t="shared" si="0"/>
        <v>53.348095608522243</v>
      </c>
      <c r="E5">
        <v>53</v>
      </c>
      <c r="G5">
        <f>2.68 *10^-18</f>
        <v>2.6800000000000004E-18</v>
      </c>
      <c r="H5" s="5">
        <f t="shared" si="1"/>
        <v>2.1440000000000003E-17</v>
      </c>
      <c r="I5" s="5">
        <f>0.021*10^-15</f>
        <v>2.1000000000000002E-17</v>
      </c>
      <c r="J5" s="5"/>
      <c r="K5" s="1">
        <f>H5*M8*M8</f>
        <v>3.0873600000000002E-17</v>
      </c>
      <c r="L5">
        <f>0.021*10^-15</f>
        <v>2.1000000000000002E-17</v>
      </c>
      <c r="N5" s="1">
        <v>219179.030145731</v>
      </c>
      <c r="O5" s="1"/>
      <c r="P5" s="1">
        <v>0.17616846904109501</v>
      </c>
      <c r="Q5" s="3">
        <f>P5/$Q$8</f>
        <v>0.14680705753424586</v>
      </c>
      <c r="R5">
        <v>0.14799999999999999</v>
      </c>
      <c r="T5" s="2">
        <f t="shared" si="2"/>
        <v>1.224911857089799</v>
      </c>
      <c r="U5" s="1">
        <f t="shared" si="3"/>
        <v>5.7561038467243344E-12</v>
      </c>
      <c r="V5" s="1">
        <f>5.7*10^-12</f>
        <v>5.7000000000000003E-12</v>
      </c>
      <c r="W5" s="1"/>
      <c r="X5">
        <f>7.769*10^-9</f>
        <v>7.769E-9</v>
      </c>
      <c r="Y5" s="1">
        <f>X5*$Q$8</f>
        <v>9.3227999999999993E-9</v>
      </c>
      <c r="Z5">
        <f>9.3*10^-9</f>
        <v>9.3000000000000006E-9</v>
      </c>
    </row>
    <row r="7" spans="1:26" x14ac:dyDescent="0.35">
      <c r="B7">
        <v>1321939.67490598</v>
      </c>
      <c r="C7">
        <v>54311981.808255397</v>
      </c>
      <c r="D7">
        <v>1240214480.2226601</v>
      </c>
      <c r="K7" t="s">
        <v>36</v>
      </c>
      <c r="L7">
        <v>1</v>
      </c>
      <c r="M7">
        <v>2</v>
      </c>
      <c r="P7" t="s">
        <v>40</v>
      </c>
      <c r="Q7">
        <v>2</v>
      </c>
    </row>
    <row r="8" spans="1:26" x14ac:dyDescent="0.35">
      <c r="K8" t="s">
        <v>37</v>
      </c>
      <c r="L8">
        <v>0.6</v>
      </c>
      <c r="M8">
        <v>1.2</v>
      </c>
      <c r="P8" t="s">
        <v>41</v>
      </c>
      <c r="Q8">
        <v>1.2</v>
      </c>
    </row>
    <row r="9" spans="1:26" x14ac:dyDescent="0.35">
      <c r="B9" t="s">
        <v>30</v>
      </c>
    </row>
    <row r="10" spans="1:26" x14ac:dyDescent="0.35">
      <c r="B10" t="s">
        <v>26</v>
      </c>
      <c r="C10" t="s">
        <v>31</v>
      </c>
      <c r="D10" t="s">
        <v>29</v>
      </c>
      <c r="E10" t="s">
        <v>54</v>
      </c>
      <c r="G10" t="s">
        <v>32</v>
      </c>
      <c r="I10" t="s">
        <v>56</v>
      </c>
      <c r="J10" t="s">
        <v>57</v>
      </c>
      <c r="N10" t="s">
        <v>38</v>
      </c>
      <c r="P10" t="s">
        <v>42</v>
      </c>
      <c r="Q10" t="s">
        <v>43</v>
      </c>
      <c r="T10" t="s">
        <v>46</v>
      </c>
      <c r="X10" t="s">
        <v>47</v>
      </c>
    </row>
    <row r="11" spans="1:26" x14ac:dyDescent="0.35">
      <c r="A11" t="s">
        <v>0</v>
      </c>
      <c r="B11" s="1">
        <f>3.293*10^-6</f>
        <v>3.2930000000000001E-6</v>
      </c>
      <c r="C11" s="1">
        <v>811630.32518587203</v>
      </c>
      <c r="D11" s="2">
        <f>B11*C11</f>
        <v>2.6726986608370766</v>
      </c>
      <c r="E11" s="1">
        <f>0.81*10^6</f>
        <v>810000</v>
      </c>
      <c r="G11">
        <f>15.5 *10^-18</f>
        <v>1.5500000000000002E-17</v>
      </c>
      <c r="I11" s="1">
        <v>811630.32518587203</v>
      </c>
      <c r="J11" s="1">
        <v>1321939.67490598</v>
      </c>
      <c r="K11" s="4"/>
      <c r="N11" s="1">
        <v>1354839.5363256801</v>
      </c>
      <c r="O11" s="1"/>
      <c r="P11" s="1">
        <v>0.437</v>
      </c>
      <c r="Q11" s="1">
        <v>0.27969844438008201</v>
      </c>
      <c r="R11" s="1"/>
      <c r="S11" s="1"/>
      <c r="T11">
        <v>1.31</v>
      </c>
      <c r="U11" s="1"/>
      <c r="V11" s="1"/>
      <c r="W11" s="1"/>
      <c r="X11" s="1">
        <f>3.368*10^-10</f>
        <v>3.3680000000000002E-10</v>
      </c>
      <c r="Y11" s="1"/>
    </row>
    <row r="12" spans="1:26" x14ac:dyDescent="0.35">
      <c r="A12" t="s">
        <v>5</v>
      </c>
      <c r="B12" s="1">
        <f>6.442*10^-6</f>
        <v>6.4419999999999995E-6</v>
      </c>
      <c r="C12" s="1">
        <v>1583007.6984806</v>
      </c>
      <c r="D12" s="2">
        <f>B12*C12</f>
        <v>10.197735593612025</v>
      </c>
      <c r="E12" s="1">
        <f>1.6*10^6</f>
        <v>1600000</v>
      </c>
      <c r="G12">
        <f>16.3 *10^-18</f>
        <v>1.6300000000000001E-17</v>
      </c>
      <c r="I12" s="1">
        <v>1583007.6984806</v>
      </c>
      <c r="J12" s="1">
        <v>54311981.808255397</v>
      </c>
      <c r="K12" s="4"/>
      <c r="N12" s="1">
        <v>2277627.9064628901</v>
      </c>
      <c r="O12" s="1"/>
      <c r="P12" s="1">
        <v>0.55900000000000005</v>
      </c>
      <c r="Q12" s="1">
        <v>0.32142672995136001</v>
      </c>
      <c r="R12" s="1"/>
      <c r="S12" s="1"/>
      <c r="T12">
        <v>1.41</v>
      </c>
      <c r="U12" s="1"/>
      <c r="V12" s="1"/>
      <c r="W12" s="1"/>
      <c r="X12">
        <f>1.165*10^-10</f>
        <v>1.1650000000000001E-10</v>
      </c>
    </row>
    <row r="13" spans="1:26" x14ac:dyDescent="0.35">
      <c r="A13" t="s">
        <v>10</v>
      </c>
      <c r="B13" s="1">
        <f>7.33*10^-6</f>
        <v>7.3300000000000001E-6</v>
      </c>
      <c r="C13" s="1">
        <v>27508810.324634299</v>
      </c>
      <c r="D13" s="2">
        <f>B13*C13</f>
        <v>201.63957967956941</v>
      </c>
      <c r="E13" s="1">
        <f>28*10^6</f>
        <v>28000000</v>
      </c>
      <c r="G13">
        <f>16.3 *10^-18</f>
        <v>1.6300000000000001E-17</v>
      </c>
      <c r="I13" s="1">
        <v>27508810.324634299</v>
      </c>
      <c r="J13" s="1">
        <v>1240214480.2226601</v>
      </c>
      <c r="K13" s="4"/>
      <c r="N13" s="1">
        <v>97710.841724854297</v>
      </c>
      <c r="O13" s="1"/>
      <c r="P13" s="1">
        <v>0.56799999999999995</v>
      </c>
      <c r="Q13" s="1">
        <v>0.46001966358768298</v>
      </c>
      <c r="R13" s="1"/>
      <c r="S13" s="1"/>
      <c r="T13">
        <v>1.42</v>
      </c>
      <c r="U13" s="1"/>
      <c r="V13" s="1"/>
      <c r="W13" s="1"/>
      <c r="X13">
        <f>1.316*10^-10</f>
        <v>1.3160000000000002E-10</v>
      </c>
    </row>
    <row r="14" spans="1:26" x14ac:dyDescent="0.35">
      <c r="A14" t="s">
        <v>23</v>
      </c>
      <c r="B14" s="1">
        <f>1.638*10^-6</f>
        <v>1.6379999999999998E-6</v>
      </c>
      <c r="C14" s="1">
        <v>3354301.90849793</v>
      </c>
      <c r="D14" s="2">
        <f>B14*C14</f>
        <v>5.4943465261196085</v>
      </c>
      <c r="E14" s="1">
        <f>33*10^6</f>
        <v>33000000</v>
      </c>
      <c r="G14">
        <f>2.68 *10^-18</f>
        <v>2.6800000000000004E-18</v>
      </c>
      <c r="I14" s="1">
        <v>3354301.90849793</v>
      </c>
      <c r="J14" s="1">
        <v>33342559.755326401</v>
      </c>
      <c r="K14" s="4"/>
      <c r="N14" s="1">
        <v>221967.66921246101</v>
      </c>
      <c r="O14" s="1"/>
      <c r="P14" s="1">
        <v>0.17799999999999999</v>
      </c>
      <c r="Q14" s="1">
        <v>0.17616846904109501</v>
      </c>
      <c r="T14">
        <v>1.23</v>
      </c>
      <c r="X14">
        <f>7.769*10^-9</f>
        <v>7.769E-9</v>
      </c>
    </row>
    <row r="17" spans="1:25" x14ac:dyDescent="0.35">
      <c r="B17" t="s">
        <v>49</v>
      </c>
      <c r="C17" t="s">
        <v>50</v>
      </c>
      <c r="D17" t="s">
        <v>51</v>
      </c>
      <c r="E17" t="s">
        <v>52</v>
      </c>
      <c r="F17" t="s">
        <v>53</v>
      </c>
      <c r="G17" t="s">
        <v>35</v>
      </c>
      <c r="M17" t="s">
        <v>71</v>
      </c>
      <c r="N17" t="s">
        <v>72</v>
      </c>
      <c r="R17" s="1"/>
      <c r="S17" s="1"/>
      <c r="T17" s="1"/>
      <c r="U17" s="1"/>
      <c r="V17" s="1"/>
      <c r="W17" s="1"/>
      <c r="X17" s="1"/>
      <c r="Y17" s="1"/>
    </row>
    <row r="18" spans="1:25" x14ac:dyDescent="0.35">
      <c r="A18" t="s">
        <v>0</v>
      </c>
      <c r="B18" s="6">
        <f>D2</f>
        <v>2.6783800731133773</v>
      </c>
      <c r="C18" s="3">
        <f>Q2</f>
        <v>0.13984922219004101</v>
      </c>
      <c r="D18" s="1">
        <f>N2</f>
        <v>1416423.9804263599</v>
      </c>
      <c r="E18" s="1">
        <f>U2</f>
        <v>2.1382328847244615E-10</v>
      </c>
      <c r="F18" s="1">
        <f>Y2</f>
        <v>6.7360000000000003E-10</v>
      </c>
      <c r="G18" s="1">
        <f>K2</f>
        <v>4.9600000000000007E-16</v>
      </c>
      <c r="H18" s="8"/>
      <c r="M18" s="1">
        <f>1.35*10^6</f>
        <v>1350000</v>
      </c>
      <c r="N18" s="1">
        <v>1416423.9804263599</v>
      </c>
    </row>
    <row r="19" spans="1:25" x14ac:dyDescent="0.35">
      <c r="A19" t="s">
        <v>5</v>
      </c>
      <c r="B19" s="7">
        <f t="shared" ref="B19:B21" si="4">D3</f>
        <v>10.131249270275839</v>
      </c>
      <c r="C19" s="3">
        <f t="shared" ref="C19:C21" si="5">Q3</f>
        <v>0.16071336497568001</v>
      </c>
      <c r="D19" s="1">
        <f t="shared" ref="D19:D21" si="6">N3</f>
        <v>1644874.50585947</v>
      </c>
      <c r="E19" s="1">
        <f t="shared" ref="E19:E21" si="7">U3</f>
        <v>2.6606140981571722E-10</v>
      </c>
      <c r="F19" s="1">
        <f t="shared" ref="F19:F21" si="8">Y3</f>
        <v>2.3300000000000002E-10</v>
      </c>
      <c r="G19" s="1">
        <f t="shared" ref="G19:G21" si="9">K3</f>
        <v>5.2160000000000003E-16</v>
      </c>
      <c r="H19" s="8"/>
      <c r="M19" s="1">
        <f xml:space="preserve"> 2.28*10^6</f>
        <v>2280000</v>
      </c>
      <c r="N19" s="1">
        <v>1644874.50585947</v>
      </c>
    </row>
    <row r="20" spans="1:25" x14ac:dyDescent="0.35">
      <c r="A20" t="s">
        <v>10</v>
      </c>
      <c r="B20" s="7">
        <f t="shared" si="4"/>
        <v>200.81431536983038</v>
      </c>
      <c r="C20" s="3">
        <f t="shared" si="5"/>
        <v>0.23000983179384149</v>
      </c>
      <c r="D20" s="1">
        <f t="shared" si="6"/>
        <v>142781.17449916099</v>
      </c>
      <c r="E20" s="1">
        <f t="shared" si="7"/>
        <v>2.4758816972508522E-11</v>
      </c>
      <c r="F20" s="1">
        <f t="shared" si="8"/>
        <v>2.6320000000000003E-10</v>
      </c>
      <c r="G20" s="1">
        <f t="shared" si="9"/>
        <v>5.2160000000000003E-16</v>
      </c>
      <c r="H20" s="8"/>
      <c r="M20" s="1">
        <f>97.7*10^3</f>
        <v>97700</v>
      </c>
      <c r="N20" s="1">
        <v>142781.17449916099</v>
      </c>
    </row>
    <row r="21" spans="1:25" x14ac:dyDescent="0.35">
      <c r="A21" t="s">
        <v>23</v>
      </c>
      <c r="B21" s="6">
        <f t="shared" si="4"/>
        <v>53.348095608522243</v>
      </c>
      <c r="C21" s="3">
        <f t="shared" si="5"/>
        <v>0.14680705753424586</v>
      </c>
      <c r="D21" s="1">
        <f t="shared" si="6"/>
        <v>219179.030145731</v>
      </c>
      <c r="E21" s="1">
        <f t="shared" si="7"/>
        <v>5.7561038467243344E-12</v>
      </c>
      <c r="F21" s="1">
        <f t="shared" si="8"/>
        <v>9.3227999999999993E-9</v>
      </c>
      <c r="G21" s="1">
        <f t="shared" si="9"/>
        <v>3.0873600000000002E-17</v>
      </c>
      <c r="H21" s="8"/>
      <c r="M21" s="1">
        <f>222*10^3</f>
        <v>222000</v>
      </c>
      <c r="N21" s="1">
        <v>219179.030145731</v>
      </c>
    </row>
    <row r="23" spans="1:25" x14ac:dyDescent="0.35">
      <c r="B23" t="s">
        <v>49</v>
      </c>
      <c r="C23" t="s">
        <v>50</v>
      </c>
      <c r="D23" t="s">
        <v>51</v>
      </c>
      <c r="E23" t="s">
        <v>52</v>
      </c>
      <c r="F23" t="s">
        <v>53</v>
      </c>
      <c r="G23" t="s">
        <v>35</v>
      </c>
    </row>
    <row r="24" spans="1:25" x14ac:dyDescent="0.35">
      <c r="A24" t="s">
        <v>0</v>
      </c>
      <c r="B24">
        <f>E2</f>
        <v>2.7</v>
      </c>
      <c r="C24">
        <f>R2</f>
        <v>0.219</v>
      </c>
      <c r="D24" s="1">
        <f>N2</f>
        <v>1416423.9804263599</v>
      </c>
      <c r="E24" s="1">
        <f>V2</f>
        <v>2.1199999999999999E-10</v>
      </c>
      <c r="F24">
        <f>Z2</f>
        <v>6.7000000000000006E-10</v>
      </c>
      <c r="G24">
        <f>L2</f>
        <v>4.8000000000000001E-16</v>
      </c>
      <c r="M24" t="s">
        <v>39</v>
      </c>
      <c r="N24" t="s">
        <v>102</v>
      </c>
    </row>
    <row r="25" spans="1:25" x14ac:dyDescent="0.35">
      <c r="A25" t="s">
        <v>5</v>
      </c>
      <c r="B25">
        <f>E3</f>
        <v>10</v>
      </c>
      <c r="C25">
        <f>R3</f>
        <v>0.28000000000000003</v>
      </c>
      <c r="D25" s="1">
        <f>N3</f>
        <v>1644874.50585947</v>
      </c>
      <c r="E25" s="1">
        <f>V3</f>
        <v>4.18E-10</v>
      </c>
      <c r="F25">
        <f>Z3</f>
        <v>2.3000000000000003E-10</v>
      </c>
      <c r="G25">
        <f>L3</f>
        <v>5.2000000000000007E-16</v>
      </c>
      <c r="M25" s="2">
        <v>0.27969844438008201</v>
      </c>
      <c r="N25" s="2">
        <v>0.27969844438008201</v>
      </c>
      <c r="P25" s="1"/>
      <c r="Q25" s="1"/>
      <c r="R25" s="1"/>
      <c r="S25" s="1"/>
    </row>
    <row r="26" spans="1:25" x14ac:dyDescent="0.35">
      <c r="A26" t="s">
        <v>10</v>
      </c>
      <c r="B26">
        <f>E4</f>
        <v>200</v>
      </c>
      <c r="C26">
        <f>R4</f>
        <v>0.28399999999999997</v>
      </c>
      <c r="D26" s="1">
        <f>N4</f>
        <v>142781.17449916099</v>
      </c>
      <c r="E26" s="1">
        <f>V4</f>
        <v>1.7999999999999999E-11</v>
      </c>
      <c r="F26">
        <f>Z4</f>
        <v>2.6000000000000003E-10</v>
      </c>
      <c r="G26">
        <f>L4</f>
        <v>5.2000000000000007E-16</v>
      </c>
      <c r="M26" s="2">
        <v>0.32142672995136001</v>
      </c>
      <c r="N26" s="2">
        <v>0.32142672995136001</v>
      </c>
      <c r="P26" s="1"/>
      <c r="Q26" s="1"/>
      <c r="R26" s="1"/>
      <c r="S26" s="1"/>
    </row>
    <row r="27" spans="1:25" x14ac:dyDescent="0.35">
      <c r="A27" t="s">
        <v>23</v>
      </c>
      <c r="B27">
        <f>E5</f>
        <v>53</v>
      </c>
      <c r="C27">
        <f>R5</f>
        <v>0.14799999999999999</v>
      </c>
      <c r="D27" s="1">
        <f>N5</f>
        <v>219179.030145731</v>
      </c>
      <c r="E27" s="1">
        <f>V5</f>
        <v>5.7000000000000003E-12</v>
      </c>
      <c r="F27">
        <f>Z5</f>
        <v>9.3000000000000006E-9</v>
      </c>
      <c r="G27">
        <f>L5</f>
        <v>2.1000000000000002E-17</v>
      </c>
      <c r="M27" s="2">
        <v>0.46001966358768298</v>
      </c>
      <c r="N27" s="2">
        <v>0.40595784230846099</v>
      </c>
      <c r="P27" s="1"/>
      <c r="Q27" s="1"/>
      <c r="R27" s="1"/>
      <c r="S27" s="1"/>
    </row>
    <row r="28" spans="1:25" x14ac:dyDescent="0.35">
      <c r="M28" s="2">
        <v>0.17616846904109501</v>
      </c>
      <c r="N28" s="2">
        <v>0.17616846904109501</v>
      </c>
      <c r="P28" s="1"/>
      <c r="Q28" s="1"/>
      <c r="R28" s="1"/>
      <c r="S28" s="1"/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8"/>
  <sheetViews>
    <sheetView topLeftCell="M1" workbookViewId="0">
      <selection activeCell="P8" sqref="P8:P11"/>
    </sheetView>
  </sheetViews>
  <sheetFormatPr defaultRowHeight="14.5" x14ac:dyDescent="0.35"/>
  <cols>
    <col min="2" max="2" width="12" bestFit="1" customWidth="1"/>
    <col min="3" max="3" width="12.36328125" bestFit="1" customWidth="1"/>
    <col min="4" max="12" width="13.453125" bestFit="1" customWidth="1"/>
    <col min="19" max="19" width="9" bestFit="1" customWidth="1"/>
    <col min="23" max="25" width="9" bestFit="1" customWidth="1"/>
  </cols>
  <sheetData>
    <row r="1" spans="1:41" x14ac:dyDescent="0.35">
      <c r="A1" t="s">
        <v>93</v>
      </c>
      <c r="O1" t="s">
        <v>82</v>
      </c>
    </row>
    <row r="2" spans="1:41" x14ac:dyDescent="0.35">
      <c r="A2" s="8" t="s">
        <v>59</v>
      </c>
      <c r="B2" s="3">
        <v>1.3241931084817</v>
      </c>
      <c r="C2" s="3">
        <v>1.9028253628009699</v>
      </c>
      <c r="D2" s="3">
        <v>0.87933599011825103</v>
      </c>
      <c r="E2" s="3">
        <v>0.408195371811305</v>
      </c>
      <c r="F2" s="3">
        <v>0.21934881606432199</v>
      </c>
      <c r="G2" s="3">
        <v>0.130734162128648</v>
      </c>
      <c r="H2" s="3">
        <v>8.3982895589503601E-2</v>
      </c>
      <c r="I2" s="3">
        <v>5.7117425582713599E-2</v>
      </c>
      <c r="J2" s="3">
        <v>4.0640877667621103E-2</v>
      </c>
      <c r="K2" s="3">
        <v>3.0001032013505902E-2</v>
      </c>
      <c r="L2" s="3">
        <v>2.2834722560516298E-2</v>
      </c>
      <c r="O2" s="8" t="s">
        <v>59</v>
      </c>
      <c r="P2" s="3">
        <v>8.0279950961780706</v>
      </c>
      <c r="Q2" s="3">
        <v>1.9180210007385201</v>
      </c>
      <c r="R2" s="3">
        <v>1.2985117867171201</v>
      </c>
      <c r="S2" s="3">
        <v>1.0422868672137</v>
      </c>
      <c r="T2" s="3">
        <v>0.87821516865052796</v>
      </c>
      <c r="U2" s="3">
        <v>0.70806301605727595</v>
      </c>
      <c r="V2" s="3">
        <v>0.55908066152057401</v>
      </c>
      <c r="W2" s="3">
        <v>0.43978830334243502</v>
      </c>
      <c r="X2" s="3">
        <v>0.34825257059509701</v>
      </c>
      <c r="Y2" s="3">
        <v>0.27904169819102098</v>
      </c>
      <c r="Z2" s="3">
        <v>0.22652762704493301</v>
      </c>
    </row>
    <row r="3" spans="1:41" x14ac:dyDescent="0.35">
      <c r="A3" s="8" t="s">
        <v>60</v>
      </c>
      <c r="B3" s="3">
        <v>5.35191306523833</v>
      </c>
      <c r="C3" s="3">
        <v>2.8479748923410702</v>
      </c>
      <c r="D3" s="3">
        <v>0.92563982172986803</v>
      </c>
      <c r="E3" s="3">
        <v>0.41366628554221602</v>
      </c>
      <c r="F3" s="3">
        <v>0.22039701182024399</v>
      </c>
      <c r="G3" s="3">
        <v>0.13105692709047201</v>
      </c>
      <c r="H3" s="3">
        <v>8.4158954060498295E-2</v>
      </c>
      <c r="I3" s="3">
        <v>5.72609115485243E-2</v>
      </c>
      <c r="J3" s="3">
        <v>4.0777301557391898E-2</v>
      </c>
      <c r="K3" s="3">
        <v>3.0136407817770799E-2</v>
      </c>
      <c r="L3" s="3">
        <v>2.2970415174282902E-2</v>
      </c>
      <c r="O3" s="8" t="s">
        <v>60</v>
      </c>
      <c r="P3" s="3">
        <v>5.4695345566003599</v>
      </c>
      <c r="Q3" s="3">
        <v>3.7158186232680901</v>
      </c>
      <c r="R3" s="3">
        <v>2.5260224909507398</v>
      </c>
      <c r="S3" s="3">
        <v>1.7487899633889199</v>
      </c>
      <c r="T3" s="3">
        <v>1.20986442998656</v>
      </c>
      <c r="U3" s="3">
        <v>0.85933171056768698</v>
      </c>
      <c r="V3" s="3">
        <v>0.62940505891184295</v>
      </c>
      <c r="W3" s="3">
        <v>0.47437503624468702</v>
      </c>
      <c r="X3" s="3">
        <v>0.36658474928427598</v>
      </c>
      <c r="Y3" s="3">
        <v>0.28942383277162598</v>
      </c>
      <c r="Z3" s="3">
        <v>0.232727496523634</v>
      </c>
    </row>
    <row r="4" spans="1:41" x14ac:dyDescent="0.35">
      <c r="A4" s="8" t="s">
        <v>61</v>
      </c>
      <c r="B4" s="3">
        <v>5.4899035503634597</v>
      </c>
      <c r="C4" s="3">
        <v>3.2133766121716301</v>
      </c>
      <c r="D4" s="3">
        <v>1.05284113879232</v>
      </c>
      <c r="E4" s="3">
        <v>0.474093363912925</v>
      </c>
      <c r="F4" s="3">
        <v>0.254671048181282</v>
      </c>
      <c r="G4" s="3">
        <v>0.15256653716048399</v>
      </c>
      <c r="H4" s="3">
        <v>9.85901891662124E-2</v>
      </c>
      <c r="I4" s="3">
        <v>6.7431508964537396E-2</v>
      </c>
      <c r="J4" s="3">
        <v>4.8230800997845602E-2</v>
      </c>
      <c r="K4" s="3">
        <v>3.5779485547535801E-2</v>
      </c>
      <c r="L4" s="3">
        <v>2.73642401728111E-2</v>
      </c>
      <c r="O4" s="8" t="s">
        <v>61</v>
      </c>
      <c r="P4" s="3" t="s">
        <v>24</v>
      </c>
      <c r="Q4" s="3" t="s">
        <v>24</v>
      </c>
      <c r="R4" s="3">
        <v>2.6937231515221902</v>
      </c>
      <c r="S4" s="3">
        <v>1.85778029463553</v>
      </c>
      <c r="T4" s="3">
        <v>1.25893830427221</v>
      </c>
      <c r="U4" s="3">
        <v>0.87961553963442396</v>
      </c>
      <c r="V4" s="3">
        <v>0.63930995554793701</v>
      </c>
      <c r="W4" s="3">
        <v>0.48212256090559003</v>
      </c>
      <c r="X4" s="3">
        <v>0.37273500136354798</v>
      </c>
      <c r="Y4" s="3">
        <v>0.29430550181548798</v>
      </c>
      <c r="Z4" s="3">
        <v>0.23663065027874799</v>
      </c>
    </row>
    <row r="5" spans="1:41" x14ac:dyDescent="0.35">
      <c r="A5" s="8" t="s">
        <v>62</v>
      </c>
      <c r="B5" s="3">
        <v>1.9997379234998101</v>
      </c>
      <c r="C5" s="3">
        <v>0.51026897288270001</v>
      </c>
      <c r="D5" s="3">
        <v>0.110290062482718</v>
      </c>
      <c r="E5" s="3">
        <v>4.0169065680126598E-2</v>
      </c>
      <c r="F5" s="3">
        <v>1.84290680838218E-2</v>
      </c>
      <c r="G5" s="3">
        <v>9.6432159322324806E-3</v>
      </c>
      <c r="H5" s="3">
        <v>5.50192702912635E-3</v>
      </c>
      <c r="I5" s="3">
        <v>3.3442348125081599E-3</v>
      </c>
      <c r="J5" s="3">
        <v>2.1362792166021898E-3</v>
      </c>
      <c r="K5" s="3">
        <v>1.4214177260660401E-3</v>
      </c>
      <c r="L5" s="3">
        <v>9.790797807343011E-4</v>
      </c>
      <c r="O5" s="8" t="s">
        <v>62</v>
      </c>
      <c r="P5" s="3">
        <v>7.0864191291530902</v>
      </c>
      <c r="Q5" s="3">
        <v>3.3558540771668901</v>
      </c>
      <c r="R5" s="3">
        <v>1.1301155264425899</v>
      </c>
      <c r="S5" s="3">
        <v>0.50805355719603995</v>
      </c>
      <c r="T5" s="3">
        <v>0.274643103478107</v>
      </c>
      <c r="U5" s="3">
        <v>0.16566411433424799</v>
      </c>
      <c r="V5" s="3">
        <v>0.107785231554339</v>
      </c>
      <c r="W5" s="3">
        <v>7.81118803250343E-2</v>
      </c>
      <c r="X5" s="3">
        <v>5.7993989382661398E-2</v>
      </c>
      <c r="Y5" s="3">
        <v>4.5415537374181199E-2</v>
      </c>
      <c r="Z5" s="3">
        <v>3.7879889947068202E-2</v>
      </c>
    </row>
    <row r="6" spans="1:41" x14ac:dyDescent="0.35">
      <c r="F6" s="1"/>
      <c r="G6" s="1"/>
      <c r="H6" s="1"/>
      <c r="I6" s="1"/>
      <c r="J6" s="1"/>
      <c r="K6" s="1"/>
      <c r="L6" s="1"/>
    </row>
    <row r="7" spans="1:41" x14ac:dyDescent="0.35">
      <c r="A7" t="s">
        <v>63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t="s">
        <v>69</v>
      </c>
      <c r="O7" t="s">
        <v>63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t="s">
        <v>69</v>
      </c>
      <c r="AC7" t="s">
        <v>63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t="s">
        <v>70</v>
      </c>
    </row>
    <row r="8" spans="1:41" x14ac:dyDescent="0.35">
      <c r="A8" t="s">
        <v>59</v>
      </c>
      <c r="B8" s="1">
        <v>1466023.0257518</v>
      </c>
      <c r="C8" s="1">
        <v>71180507.112251595</v>
      </c>
      <c r="D8" s="1">
        <v>15391042727.812099</v>
      </c>
      <c r="E8" s="1">
        <v>28530045718.931301</v>
      </c>
      <c r="F8" s="1">
        <v>33657867646.536701</v>
      </c>
      <c r="G8" s="1">
        <v>36940383181.028999</v>
      </c>
      <c r="H8" s="1">
        <v>39538412424.194702</v>
      </c>
      <c r="I8" s="1">
        <v>41795376300.841698</v>
      </c>
      <c r="J8" s="1">
        <v>43845143729.218803</v>
      </c>
      <c r="K8" s="1">
        <v>45749413628.654198</v>
      </c>
      <c r="L8" s="1">
        <v>47540903442.757103</v>
      </c>
      <c r="M8" s="8">
        <v>1</v>
      </c>
      <c r="O8" t="s">
        <v>59</v>
      </c>
      <c r="P8" s="1">
        <v>711539.45128415595</v>
      </c>
      <c r="Q8" s="1">
        <v>2711525.47721837</v>
      </c>
      <c r="R8" s="1">
        <v>31165959.3163325</v>
      </c>
      <c r="S8" s="1">
        <v>161682063.85807601</v>
      </c>
      <c r="T8" s="1">
        <v>486205490.001001</v>
      </c>
      <c r="U8" s="1">
        <v>949466960.74735105</v>
      </c>
      <c r="V8" s="1">
        <v>1358261344.7878301</v>
      </c>
      <c r="W8" s="1">
        <v>1620948647.4977801</v>
      </c>
      <c r="X8" s="1">
        <v>1766019715.0035501</v>
      </c>
      <c r="Y8" s="1">
        <v>1842498405.7537401</v>
      </c>
      <c r="Z8" s="1">
        <v>1883142945.8427</v>
      </c>
      <c r="AA8" s="8">
        <v>1</v>
      </c>
      <c r="AC8" t="s">
        <v>59</v>
      </c>
      <c r="AD8" s="1">
        <v>1807738.5473535201</v>
      </c>
      <c r="AE8" s="1">
        <v>347614517.14402699</v>
      </c>
      <c r="AF8" s="1">
        <v>19382076139.521301</v>
      </c>
      <c r="AG8" s="1">
        <v>29695140166.139801</v>
      </c>
      <c r="AH8" s="1">
        <v>35014765087.602699</v>
      </c>
      <c r="AI8" s="1">
        <v>38745606316.346397</v>
      </c>
      <c r="AJ8" s="1">
        <v>41758908584.983803</v>
      </c>
      <c r="AK8" s="1">
        <v>44375315558.900002</v>
      </c>
      <c r="AL8" s="1">
        <v>46737115106.063301</v>
      </c>
      <c r="AM8" s="1">
        <v>48916268712.495796</v>
      </c>
      <c r="AN8" s="1">
        <v>50953735163.2687</v>
      </c>
      <c r="AO8" s="8">
        <v>2</v>
      </c>
    </row>
    <row r="9" spans="1:41" x14ac:dyDescent="0.35">
      <c r="A9" t="s">
        <v>60</v>
      </c>
      <c r="B9" s="1">
        <v>64126084.628825702</v>
      </c>
      <c r="C9" s="1">
        <v>5380947596.5855904</v>
      </c>
      <c r="D9" s="1">
        <v>116050394358.49699</v>
      </c>
      <c r="E9" s="1">
        <v>434137826601.28802</v>
      </c>
      <c r="F9" s="1">
        <v>752324392502.23206</v>
      </c>
      <c r="G9" s="1">
        <v>951556269620.54004</v>
      </c>
      <c r="H9" s="1">
        <v>1073458852954.54</v>
      </c>
      <c r="I9" s="1">
        <v>1157554522789.28</v>
      </c>
      <c r="J9" s="1">
        <v>1222553525525.1699</v>
      </c>
      <c r="K9" s="1">
        <v>1276858095274.27</v>
      </c>
      <c r="L9" s="1">
        <v>1324517344939.8501</v>
      </c>
      <c r="M9" s="8">
        <v>1</v>
      </c>
      <c r="O9" t="s">
        <v>60</v>
      </c>
      <c r="P9" s="1">
        <v>1068134.2785413801</v>
      </c>
      <c r="Q9" s="1">
        <v>7591745.5902971998</v>
      </c>
      <c r="R9" s="1">
        <v>73190030.890538096</v>
      </c>
      <c r="S9" s="1">
        <v>282301027.11680198</v>
      </c>
      <c r="T9" s="1">
        <v>702640929.99529898</v>
      </c>
      <c r="U9" s="1">
        <v>1268667292.51492</v>
      </c>
      <c r="V9" s="1">
        <v>1794585237.7511899</v>
      </c>
      <c r="W9" s="1">
        <v>2159944162.4660802</v>
      </c>
      <c r="X9" s="1">
        <v>2370442447.7161698</v>
      </c>
      <c r="Y9" s="1">
        <v>2479116595.16329</v>
      </c>
      <c r="Z9" s="1">
        <v>2531143485.15237</v>
      </c>
      <c r="AA9" s="8">
        <v>1</v>
      </c>
      <c r="AC9" t="s">
        <v>60</v>
      </c>
      <c r="AD9" s="1">
        <v>231942442.809668</v>
      </c>
      <c r="AE9" s="1">
        <v>9443480127.7497005</v>
      </c>
      <c r="AF9" s="1">
        <v>160195951569.77899</v>
      </c>
      <c r="AG9" s="1">
        <v>579522177735.95496</v>
      </c>
      <c r="AH9" s="1">
        <v>999714080988.29102</v>
      </c>
      <c r="AI9" s="1">
        <v>1264524645317.29</v>
      </c>
      <c r="AJ9" s="1">
        <v>1426745193643.3</v>
      </c>
      <c r="AK9" s="1">
        <v>1538671033352.3201</v>
      </c>
      <c r="AL9" s="1">
        <v>1625034896473.0801</v>
      </c>
      <c r="AM9" s="1">
        <v>1697158666684.8799</v>
      </c>
      <c r="AN9" s="1">
        <v>1760455055264.3899</v>
      </c>
      <c r="AO9" s="8">
        <v>2</v>
      </c>
    </row>
    <row r="10" spans="1:41" x14ac:dyDescent="0.35">
      <c r="A10" t="s">
        <v>61</v>
      </c>
      <c r="B10" s="11">
        <v>36335515.928372301</v>
      </c>
      <c r="C10" s="11">
        <v>1688775524.4194901</v>
      </c>
      <c r="D10" s="1">
        <v>3635922135.93573</v>
      </c>
      <c r="E10" s="1">
        <v>4940700802.1421404</v>
      </c>
      <c r="F10" s="1">
        <v>5761117522.84585</v>
      </c>
      <c r="G10" s="1">
        <v>6974477554.7626696</v>
      </c>
      <c r="H10" s="1">
        <v>5825258770.4213305</v>
      </c>
      <c r="I10" s="1">
        <v>6250025332.6575603</v>
      </c>
      <c r="J10" s="1">
        <v>6606858416.0879297</v>
      </c>
      <c r="K10" s="1">
        <v>6606180995.7659597</v>
      </c>
      <c r="L10" s="1">
        <v>6467690018.3301897</v>
      </c>
      <c r="M10" s="8">
        <v>1</v>
      </c>
      <c r="O10" t="s">
        <v>61</v>
      </c>
      <c r="P10" s="10">
        <v>2456863.6602008399</v>
      </c>
      <c r="Q10" s="10">
        <v>31657096.595284302</v>
      </c>
      <c r="R10" s="1">
        <v>864328026.25847304</v>
      </c>
      <c r="S10" s="1">
        <v>6642589310.0776997</v>
      </c>
      <c r="T10" s="1">
        <v>41625781617.458702</v>
      </c>
      <c r="U10" s="1">
        <v>575339741102.24902</v>
      </c>
      <c r="V10" s="1">
        <v>205878956841.91501</v>
      </c>
      <c r="W10" s="1">
        <v>-27765112885.659599</v>
      </c>
      <c r="X10" s="1">
        <v>-397125158787.18597</v>
      </c>
      <c r="Y10" s="1">
        <v>-17882578982.27</v>
      </c>
      <c r="Z10" s="1">
        <v>36410099739.0084</v>
      </c>
      <c r="AA10" s="8">
        <v>1</v>
      </c>
      <c r="AC10" t="s">
        <v>61</v>
      </c>
      <c r="AD10" s="11">
        <v>113735244.74086399</v>
      </c>
      <c r="AE10" s="11">
        <v>847261750.575827</v>
      </c>
      <c r="AF10" s="1">
        <v>1517723169.49946</v>
      </c>
      <c r="AG10" s="1">
        <v>1662131425.42874</v>
      </c>
      <c r="AH10" s="1">
        <v>1727278852.9898601</v>
      </c>
      <c r="AI10" s="1">
        <v>1935681340.60783</v>
      </c>
      <c r="AJ10" s="1">
        <v>1785575767.1705201</v>
      </c>
      <c r="AK10" s="1">
        <v>1720336258.6591799</v>
      </c>
      <c r="AL10" s="1">
        <v>1697105621.13164</v>
      </c>
      <c r="AM10" s="1">
        <v>1681466052.42625</v>
      </c>
      <c r="AN10" s="1">
        <v>1670234566.36236</v>
      </c>
      <c r="AO10" s="8">
        <v>2</v>
      </c>
    </row>
    <row r="11" spans="1:41" x14ac:dyDescent="0.35">
      <c r="A11" t="s">
        <v>62</v>
      </c>
      <c r="B11" s="1">
        <v>58170689.260848902</v>
      </c>
      <c r="C11" s="1">
        <v>275897820.85442197</v>
      </c>
      <c r="D11" s="1">
        <v>1072046604.897</v>
      </c>
      <c r="E11" s="1">
        <v>1871324240.5893199</v>
      </c>
      <c r="F11" s="1">
        <v>2529089333.8796902</v>
      </c>
      <c r="G11" s="1">
        <v>3054647935.8373699</v>
      </c>
      <c r="H11" s="1">
        <v>3463833556.7624302</v>
      </c>
      <c r="I11" s="1">
        <v>3783031825.46385</v>
      </c>
      <c r="J11" s="1">
        <v>4032895880.6023102</v>
      </c>
      <c r="K11" s="1">
        <v>4230164402.91642</v>
      </c>
      <c r="L11" s="1">
        <v>4384728710.3281298</v>
      </c>
      <c r="M11" s="8">
        <v>0.6</v>
      </c>
      <c r="O11" t="s">
        <v>62</v>
      </c>
      <c r="P11" s="1">
        <v>912983.85970785597</v>
      </c>
      <c r="Q11" s="1">
        <v>2322226.5891535501</v>
      </c>
      <c r="R11" s="1">
        <v>9096668.7351095006</v>
      </c>
      <c r="S11" s="1">
        <v>22099356.8797048</v>
      </c>
      <c r="T11" s="1">
        <v>41666993.575386703</v>
      </c>
      <c r="U11" s="1">
        <v>68105439.963671997</v>
      </c>
      <c r="V11" s="1">
        <v>101908458.37417699</v>
      </c>
      <c r="W11" s="1">
        <v>143652425.51023901</v>
      </c>
      <c r="X11" s="1">
        <v>193900164.75194401</v>
      </c>
      <c r="Y11" s="1">
        <v>253127698.530532</v>
      </c>
      <c r="Z11" s="1">
        <v>321727556.95594299</v>
      </c>
      <c r="AA11" s="8">
        <v>0.6</v>
      </c>
      <c r="AC11" t="s">
        <v>62</v>
      </c>
      <c r="AD11" s="1">
        <v>99595449.210369304</v>
      </c>
      <c r="AE11" s="1">
        <v>339538749.01341897</v>
      </c>
      <c r="AF11" s="1">
        <v>791519363.597893</v>
      </c>
      <c r="AG11" s="1">
        <v>1052430193.21759</v>
      </c>
      <c r="AH11" s="1">
        <v>1197663533.54865</v>
      </c>
      <c r="AI11" s="1">
        <v>1302745315.7750001</v>
      </c>
      <c r="AJ11" s="1">
        <v>1383555465.6210001</v>
      </c>
      <c r="AK11" s="1">
        <v>1440421596.56407</v>
      </c>
      <c r="AL11" s="1">
        <v>1480531955.59322</v>
      </c>
      <c r="AM11" s="1">
        <v>1507364538.0257699</v>
      </c>
      <c r="AN11" s="1">
        <v>1525092154.3215401</v>
      </c>
      <c r="AO11" s="8">
        <v>1.2</v>
      </c>
    </row>
    <row r="12" spans="1:41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41" x14ac:dyDescent="0.35">
      <c r="B13" s="13">
        <v>811630.32518587203</v>
      </c>
      <c r="C13" s="13">
        <v>1583007.6984806</v>
      </c>
      <c r="D13" s="13">
        <v>27508810.324634299</v>
      </c>
      <c r="E13" s="13">
        <v>3354301.90849793</v>
      </c>
      <c r="F13" s="1"/>
      <c r="G13" s="1"/>
      <c r="H13" s="1"/>
      <c r="I13" s="1"/>
      <c r="J13" s="1"/>
      <c r="K13" s="1"/>
      <c r="L13" s="1"/>
    </row>
    <row r="14" spans="1:41" x14ac:dyDescent="0.35">
      <c r="A14" t="s">
        <v>77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41" x14ac:dyDescent="0.35">
      <c r="A15" t="s">
        <v>59</v>
      </c>
      <c r="B15" s="1">
        <v>5712235.2256464399</v>
      </c>
      <c r="C15" s="1">
        <v>5200762.8093423704</v>
      </c>
      <c r="D15" s="1">
        <v>40469365.516603999</v>
      </c>
      <c r="E15" s="1">
        <v>42855015.680774003</v>
      </c>
      <c r="F15" s="1">
        <v>426993036.400042</v>
      </c>
      <c r="G15" s="1">
        <v>672282439.873505</v>
      </c>
      <c r="H15" s="1">
        <v>759377651.16180503</v>
      </c>
      <c r="I15" s="1">
        <v>712874255.48826396</v>
      </c>
      <c r="J15" s="1">
        <v>615020905.47160697</v>
      </c>
      <c r="K15" s="1">
        <v>514133884.05577201</v>
      </c>
      <c r="L15" s="1">
        <v>426583902.90815198</v>
      </c>
    </row>
    <row r="16" spans="1:41" x14ac:dyDescent="0.35">
      <c r="A16" t="s">
        <v>60</v>
      </c>
      <c r="B16" s="1">
        <v>5842197.3475714698</v>
      </c>
      <c r="C16" s="1">
        <v>28209549.647539701</v>
      </c>
      <c r="D16" s="1">
        <v>184879664.14287901</v>
      </c>
      <c r="E16" s="1">
        <v>82137529.399330899</v>
      </c>
      <c r="F16" s="1">
        <v>850100268.25398898</v>
      </c>
      <c r="G16" s="1">
        <v>1090206034.61812</v>
      </c>
      <c r="H16" s="1">
        <v>1129521027.2891099</v>
      </c>
      <c r="I16" s="1">
        <v>1024623590.3563499</v>
      </c>
      <c r="J16" s="1">
        <v>868968050.38883805</v>
      </c>
      <c r="K16" s="1">
        <v>717515426.85990298</v>
      </c>
      <c r="L16" s="1">
        <v>589066686.64161694</v>
      </c>
    </row>
    <row r="17" spans="1:13" x14ac:dyDescent="0.35">
      <c r="A17" t="s">
        <v>61</v>
      </c>
      <c r="B17" s="1" t="s">
        <v>24</v>
      </c>
      <c r="C17" s="1" t="s">
        <v>24</v>
      </c>
      <c r="D17" s="1">
        <v>2328260414.8419299</v>
      </c>
      <c r="E17" s="1">
        <v>246467918.94690299</v>
      </c>
      <c r="F17" s="1">
        <v>52404290923.4888</v>
      </c>
      <c r="G17" s="1">
        <v>506077776842.78497</v>
      </c>
      <c r="H17" s="1">
        <v>131620466746.86</v>
      </c>
      <c r="I17" s="1">
        <v>-13386187328.267</v>
      </c>
      <c r="J17" s="1">
        <v>-148022446602.04099</v>
      </c>
      <c r="K17" s="1">
        <v>-5262941381.1320696</v>
      </c>
      <c r="L17" s="1">
        <v>8615745577.9556293</v>
      </c>
    </row>
    <row r="18" spans="1:13" x14ac:dyDescent="0.35">
      <c r="A18" t="s">
        <v>62</v>
      </c>
      <c r="B18" s="1">
        <v>661211157.86951101</v>
      </c>
      <c r="C18" s="1">
        <v>1297394916.3362701</v>
      </c>
      <c r="D18" s="1">
        <v>1374446429.7790401</v>
      </c>
      <c r="E18" s="1">
        <v>1541284994.8352699</v>
      </c>
      <c r="F18" s="1">
        <v>722374562.56905305</v>
      </c>
      <c r="G18" s="1">
        <v>553075696.11319304</v>
      </c>
      <c r="H18" s="1">
        <v>417658595.38560599</v>
      </c>
      <c r="I18" s="1">
        <v>340540871.76860201</v>
      </c>
      <c r="J18" s="1">
        <v>278295658.43648601</v>
      </c>
      <c r="K18" s="1">
        <v>236078943.25658101</v>
      </c>
      <c r="L18" s="1">
        <v>210629429.809569</v>
      </c>
    </row>
    <row r="20" spans="1:13" x14ac:dyDescent="0.35">
      <c r="A20" t="s">
        <v>64</v>
      </c>
    </row>
    <row r="21" spans="1:13" x14ac:dyDescent="0.35">
      <c r="B21" s="8">
        <f>B2*B8*10^(-6)</f>
        <v>1.9412975875760234</v>
      </c>
      <c r="C21" s="8">
        <f t="shared" ref="C21:L21" si="0">C2*C8*10^(-6)</f>
        <v>135.44407427022716</v>
      </c>
      <c r="D21" s="8">
        <f t="shared" si="0"/>
        <v>13533.89779601296</v>
      </c>
      <c r="E21" s="8">
        <f t="shared" si="0"/>
        <v>11645.832620032692</v>
      </c>
      <c r="F21" s="8">
        <f t="shared" si="0"/>
        <v>7382.8134195174725</v>
      </c>
      <c r="G21" s="8">
        <f t="shared" si="0"/>
        <v>4829.3700438830265</v>
      </c>
      <c r="H21" s="8">
        <f t="shared" si="0"/>
        <v>3320.5503623958753</v>
      </c>
      <c r="I21" s="8">
        <f t="shared" si="0"/>
        <v>2387.2442955648376</v>
      </c>
      <c r="J21" s="8">
        <f t="shared" si="0"/>
        <v>1781.9051226184458</v>
      </c>
      <c r="K21" s="8">
        <f t="shared" si="0"/>
        <v>1372.5296228723778</v>
      </c>
      <c r="L21" s="8">
        <f t="shared" si="0"/>
        <v>1085.5833403916524</v>
      </c>
    </row>
    <row r="22" spans="1:13" x14ac:dyDescent="0.35">
      <c r="B22" s="8">
        <f t="shared" ref="B22:L22" si="1">B3*B9*10^(-6)</f>
        <v>343.19723014759109</v>
      </c>
      <c r="C22" s="8">
        <f t="shared" si="1"/>
        <v>15324.803652078786</v>
      </c>
      <c r="D22" s="8">
        <f t="shared" si="1"/>
        <v>107420.86634568003</v>
      </c>
      <c r="E22" s="8">
        <f t="shared" si="1"/>
        <v>179588.18214352548</v>
      </c>
      <c r="F22" s="8">
        <f t="shared" si="1"/>
        <v>165810.0480269723</v>
      </c>
      <c r="G22" s="8">
        <f t="shared" si="1"/>
        <v>124708.04065014064</v>
      </c>
      <c r="H22" s="8">
        <f t="shared" si="1"/>
        <v>90341.174291636315</v>
      </c>
      <c r="I22" s="8">
        <f t="shared" si="1"/>
        <v>66282.627142031211</v>
      </c>
      <c r="J22" s="8">
        <f t="shared" si="1"/>
        <v>49852.433780392472</v>
      </c>
      <c r="K22" s="8">
        <f t="shared" si="1"/>
        <v>38479.91628460744</v>
      </c>
      <c r="L22" s="8">
        <f t="shared" si="1"/>
        <v>30424.713318807229</v>
      </c>
    </row>
    <row r="23" spans="1:13" x14ac:dyDescent="0.35">
      <c r="B23" s="8">
        <f t="shared" ref="B23:L23" si="2">B4*B10*10^(-6)</f>
        <v>199.47847789945911</v>
      </c>
      <c r="C23" s="8">
        <f t="shared" si="2"/>
        <v>5426.6717733774685</v>
      </c>
      <c r="D23" s="8">
        <f t="shared" si="2"/>
        <v>3828.0484021587786</v>
      </c>
      <c r="E23" s="8">
        <f t="shared" si="2"/>
        <v>2342.3534633748541</v>
      </c>
      <c r="F23" s="8">
        <f t="shared" si="2"/>
        <v>1467.1898382387035</v>
      </c>
      <c r="G23" s="8">
        <f t="shared" si="2"/>
        <v>1064.0718890336602</v>
      </c>
      <c r="H23" s="8">
        <f t="shared" si="2"/>
        <v>574.31336411797679</v>
      </c>
      <c r="I23" s="8">
        <f t="shared" si="2"/>
        <v>421.44863924768413</v>
      </c>
      <c r="J23" s="8">
        <f t="shared" si="2"/>
        <v>318.65407348727831</v>
      </c>
      <c r="K23" s="8">
        <f t="shared" si="2"/>
        <v>236.3657574624138</v>
      </c>
      <c r="L23" s="8">
        <f t="shared" si="2"/>
        <v>176.98342302488035</v>
      </c>
    </row>
    <row r="24" spans="1:13" x14ac:dyDescent="0.35">
      <c r="B24" s="8">
        <f t="shared" ref="B24:L24" si="3">B5*B11*10^(-6)</f>
        <v>116.32613335104269</v>
      </c>
      <c r="C24" s="8">
        <f t="shared" si="3"/>
        <v>140.78209766796107</v>
      </c>
      <c r="D24" s="8">
        <f t="shared" si="3"/>
        <v>118.23608703847582</v>
      </c>
      <c r="E24" s="8">
        <f t="shared" si="3"/>
        <v>75.16934632904541</v>
      </c>
      <c r="F24" s="8">
        <f t="shared" si="3"/>
        <v>46.608759524136332</v>
      </c>
      <c r="G24" s="8">
        <f t="shared" si="3"/>
        <v>29.456629642227984</v>
      </c>
      <c r="H24" s="8">
        <f t="shared" si="3"/>
        <v>19.057759470346074</v>
      </c>
      <c r="I24" s="8">
        <f t="shared" si="3"/>
        <v>12.651346727542501</v>
      </c>
      <c r="J24" s="8">
        <f t="shared" si="3"/>
        <v>8.6153916524513008</v>
      </c>
      <c r="K24" s="8">
        <f t="shared" si="3"/>
        <v>6.0128306664789664</v>
      </c>
      <c r="L24" s="8">
        <f t="shared" si="3"/>
        <v>4.2929992242874606</v>
      </c>
    </row>
    <row r="25" spans="1:13" x14ac:dyDescent="0.3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3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3" x14ac:dyDescent="0.35">
      <c r="B27" s="1">
        <v>8052859.82602615</v>
      </c>
      <c r="C27" s="1">
        <v>331463747.63836098</v>
      </c>
      <c r="D27" s="1">
        <v>7571157798.9299202</v>
      </c>
      <c r="E27" s="1">
        <v>17393482359.6036</v>
      </c>
      <c r="F27" s="1">
        <v>29404724150.501701</v>
      </c>
      <c r="G27" s="1">
        <v>35358505706.258003</v>
      </c>
      <c r="H27" s="1">
        <v>33512850996.950199</v>
      </c>
      <c r="I27" s="1">
        <v>29961623191.3022</v>
      </c>
      <c r="J27" s="1">
        <v>30752525139.7136</v>
      </c>
      <c r="K27" s="1">
        <v>34846948781.483398</v>
      </c>
      <c r="L27" s="1">
        <v>43573150867.750099</v>
      </c>
      <c r="M27" t="s">
        <v>83</v>
      </c>
    </row>
    <row r="28" spans="1:13" x14ac:dyDescent="0.35">
      <c r="B28" s="11">
        <v>2456863.6602008399</v>
      </c>
      <c r="C28" s="11">
        <v>31657096.595284302</v>
      </c>
      <c r="D28" s="11">
        <v>864328026.25847304</v>
      </c>
      <c r="E28" s="1">
        <v>6642589310.0776997</v>
      </c>
      <c r="F28" s="1">
        <v>41625781617.458702</v>
      </c>
      <c r="G28" s="1">
        <v>575339741102.24902</v>
      </c>
      <c r="H28" s="1">
        <v>205878956841.91501</v>
      </c>
      <c r="I28" s="12">
        <v>-27765112885.659599</v>
      </c>
      <c r="J28" s="12">
        <v>-397125158787.18597</v>
      </c>
      <c r="K28" s="12">
        <v>-17882578982.27</v>
      </c>
      <c r="L28" s="1">
        <v>36410099739.0084</v>
      </c>
      <c r="M28" t="s">
        <v>84</v>
      </c>
    </row>
    <row r="29" spans="1:13" x14ac:dyDescent="0.35">
      <c r="A29" t="s">
        <v>73</v>
      </c>
    </row>
    <row r="30" spans="1:13" x14ac:dyDescent="0.35">
      <c r="A30" t="s">
        <v>10</v>
      </c>
      <c r="B30" s="1">
        <v>12236710.3171266</v>
      </c>
      <c r="C30" s="1">
        <v>571741315.83307505</v>
      </c>
      <c r="D30" s="1">
        <v>838390740.58357203</v>
      </c>
      <c r="E30" s="1">
        <v>6345634472.8603897</v>
      </c>
      <c r="F30" s="1">
        <v>37810399814.709503</v>
      </c>
      <c r="G30" s="1">
        <v>350917005216.07001</v>
      </c>
      <c r="H30" s="1">
        <v>176452164853.70599</v>
      </c>
      <c r="I30" s="12">
        <v>-21042742264.210602</v>
      </c>
      <c r="J30" s="12">
        <v>-139598040708.96201</v>
      </c>
      <c r="K30" s="12">
        <v>-15231905017.801701</v>
      </c>
      <c r="L30" s="1">
        <v>31692794947.325802</v>
      </c>
      <c r="M30" t="s">
        <v>74</v>
      </c>
    </row>
    <row r="31" spans="1:13" x14ac:dyDescent="0.35">
      <c r="A31" t="s">
        <v>23</v>
      </c>
      <c r="B31" s="1">
        <v>906110.96874616505</v>
      </c>
      <c r="C31" s="1">
        <v>2304337.4475226598</v>
      </c>
      <c r="D31" s="1">
        <v>8886164.8091606107</v>
      </c>
      <c r="E31" s="1">
        <v>21407379.457922898</v>
      </c>
      <c r="F31" s="1">
        <v>40325724.765644297</v>
      </c>
      <c r="G31" s="1">
        <v>66088050.612685703</v>
      </c>
      <c r="H31" s="1">
        <v>99294104.926155001</v>
      </c>
      <c r="I31" s="1">
        <v>140592186.89008</v>
      </c>
      <c r="J31" s="1">
        <v>190599391.673118</v>
      </c>
      <c r="K31" s="1">
        <v>249836001.44644901</v>
      </c>
      <c r="L31" s="1">
        <v>318718689.62970001</v>
      </c>
      <c r="M31" t="s">
        <v>75</v>
      </c>
    </row>
    <row r="33" spans="1:15" x14ac:dyDescent="0.35">
      <c r="A33" t="s">
        <v>10</v>
      </c>
      <c r="B33" s="1">
        <v>2609529.74209393</v>
      </c>
      <c r="C33" s="1">
        <v>39935553.996929698</v>
      </c>
      <c r="D33" s="1">
        <v>1704996048.3312299</v>
      </c>
      <c r="E33" s="1">
        <v>22520408763.964802</v>
      </c>
      <c r="F33" s="12">
        <v>-102858542034.06</v>
      </c>
      <c r="G33" s="12">
        <v>-67673055426.634903</v>
      </c>
      <c r="H33" s="12">
        <v>-188380147920.73099</v>
      </c>
      <c r="I33" s="12">
        <v>-12774383413.089399</v>
      </c>
      <c r="J33" s="12">
        <v>-62307154671.4133</v>
      </c>
      <c r="K33" s="1">
        <v>28404419191.479099</v>
      </c>
      <c r="L33" s="1">
        <v>9278560345.6789494</v>
      </c>
      <c r="M33" t="s">
        <v>76</v>
      </c>
    </row>
    <row r="34" spans="1:15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x14ac:dyDescent="0.35">
      <c r="B35" s="1">
        <v>2773096.78768093</v>
      </c>
      <c r="C35" s="1">
        <v>50507117.5412049</v>
      </c>
      <c r="D35" s="1">
        <v>2956890638.80898</v>
      </c>
      <c r="E35" s="1">
        <v>599094774654.302</v>
      </c>
      <c r="F35" s="12">
        <v>-46189035623.628098</v>
      </c>
      <c r="G35" s="12">
        <v>-46975252333.479797</v>
      </c>
      <c r="H35" s="12">
        <v>-122193596382.916</v>
      </c>
      <c r="I35" s="12">
        <v>-4462293072.8746004</v>
      </c>
      <c r="J35" s="12">
        <v>-14007783221.549999</v>
      </c>
      <c r="K35" s="1">
        <v>25806446248.9025</v>
      </c>
      <c r="L35" s="1">
        <v>4446859011.53368</v>
      </c>
      <c r="M35" t="s">
        <v>78</v>
      </c>
    </row>
    <row r="36" spans="1:15" x14ac:dyDescent="0.35">
      <c r="B36" s="1">
        <v>2464183.4915756299</v>
      </c>
      <c r="C36" s="1">
        <v>33023465.437735599</v>
      </c>
      <c r="D36" s="1">
        <v>1197848441.8064499</v>
      </c>
      <c r="E36" s="1">
        <v>11475897967.215</v>
      </c>
      <c r="F36" s="1">
        <v>453313264096.93298</v>
      </c>
      <c r="G36" s="12">
        <v>-120976692551.58099</v>
      </c>
      <c r="H36" s="12">
        <v>-410999157191.17499</v>
      </c>
      <c r="I36" s="1">
        <v>14806764238.553301</v>
      </c>
      <c r="J36" s="1">
        <v>25451871429.666199</v>
      </c>
      <c r="K36" s="1">
        <v>31584030057.8339</v>
      </c>
      <c r="L36" s="12">
        <v>-107213885736.63499</v>
      </c>
      <c r="M36" t="s">
        <v>79</v>
      </c>
    </row>
    <row r="37" spans="1:15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5" x14ac:dyDescent="0.35">
      <c r="B38" s="8">
        <v>1</v>
      </c>
      <c r="C38" s="8">
        <v>2</v>
      </c>
      <c r="D38" s="8">
        <v>3</v>
      </c>
      <c r="E38" s="8">
        <v>4</v>
      </c>
      <c r="F38" s="8">
        <v>5</v>
      </c>
      <c r="G38" s="8">
        <v>6</v>
      </c>
      <c r="H38" s="8">
        <v>7</v>
      </c>
      <c r="I38" s="8">
        <v>8</v>
      </c>
      <c r="J38" s="8">
        <v>9</v>
      </c>
      <c r="K38" s="8">
        <v>10</v>
      </c>
      <c r="L38" s="8">
        <v>11</v>
      </c>
    </row>
    <row r="40" spans="1:15" x14ac:dyDescent="0.35">
      <c r="B40" s="1"/>
      <c r="C40" s="1"/>
      <c r="D40" s="1"/>
      <c r="E40" s="1"/>
      <c r="F40" s="1"/>
      <c r="G40" s="1"/>
      <c r="H40" s="1"/>
      <c r="I40" s="1">
        <v>21649800880.283501</v>
      </c>
      <c r="J40" s="12">
        <v>-94327469882.470398</v>
      </c>
      <c r="K40" s="1">
        <v>157264591630.151</v>
      </c>
      <c r="L40" s="1">
        <v>20670860852.226101</v>
      </c>
      <c r="M40" t="s">
        <v>80</v>
      </c>
    </row>
    <row r="41" spans="1:15" x14ac:dyDescent="0.35">
      <c r="B41" s="1">
        <v>12236710.3171266</v>
      </c>
      <c r="C41" s="1">
        <v>571741315.83307505</v>
      </c>
      <c r="D41" s="1">
        <v>838390740.58357203</v>
      </c>
      <c r="E41" s="1">
        <v>6345634472.8603897</v>
      </c>
      <c r="F41" s="1">
        <v>37810399814.709503</v>
      </c>
      <c r="G41" s="1">
        <v>350917005216.07001</v>
      </c>
      <c r="H41" s="1">
        <v>176452164853.70599</v>
      </c>
      <c r="I41" s="1">
        <v>43280241918.970802</v>
      </c>
      <c r="J41" s="1">
        <v>151890453137.18301</v>
      </c>
      <c r="K41" s="12">
        <v>-149232115213.59799</v>
      </c>
      <c r="L41" s="1">
        <v>23521551068.369099</v>
      </c>
      <c r="M41" t="s">
        <v>80</v>
      </c>
      <c r="O41" t="s">
        <v>75</v>
      </c>
    </row>
    <row r="42" spans="1:15" x14ac:dyDescent="0.35">
      <c r="B42" s="1">
        <v>2609529.74209393</v>
      </c>
      <c r="C42" s="1">
        <v>39935553.996929698</v>
      </c>
      <c r="D42" s="1">
        <v>1704996048.3312299</v>
      </c>
      <c r="E42" s="1">
        <v>22520408763.964802</v>
      </c>
      <c r="F42" s="1">
        <v>-102858542034.06</v>
      </c>
      <c r="G42" s="1">
        <v>-67673055426.634903</v>
      </c>
      <c r="H42" s="1">
        <v>-188380147920.73099</v>
      </c>
      <c r="I42" s="1">
        <v>36714640448.396301</v>
      </c>
      <c r="J42" s="12">
        <v>-407486838346.72302</v>
      </c>
      <c r="K42" s="12">
        <v>-43071748616.0401</v>
      </c>
      <c r="L42" s="1">
        <v>31866541539.019199</v>
      </c>
    </row>
    <row r="43" spans="1:15" x14ac:dyDescent="0.35">
      <c r="B43" s="1">
        <v>2464183.4915756299</v>
      </c>
      <c r="C43" s="1">
        <v>33023465.437735599</v>
      </c>
      <c r="D43" s="1">
        <v>1197848441.8064499</v>
      </c>
      <c r="E43" s="1">
        <v>11475897967.215</v>
      </c>
      <c r="F43" s="1">
        <v>453313264096.93298</v>
      </c>
      <c r="G43" s="1">
        <v>-120976692551.58099</v>
      </c>
      <c r="H43" s="1">
        <v>-410999157191.17499</v>
      </c>
      <c r="I43" s="1">
        <v>21649800880.283501</v>
      </c>
      <c r="J43" s="12">
        <v>-94327469882.470398</v>
      </c>
      <c r="K43" s="1">
        <v>157264591630.151</v>
      </c>
      <c r="L43" s="1">
        <v>20670860852.226101</v>
      </c>
    </row>
    <row r="44" spans="1:15" x14ac:dyDescent="0.35">
      <c r="B44" s="1">
        <v>2773096.78768093</v>
      </c>
      <c r="C44" s="1">
        <v>50507117.5412049</v>
      </c>
      <c r="D44" s="1">
        <v>2956890638.80898</v>
      </c>
      <c r="E44" s="1">
        <v>599094774654.302</v>
      </c>
      <c r="F44" s="1">
        <v>-46189035623.628098</v>
      </c>
      <c r="G44" s="1">
        <v>-46975252333.479797</v>
      </c>
      <c r="H44" s="1">
        <v>-122193596382.916</v>
      </c>
      <c r="I44" s="1">
        <v>120709080316.57201</v>
      </c>
      <c r="J44" s="1">
        <v>175647168735.935</v>
      </c>
      <c r="K44" s="12">
        <v>-18941955733.830601</v>
      </c>
      <c r="L44" s="1">
        <v>69519399224.690598</v>
      </c>
    </row>
    <row r="46" spans="1:15" x14ac:dyDescent="0.35">
      <c r="B46" s="1">
        <v>459240</v>
      </c>
      <c r="C46" s="1">
        <v>1276800</v>
      </c>
      <c r="D46" s="1">
        <v>4769800</v>
      </c>
      <c r="E46" s="1">
        <v>11542000</v>
      </c>
      <c r="F46" s="1">
        <v>22485000</v>
      </c>
      <c r="G46" s="1">
        <v>38268000</v>
      </c>
      <c r="H46" s="1">
        <v>59267000</v>
      </c>
      <c r="I46" s="1">
        <v>85454000</v>
      </c>
      <c r="J46" s="1">
        <v>116600000</v>
      </c>
      <c r="K46" s="1">
        <v>152140000</v>
      </c>
      <c r="L46" s="1">
        <v>191360000</v>
      </c>
      <c r="M46" t="s">
        <v>81</v>
      </c>
    </row>
    <row r="49" spans="1:14" x14ac:dyDescent="0.35">
      <c r="A49" t="s">
        <v>10</v>
      </c>
      <c r="B49" s="1">
        <v>2609529.74209393</v>
      </c>
      <c r="C49" s="1">
        <v>39935553.996929698</v>
      </c>
      <c r="D49" s="1">
        <v>1704996048.3312299</v>
      </c>
      <c r="E49" s="1">
        <v>22520408763.964802</v>
      </c>
      <c r="F49" s="12">
        <v>-102858542034.06</v>
      </c>
      <c r="G49" s="12">
        <v>-67673055426.634903</v>
      </c>
      <c r="H49" s="12">
        <v>-188380147920.73099</v>
      </c>
      <c r="I49" s="12">
        <v>-12774383413.089399</v>
      </c>
      <c r="J49" s="12">
        <v>-62307154671.4133</v>
      </c>
      <c r="K49" s="1">
        <v>28404419191.479099</v>
      </c>
      <c r="L49" s="1">
        <v>9278560345.6789494</v>
      </c>
      <c r="M49" t="s">
        <v>85</v>
      </c>
      <c r="N49" t="s">
        <v>76</v>
      </c>
    </row>
    <row r="50" spans="1:14" x14ac:dyDescent="0.35">
      <c r="B50" s="1">
        <v>122824577.056666</v>
      </c>
      <c r="C50" s="1">
        <v>990045928.97230899</v>
      </c>
      <c r="D50" s="1">
        <v>1306923330.61726</v>
      </c>
      <c r="E50" s="1">
        <v>1315783880.6157501</v>
      </c>
      <c r="F50" s="1">
        <v>1553975586.8336201</v>
      </c>
      <c r="G50" s="1">
        <v>1759059042.8168199</v>
      </c>
      <c r="H50" s="1">
        <v>1688923952.68612</v>
      </c>
      <c r="I50" s="1">
        <v>1580098356.6194699</v>
      </c>
      <c r="J50" s="1">
        <v>1578802414.6866</v>
      </c>
      <c r="K50" s="1">
        <v>1564702265.31355</v>
      </c>
      <c r="L50" s="1">
        <v>1543812165.82793</v>
      </c>
      <c r="M50" t="s">
        <v>86</v>
      </c>
    </row>
    <row r="51" spans="1:14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4" x14ac:dyDescent="0.35">
      <c r="B52" s="1">
        <v>2773096.78768093</v>
      </c>
      <c r="C52" s="1">
        <v>50507117.5412049</v>
      </c>
      <c r="D52" s="1">
        <v>2956890638.80898</v>
      </c>
      <c r="E52" s="1">
        <v>599094774654.302</v>
      </c>
      <c r="F52" s="12">
        <v>-46189035623.628098</v>
      </c>
      <c r="G52" s="12">
        <v>-46975252333.479797</v>
      </c>
      <c r="H52" s="12">
        <v>-122193596382.916</v>
      </c>
      <c r="I52" s="12">
        <v>-4462293072.8746004</v>
      </c>
      <c r="J52" s="12">
        <v>-14007783221.549999</v>
      </c>
      <c r="K52" s="1">
        <v>25806446248.9025</v>
      </c>
      <c r="L52" s="1">
        <v>4446859011.53368</v>
      </c>
      <c r="M52" t="s">
        <v>85</v>
      </c>
      <c r="N52" t="s">
        <v>78</v>
      </c>
    </row>
    <row r="53" spans="1:14" x14ac:dyDescent="0.35">
      <c r="B53" s="1">
        <v>139607906.582176</v>
      </c>
      <c r="C53" s="1">
        <v>844804892.94143498</v>
      </c>
      <c r="D53" s="1">
        <v>921804976.20770097</v>
      </c>
      <c r="E53" s="1">
        <v>1310526219.46578</v>
      </c>
      <c r="F53" s="11">
        <v>1392625177.80404</v>
      </c>
      <c r="G53" s="11">
        <v>1194559028.43924</v>
      </c>
      <c r="H53" s="11">
        <v>1744130166.0406899</v>
      </c>
      <c r="I53" s="11">
        <v>1382789128.7135701</v>
      </c>
      <c r="J53" s="11">
        <v>1330703528.23364</v>
      </c>
      <c r="K53" s="1">
        <v>1286049483.58512</v>
      </c>
      <c r="L53" s="1">
        <v>1248803089.50243</v>
      </c>
      <c r="M53" t="s">
        <v>86</v>
      </c>
    </row>
    <row r="54" spans="1:14" x14ac:dyDescent="0.35">
      <c r="B54" s="1"/>
      <c r="C54" s="1"/>
      <c r="D54" s="1"/>
      <c r="E54" s="1"/>
      <c r="F54" s="11"/>
      <c r="G54" s="11"/>
      <c r="H54" s="11"/>
      <c r="I54" s="11"/>
      <c r="J54" s="11"/>
      <c r="K54" s="1"/>
      <c r="L54" s="1"/>
    </row>
    <row r="55" spans="1:14" x14ac:dyDescent="0.35">
      <c r="B55" s="1">
        <v>2464183.4915756299</v>
      </c>
      <c r="C55" s="1">
        <v>33023465.437735599</v>
      </c>
      <c r="D55" s="1">
        <v>1197848441.8064499</v>
      </c>
      <c r="E55" s="1">
        <v>11475897967.215</v>
      </c>
      <c r="F55" s="1">
        <v>453313264096.93298</v>
      </c>
      <c r="G55" s="12">
        <v>-120976692551.58099</v>
      </c>
      <c r="H55" s="12">
        <v>-410999157191.17499</v>
      </c>
      <c r="I55" s="1">
        <v>14806764238.553301</v>
      </c>
      <c r="J55" s="1">
        <v>25451871429.666199</v>
      </c>
      <c r="K55" s="1">
        <v>31584030057.8339</v>
      </c>
      <c r="L55" s="12">
        <v>-107213885736.63499</v>
      </c>
      <c r="M55" t="s">
        <v>85</v>
      </c>
      <c r="N55" t="s">
        <v>79</v>
      </c>
    </row>
    <row r="56" spans="1:14" x14ac:dyDescent="0.35">
      <c r="B56" s="1">
        <v>109643497.625402</v>
      </c>
      <c r="C56" s="1">
        <v>1195595845.20541</v>
      </c>
      <c r="D56" s="1">
        <v>2244752076.11554</v>
      </c>
      <c r="E56" s="1">
        <v>1321083897.6709599</v>
      </c>
      <c r="F56" s="1">
        <v>1757613796.5722699</v>
      </c>
      <c r="G56" s="1">
        <v>3335084124.07828</v>
      </c>
      <c r="H56" s="1">
        <v>1637105351.7146399</v>
      </c>
      <c r="I56" s="1">
        <v>1843087191.4684899</v>
      </c>
      <c r="J56" s="1">
        <v>1940614191.6736801</v>
      </c>
      <c r="K56" s="1">
        <v>1997509544.0805199</v>
      </c>
      <c r="L56" s="1">
        <v>2021314205.2195301</v>
      </c>
      <c r="M56" t="s">
        <v>86</v>
      </c>
    </row>
    <row r="58" spans="1:14" x14ac:dyDescent="0.35">
      <c r="A58" t="s">
        <v>92</v>
      </c>
      <c r="B58" s="8">
        <v>8935183.8859019</v>
      </c>
      <c r="C58" s="8">
        <v>364718295.58527398</v>
      </c>
      <c r="D58" s="8">
        <v>5297954770.1458597</v>
      </c>
      <c r="E58" s="8">
        <v>7832031091.4079103</v>
      </c>
      <c r="F58" s="8">
        <v>9341310420.5494003</v>
      </c>
      <c r="G58" s="8">
        <v>9951621439.0352993</v>
      </c>
      <c r="H58" s="8">
        <v>9236583218.3386898</v>
      </c>
      <c r="I58" s="8">
        <v>9707817980.2654591</v>
      </c>
      <c r="J58" s="8">
        <v>9395463064.1855793</v>
      </c>
      <c r="K58" s="8">
        <v>9110149497.9061909</v>
      </c>
      <c r="L58" s="8">
        <v>9190062661.9080505</v>
      </c>
      <c r="M58" t="s">
        <v>90</v>
      </c>
      <c r="N58" t="s">
        <v>87</v>
      </c>
    </row>
    <row r="59" spans="1:14" x14ac:dyDescent="0.35">
      <c r="B59" s="1">
        <v>8052859.82602615</v>
      </c>
      <c r="C59" s="1">
        <v>331463747.63836098</v>
      </c>
      <c r="D59" s="1">
        <v>7571157798.9299202</v>
      </c>
      <c r="E59" s="1">
        <v>17393482359.6036</v>
      </c>
      <c r="F59" s="1">
        <v>29404724150.501701</v>
      </c>
      <c r="G59" s="1">
        <v>35358505706.258003</v>
      </c>
      <c r="H59" s="1">
        <v>33512850996.950199</v>
      </c>
      <c r="I59" s="1">
        <v>29961623191.3022</v>
      </c>
      <c r="J59" s="1">
        <v>30752525139.7136</v>
      </c>
      <c r="K59" s="1">
        <v>34846948781.483398</v>
      </c>
      <c r="L59" s="1">
        <v>43573150867.750099</v>
      </c>
      <c r="M59" t="s">
        <v>90</v>
      </c>
      <c r="N59" t="s">
        <v>88</v>
      </c>
    </row>
    <row r="60" spans="1:14" x14ac:dyDescent="0.35">
      <c r="B60" s="11">
        <v>2456863.6602008399</v>
      </c>
      <c r="C60" s="11">
        <v>31657096.595284302</v>
      </c>
      <c r="D60" s="11">
        <v>864328026.25847304</v>
      </c>
      <c r="E60" s="1">
        <v>6642589310.0776997</v>
      </c>
      <c r="F60" s="1">
        <v>41625781617.458702</v>
      </c>
      <c r="G60" s="1">
        <v>575339741102.24902</v>
      </c>
      <c r="H60" s="1">
        <v>205878956841.91501</v>
      </c>
      <c r="I60" s="12">
        <v>-27765112885.659599</v>
      </c>
      <c r="J60" s="12">
        <v>-397125158787.18597</v>
      </c>
      <c r="K60" s="12">
        <v>-17882578982.27</v>
      </c>
      <c r="L60" s="1">
        <v>36410099739.0084</v>
      </c>
      <c r="M60" t="s">
        <v>89</v>
      </c>
      <c r="N60" t="s">
        <v>84</v>
      </c>
    </row>
    <row r="62" spans="1:14" x14ac:dyDescent="0.35">
      <c r="B62" s="1">
        <v>33462853.542927399</v>
      </c>
      <c r="C62" s="1">
        <v>1964632016.5574701</v>
      </c>
      <c r="D62" s="1">
        <v>4343188415.7922001</v>
      </c>
      <c r="E62" s="1">
        <v>6327881432.7492104</v>
      </c>
      <c r="F62" s="1">
        <v>7953772660.1747103</v>
      </c>
      <c r="G62" s="1">
        <v>10773941276.4585</v>
      </c>
      <c r="H62" s="1">
        <v>7841722645.0606804</v>
      </c>
      <c r="I62" s="1">
        <v>8834141295.2647495</v>
      </c>
      <c r="J62" s="1">
        <v>9998489877.2199993</v>
      </c>
      <c r="K62" s="1">
        <v>10072050988.9793</v>
      </c>
      <c r="L62" s="1">
        <v>9775762642.4563198</v>
      </c>
      <c r="M62" t="s">
        <v>91</v>
      </c>
      <c r="N62" t="s">
        <v>83</v>
      </c>
    </row>
    <row r="65" spans="3:6" x14ac:dyDescent="0.35">
      <c r="C65" s="1">
        <v>811630.32518587203</v>
      </c>
      <c r="D65" s="1">
        <v>1583007.6984806</v>
      </c>
      <c r="E65" s="1">
        <v>27508810.324634299</v>
      </c>
      <c r="F65" s="1">
        <v>3354301.90849793</v>
      </c>
    </row>
    <row r="66" spans="3:6" x14ac:dyDescent="0.35">
      <c r="C66" s="1">
        <v>1583007.6984806</v>
      </c>
    </row>
    <row r="67" spans="3:6" x14ac:dyDescent="0.35">
      <c r="C67" s="1">
        <v>27508810.324634299</v>
      </c>
    </row>
    <row r="68" spans="3:6" x14ac:dyDescent="0.35">
      <c r="C68" s="1">
        <v>3354301.90849793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H29" workbookViewId="0">
      <selection activeCell="O50" sqref="O50"/>
    </sheetView>
  </sheetViews>
  <sheetFormatPr defaultRowHeight="14.5" x14ac:dyDescent="0.35"/>
  <cols>
    <col min="6" max="6" width="10.453125" bestFit="1" customWidth="1"/>
    <col min="7" max="7" width="9.36328125" bestFit="1" customWidth="1"/>
    <col min="15" max="15" width="11.7265625" bestFit="1" customWidth="1"/>
    <col min="19" max="21" width="9.36328125" bestFit="1" customWidth="1"/>
  </cols>
  <sheetData>
    <row r="1" spans="1:21" x14ac:dyDescent="0.35">
      <c r="B1" t="s">
        <v>94</v>
      </c>
      <c r="N1" t="s">
        <v>101</v>
      </c>
    </row>
    <row r="2" spans="1:21" x14ac:dyDescent="0.35">
      <c r="B2" t="s">
        <v>26</v>
      </c>
      <c r="C2" t="s">
        <v>98</v>
      </c>
      <c r="D2" t="s">
        <v>99</v>
      </c>
      <c r="F2" t="s">
        <v>100</v>
      </c>
      <c r="G2" t="s">
        <v>99</v>
      </c>
      <c r="I2" t="s">
        <v>29</v>
      </c>
      <c r="J2" t="s">
        <v>97</v>
      </c>
      <c r="N2" t="s">
        <v>26</v>
      </c>
      <c r="O2" t="s">
        <v>95</v>
      </c>
      <c r="P2" t="s">
        <v>99</v>
      </c>
      <c r="R2" t="s">
        <v>96</v>
      </c>
      <c r="T2" t="s">
        <v>29</v>
      </c>
      <c r="U2" t="s">
        <v>97</v>
      </c>
    </row>
    <row r="3" spans="1:21" x14ac:dyDescent="0.35">
      <c r="A3" t="s">
        <v>0</v>
      </c>
      <c r="B3" s="1">
        <f>3.3*10^-6</f>
        <v>3.2999999999999997E-6</v>
      </c>
      <c r="C3" s="1">
        <v>811630.32518587203</v>
      </c>
      <c r="D3" s="1">
        <v>811630.32518587494</v>
      </c>
      <c r="F3" s="1">
        <v>4556084.1492903298</v>
      </c>
      <c r="G3" s="1">
        <v>4449652.85354714</v>
      </c>
      <c r="I3" s="2">
        <f>B3*C3</f>
        <v>2.6783800731133773</v>
      </c>
      <c r="J3" s="2">
        <f>B3*F3</f>
        <v>15.035077692658087</v>
      </c>
      <c r="M3" t="s">
        <v>0</v>
      </c>
      <c r="N3" s="1">
        <f>3.591*10^-6</f>
        <v>3.591E-6</v>
      </c>
      <c r="O3" s="1">
        <v>1466023.0257518</v>
      </c>
      <c r="P3" s="1">
        <v>1467169.55795137</v>
      </c>
      <c r="R3" s="11">
        <v>711539.45128415595</v>
      </c>
      <c r="S3" s="2"/>
      <c r="T3" s="6">
        <f>N3*R3</f>
        <v>2.5551381695614039</v>
      </c>
      <c r="U3" s="6">
        <f>N3*O3</f>
        <v>5.2644886854747144</v>
      </c>
    </row>
    <row r="4" spans="1:21" x14ac:dyDescent="0.35">
      <c r="A4" t="s">
        <v>5</v>
      </c>
      <c r="B4" s="1">
        <f>6.4*10^-6</f>
        <v>6.3999999999999997E-6</v>
      </c>
      <c r="C4" s="1">
        <v>1583007.6984806</v>
      </c>
      <c r="D4" s="1">
        <v>1583007.69848062</v>
      </c>
      <c r="F4" s="1">
        <v>619313739.24411798</v>
      </c>
      <c r="G4" s="1">
        <v>601628350.48949206</v>
      </c>
      <c r="I4" s="2">
        <f>B4*C4</f>
        <v>10.131249270275839</v>
      </c>
      <c r="J4" s="2">
        <f t="shared" ref="J4:J6" si="0">B4*F4</f>
        <v>3963.6079311623548</v>
      </c>
      <c r="M4" t="s">
        <v>5</v>
      </c>
      <c r="N4" s="1">
        <f>5.347*10^-6</f>
        <v>5.3469999999999998E-6</v>
      </c>
      <c r="O4" s="1">
        <v>64126084.628825702</v>
      </c>
      <c r="P4" s="1">
        <v>55828637.936295897</v>
      </c>
      <c r="R4" s="11">
        <v>1068134.2785413801</v>
      </c>
      <c r="S4" s="2"/>
      <c r="T4" s="6">
        <f t="shared" ref="T4:T6" si="1">N4*R4</f>
        <v>5.711313987360759</v>
      </c>
      <c r="U4" s="6">
        <f t="shared" ref="U4:U6" si="2">N4*O4</f>
        <v>342.88217451033103</v>
      </c>
    </row>
    <row r="5" spans="1:21" x14ac:dyDescent="0.35">
      <c r="A5" t="s">
        <v>10</v>
      </c>
      <c r="B5" s="1">
        <f>7.3*10^-6</f>
        <v>7.2999999999999996E-6</v>
      </c>
      <c r="C5" s="1">
        <v>27508810.324634299</v>
      </c>
      <c r="D5" s="1">
        <v>26753722.7312399</v>
      </c>
      <c r="F5" s="1">
        <v>921064064.81843305</v>
      </c>
      <c r="G5" s="1">
        <v>756717379.61638904</v>
      </c>
      <c r="I5" s="2">
        <f>B5*C5</f>
        <v>200.81431536983038</v>
      </c>
      <c r="J5" s="2">
        <f t="shared" si="0"/>
        <v>6723.7676731745605</v>
      </c>
      <c r="M5" t="s">
        <v>10</v>
      </c>
      <c r="N5" s="1">
        <f>5.575*10^-6</f>
        <v>5.575E-6</v>
      </c>
      <c r="O5" s="1">
        <v>37249316.428618804</v>
      </c>
      <c r="P5" s="1">
        <v>34760222.896278903</v>
      </c>
      <c r="R5" s="11">
        <v>2450703.4658999401</v>
      </c>
      <c r="S5" s="2"/>
      <c r="T5" s="6">
        <f>N5*R5</f>
        <v>13.662671822392166</v>
      </c>
      <c r="U5" s="6">
        <f>N5*O5</f>
        <v>207.66493908954982</v>
      </c>
    </row>
    <row r="6" spans="1:21" x14ac:dyDescent="0.35">
      <c r="A6" t="s">
        <v>23</v>
      </c>
      <c r="B6" s="1">
        <f>1.6*10^-6</f>
        <v>1.5999999999999999E-6</v>
      </c>
      <c r="C6" s="1">
        <v>1023947.59983987</v>
      </c>
      <c r="D6" s="1">
        <v>4000426.9835753799</v>
      </c>
      <c r="F6" s="1">
        <v>61692924.016532898</v>
      </c>
      <c r="G6" s="1">
        <v>67852387.458345994</v>
      </c>
      <c r="I6" s="2">
        <f>B6*C6</f>
        <v>1.6383161597437919</v>
      </c>
      <c r="J6" s="2">
        <f t="shared" si="0"/>
        <v>98.708678426452636</v>
      </c>
      <c r="M6" t="s">
        <v>23</v>
      </c>
      <c r="N6" s="1">
        <f>3.591*10^-6</f>
        <v>3.591E-6</v>
      </c>
      <c r="O6" s="1">
        <v>58170689.260848902</v>
      </c>
      <c r="P6" s="1">
        <v>50396522.077823803</v>
      </c>
      <c r="R6" s="11">
        <v>912983.85970785597</v>
      </c>
      <c r="S6" s="2"/>
      <c r="T6" s="6">
        <f t="shared" si="1"/>
        <v>3.2785250402109107</v>
      </c>
      <c r="U6" s="6">
        <f t="shared" si="2"/>
        <v>208.89094513570842</v>
      </c>
    </row>
    <row r="31" spans="13:24" x14ac:dyDescent="0.35">
      <c r="N31">
        <v>0.04</v>
      </c>
      <c r="O31">
        <v>0.1</v>
      </c>
      <c r="P31">
        <v>0.2</v>
      </c>
      <c r="Q31">
        <v>0.3</v>
      </c>
      <c r="R31">
        <v>0.4</v>
      </c>
      <c r="S31">
        <v>0.5</v>
      </c>
      <c r="T31">
        <v>0.6</v>
      </c>
      <c r="U31">
        <v>0.7</v>
      </c>
      <c r="V31">
        <v>0.8</v>
      </c>
      <c r="W31">
        <v>0.9</v>
      </c>
      <c r="X31">
        <v>1</v>
      </c>
    </row>
    <row r="32" spans="13:24" x14ac:dyDescent="0.35">
      <c r="M32" t="s">
        <v>0</v>
      </c>
      <c r="N32" s="1">
        <v>1466023.0257518</v>
      </c>
      <c r="O32" s="1">
        <v>71180507.112251595</v>
      </c>
      <c r="P32" s="1">
        <v>15391042727.812099</v>
      </c>
      <c r="Q32" s="1">
        <v>28530045718.931301</v>
      </c>
      <c r="R32" s="1">
        <v>33657867646.536701</v>
      </c>
      <c r="S32" s="1">
        <v>36940383181.028999</v>
      </c>
      <c r="T32" s="1">
        <v>39538412424.194702</v>
      </c>
      <c r="U32" s="1">
        <v>41795376300.841698</v>
      </c>
      <c r="V32" s="1">
        <v>43845143729.218803</v>
      </c>
      <c r="W32" s="1">
        <v>45749413628.654198</v>
      </c>
      <c r="X32" s="1">
        <v>47540903442.757103</v>
      </c>
    </row>
    <row r="33" spans="12:24" x14ac:dyDescent="0.35">
      <c r="M33" t="s">
        <v>5</v>
      </c>
      <c r="N33" s="1">
        <v>64126084.628825702</v>
      </c>
      <c r="O33" s="1">
        <v>5380947596.5855904</v>
      </c>
      <c r="P33" s="1">
        <v>116050394358.49699</v>
      </c>
      <c r="Q33" s="1">
        <v>434137826601.28802</v>
      </c>
      <c r="R33" s="1">
        <v>752324392502.23206</v>
      </c>
      <c r="S33" s="1">
        <v>951556269620.54004</v>
      </c>
      <c r="T33" s="1">
        <v>1073458852954.54</v>
      </c>
      <c r="U33" s="1">
        <v>1157554522789.28</v>
      </c>
      <c r="V33" s="1">
        <v>1222553525525.1699</v>
      </c>
      <c r="W33" s="1">
        <v>1276858095274.27</v>
      </c>
      <c r="X33" s="1">
        <v>1324517344939.8501</v>
      </c>
    </row>
    <row r="34" spans="12:24" x14ac:dyDescent="0.35">
      <c r="M34" t="s">
        <v>10</v>
      </c>
      <c r="N34" s="1">
        <v>37249316.428618804</v>
      </c>
      <c r="O34" s="1">
        <v>1732624177.9997799</v>
      </c>
      <c r="P34" s="1">
        <v>3635922135.93573</v>
      </c>
      <c r="Q34" s="1">
        <v>4940700802.1421404</v>
      </c>
      <c r="R34" s="1">
        <v>5761117522.84585</v>
      </c>
      <c r="S34" s="1">
        <v>6974477554.7626696</v>
      </c>
      <c r="T34" s="1">
        <v>5825258770.4213305</v>
      </c>
      <c r="U34" s="1">
        <v>6250025332.6575603</v>
      </c>
      <c r="V34" s="1">
        <v>6606858416.0879297</v>
      </c>
      <c r="W34" s="1">
        <v>6606180995.7659597</v>
      </c>
      <c r="X34" s="1">
        <v>6467690018.3301897</v>
      </c>
    </row>
    <row r="35" spans="12:24" x14ac:dyDescent="0.35">
      <c r="M35" t="s">
        <v>23</v>
      </c>
      <c r="N35" s="1">
        <v>58170689.260848902</v>
      </c>
      <c r="O35" s="1">
        <v>275897820.85442197</v>
      </c>
      <c r="P35" s="1">
        <v>1072046604.897</v>
      </c>
      <c r="Q35" s="1">
        <v>1871324240.5893199</v>
      </c>
      <c r="R35" s="1">
        <v>2529089333.8796902</v>
      </c>
      <c r="S35" s="1">
        <v>3054647935.8373699</v>
      </c>
      <c r="T35" s="1">
        <v>3463833556.7624302</v>
      </c>
      <c r="U35" s="1">
        <v>3783031825.46385</v>
      </c>
      <c r="V35" s="1">
        <v>4032895880.6023102</v>
      </c>
      <c r="W35" s="1">
        <v>4230164402.91642</v>
      </c>
      <c r="X35" s="1">
        <v>4384728710.3281298</v>
      </c>
    </row>
    <row r="37" spans="12:24" x14ac:dyDescent="0.35">
      <c r="L37" t="s">
        <v>26</v>
      </c>
      <c r="M37" t="s">
        <v>0</v>
      </c>
      <c r="N37" s="8">
        <f>N32*$N$3</f>
        <v>5.2644886854747144</v>
      </c>
      <c r="O37" s="8">
        <f t="shared" ref="O37:X37" si="3">O32*$N$3</f>
        <v>255.60920104009548</v>
      </c>
      <c r="P37" s="8">
        <f t="shared" si="3"/>
        <v>55269.234435573249</v>
      </c>
      <c r="Q37" s="8">
        <f t="shared" si="3"/>
        <v>102451.3941766823</v>
      </c>
      <c r="R37" s="8">
        <f t="shared" si="3"/>
        <v>120865.40271871329</v>
      </c>
      <c r="S37" s="8">
        <f t="shared" si="3"/>
        <v>132652.91600307514</v>
      </c>
      <c r="T37" s="8">
        <f t="shared" si="3"/>
        <v>141982.43901528316</v>
      </c>
      <c r="U37" s="8">
        <f t="shared" si="3"/>
        <v>150087.19629632254</v>
      </c>
      <c r="V37" s="8">
        <f t="shared" si="3"/>
        <v>157447.91113162471</v>
      </c>
      <c r="W37" s="8">
        <f t="shared" si="3"/>
        <v>164286.14434049724</v>
      </c>
      <c r="X37" s="8">
        <f t="shared" si="3"/>
        <v>170719.38426294076</v>
      </c>
    </row>
    <row r="38" spans="12:24" x14ac:dyDescent="0.35">
      <c r="M38" t="s">
        <v>5</v>
      </c>
      <c r="N38" s="8">
        <f>N33*$N$4</f>
        <v>342.88217451033103</v>
      </c>
      <c r="O38" s="8">
        <f t="shared" ref="O38:X38" si="4">O33*$N$4</f>
        <v>28771.92679894315</v>
      </c>
      <c r="P38" s="8">
        <f t="shared" si="4"/>
        <v>620521.4586348834</v>
      </c>
      <c r="Q38" s="8">
        <f t="shared" si="4"/>
        <v>2321334.9588370868</v>
      </c>
      <c r="R38" s="8">
        <f t="shared" si="4"/>
        <v>4022678.5267094346</v>
      </c>
      <c r="S38" s="8">
        <f t="shared" si="4"/>
        <v>5087971.3736610273</v>
      </c>
      <c r="T38" s="8">
        <f t="shared" si="4"/>
        <v>5739784.4867479252</v>
      </c>
      <c r="U38" s="8">
        <f t="shared" si="4"/>
        <v>6189444.0333542805</v>
      </c>
      <c r="V38" s="8">
        <f t="shared" si="4"/>
        <v>6536993.7009830829</v>
      </c>
      <c r="W38" s="8">
        <f t="shared" si="4"/>
        <v>6827360.2354315212</v>
      </c>
      <c r="X38" s="8">
        <f t="shared" si="4"/>
        <v>7082194.2433933783</v>
      </c>
    </row>
    <row r="39" spans="12:24" x14ac:dyDescent="0.35">
      <c r="M39" t="s">
        <v>10</v>
      </c>
      <c r="N39" s="8">
        <f>N34*$N$5</f>
        <v>207.66493908954982</v>
      </c>
      <c r="O39" s="8">
        <f t="shared" ref="O39:X39" si="5">O34*$N$5</f>
        <v>9659.3797923487728</v>
      </c>
      <c r="P39" s="8">
        <f t="shared" si="5"/>
        <v>20270.265907841695</v>
      </c>
      <c r="Q39" s="8">
        <f t="shared" si="5"/>
        <v>27544.406971942433</v>
      </c>
      <c r="R39" s="8">
        <f t="shared" si="5"/>
        <v>32118.230189865615</v>
      </c>
      <c r="S39" s="8">
        <f t="shared" si="5"/>
        <v>38882.712367801883</v>
      </c>
      <c r="T39" s="8">
        <f t="shared" si="5"/>
        <v>32475.817645098916</v>
      </c>
      <c r="U39" s="8">
        <f t="shared" si="5"/>
        <v>34843.891229565896</v>
      </c>
      <c r="V39" s="8">
        <f t="shared" si="5"/>
        <v>36833.235669690206</v>
      </c>
      <c r="W39" s="8">
        <f t="shared" si="5"/>
        <v>36829.459051395228</v>
      </c>
      <c r="X39" s="8">
        <f t="shared" si="5"/>
        <v>36057.371852190809</v>
      </c>
    </row>
    <row r="40" spans="12:24" x14ac:dyDescent="0.35">
      <c r="M40" t="s">
        <v>23</v>
      </c>
      <c r="N40" s="8">
        <f>N35*$N$6</f>
        <v>208.89094513570842</v>
      </c>
      <c r="O40" s="8">
        <f t="shared" ref="O40:X40" si="6">O35*$N$6</f>
        <v>990.74907468822926</v>
      </c>
      <c r="P40" s="8">
        <f t="shared" si="6"/>
        <v>3849.719358185127</v>
      </c>
      <c r="Q40" s="8">
        <f t="shared" si="6"/>
        <v>6719.9253479562476</v>
      </c>
      <c r="R40" s="8">
        <f t="shared" si="6"/>
        <v>9081.9597979619666</v>
      </c>
      <c r="S40" s="8">
        <f t="shared" si="6"/>
        <v>10969.240737591996</v>
      </c>
      <c r="T40" s="8">
        <f t="shared" si="6"/>
        <v>12438.626302333887</v>
      </c>
      <c r="U40" s="8">
        <f t="shared" si="6"/>
        <v>13584.867285240685</v>
      </c>
      <c r="V40" s="8">
        <f t="shared" si="6"/>
        <v>14482.129107242896</v>
      </c>
      <c r="W40" s="8">
        <f t="shared" si="6"/>
        <v>15190.520370872864</v>
      </c>
      <c r="X40" s="8">
        <f t="shared" si="6"/>
        <v>15745.560798788314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Tabela</vt:lpstr>
      <vt:lpstr>Vsup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becahp</dc:creator>
  <cp:lastModifiedBy>becahp</cp:lastModifiedBy>
  <dcterms:created xsi:type="dcterms:W3CDTF">2017-08-25T18:32:20Z</dcterms:created>
  <dcterms:modified xsi:type="dcterms:W3CDTF">2017-09-21T20:46:14Z</dcterms:modified>
</cp:coreProperties>
</file>