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ahp\UnB\MATLAB\_08\"/>
    </mc:Choice>
  </mc:AlternateContent>
  <xr:revisionPtr revIDLastSave="0" documentId="10_ncr:8100000_{48061D31-A7AC-4D32-A3FB-931D0CE534E5}" xr6:coauthVersionLast="34" xr6:coauthVersionMax="34" xr10:uidLastSave="{00000000-0000-0000-0000-000000000000}"/>
  <bookViews>
    <workbookView xWindow="0" yWindow="0" windowWidth="19200" windowHeight="8420" tabRatio="708" firstSheet="1" activeTab="7" xr2:uid="{00000000-000D-0000-FFFF-FFFF00000000}"/>
  </bookViews>
  <sheets>
    <sheet name="Resistencia" sheetId="1" r:id="rId1"/>
    <sheet name="Tabela" sheetId="3" r:id="rId2"/>
    <sheet name="Vsup" sheetId="4" r:id="rId3"/>
    <sheet name="Valores" sheetId="6" r:id="rId4"/>
    <sheet name="graficoall" sheetId="7" r:id="rId5"/>
    <sheet name="Vsup novo" sheetId="8" r:id="rId6"/>
    <sheet name="Ron" sheetId="10" r:id="rId7"/>
    <sheet name="Cap" sheetId="9" r:id="rId8"/>
    <sheet name="VsupNew_arq" sheetId="13" r:id="rId9"/>
    <sheet name="New_arq" sheetId="11" r:id="rId10"/>
    <sheet name="Vsup = 1.6V" sheetId="12" r:id="rId11"/>
    <sheet name="Comparison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2" l="1"/>
  <c r="R10" i="11" l="1"/>
  <c r="U10" i="12" l="1"/>
  <c r="U9" i="12"/>
  <c r="U8" i="12"/>
  <c r="Y36" i="3"/>
  <c r="Y35" i="3"/>
  <c r="Y34" i="3"/>
  <c r="Y33" i="3"/>
  <c r="Q33" i="3"/>
  <c r="O10" i="12" l="1"/>
  <c r="C23" i="13"/>
  <c r="D23" i="13"/>
  <c r="E23" i="13"/>
  <c r="F23" i="13"/>
  <c r="G23" i="13"/>
  <c r="H23" i="13"/>
  <c r="I23" i="13"/>
  <c r="J23" i="13"/>
  <c r="K23" i="13"/>
  <c r="L23" i="13"/>
  <c r="C22" i="13"/>
  <c r="D22" i="13"/>
  <c r="E22" i="13"/>
  <c r="F22" i="13"/>
  <c r="G22" i="13"/>
  <c r="H22" i="13"/>
  <c r="I22" i="13"/>
  <c r="J22" i="13"/>
  <c r="K22" i="13"/>
  <c r="L22" i="13"/>
  <c r="C21" i="13"/>
  <c r="D21" i="13"/>
  <c r="E21" i="13"/>
  <c r="F21" i="13"/>
  <c r="G21" i="13"/>
  <c r="H21" i="13"/>
  <c r="I21" i="13"/>
  <c r="J21" i="13"/>
  <c r="K21" i="13"/>
  <c r="L21" i="13"/>
  <c r="B22" i="13"/>
  <c r="B23" i="13"/>
  <c r="B21" i="13"/>
  <c r="B24" i="13"/>
  <c r="L24" i="13"/>
  <c r="K24" i="13"/>
  <c r="J24" i="13"/>
  <c r="I24" i="13"/>
  <c r="H24" i="13"/>
  <c r="G24" i="13"/>
  <c r="F24" i="13"/>
  <c r="E24" i="13"/>
  <c r="D24" i="13"/>
  <c r="C24" i="13"/>
  <c r="R8" i="12" l="1"/>
  <c r="G18" i="12"/>
  <c r="R10" i="12"/>
  <c r="C19" i="12"/>
  <c r="D41" i="3"/>
  <c r="C48" i="3"/>
  <c r="C18" i="12"/>
  <c r="Q10" i="12"/>
  <c r="F17" i="12" l="1"/>
  <c r="E17" i="12"/>
  <c r="O8" i="12"/>
  <c r="I8" i="12" l="1"/>
  <c r="K33" i="3"/>
  <c r="H17" i="12"/>
  <c r="E18" i="12"/>
  <c r="K20" i="12"/>
  <c r="E19" i="12"/>
  <c r="Q8" i="12"/>
  <c r="F10" i="12"/>
  <c r="G10" i="12" s="1"/>
  <c r="I10" i="12" s="1"/>
  <c r="H19" i="12" s="1"/>
  <c r="F9" i="12"/>
  <c r="G9" i="12" s="1"/>
  <c r="I9" i="12" s="1"/>
  <c r="H18" i="12" s="1"/>
  <c r="F8" i="12"/>
  <c r="G8" i="12" s="1"/>
  <c r="O9" i="12"/>
  <c r="Q9" i="12" s="1"/>
  <c r="R9" i="12" s="1"/>
  <c r="F18" i="12" s="1"/>
  <c r="D19" i="12"/>
  <c r="O11" i="12"/>
  <c r="D17" i="12"/>
  <c r="C9" i="12"/>
  <c r="C8" i="12"/>
  <c r="B10" i="12"/>
  <c r="B9" i="12"/>
  <c r="K18" i="12" s="1"/>
  <c r="B8" i="12"/>
  <c r="C17" i="12" s="1"/>
  <c r="K17" i="12" s="1"/>
  <c r="E20" i="12"/>
  <c r="T11" i="12"/>
  <c r="U11" i="12" s="1"/>
  <c r="G20" i="12" s="1"/>
  <c r="D20" i="12"/>
  <c r="F11" i="12"/>
  <c r="G11" i="12" s="1"/>
  <c r="I11" i="12" s="1"/>
  <c r="H20" i="12" s="1"/>
  <c r="D11" i="12"/>
  <c r="B20" i="12" s="1"/>
  <c r="J20" i="12" s="1"/>
  <c r="T10" i="12"/>
  <c r="G19" i="12" s="1"/>
  <c r="C10" i="12"/>
  <c r="T9" i="12"/>
  <c r="T8" i="12"/>
  <c r="D18" i="12" l="1"/>
  <c r="D10" i="12"/>
  <c r="D9" i="12"/>
  <c r="B18" i="12" s="1"/>
  <c r="J18" i="12" s="1"/>
  <c r="D8" i="12"/>
  <c r="B17" i="12" s="1"/>
  <c r="J17" i="12" s="1"/>
  <c r="K19" i="12"/>
  <c r="Q11" i="12"/>
  <c r="R11" i="12" s="1"/>
  <c r="F20" i="12" s="1"/>
  <c r="B55" i="3"/>
  <c r="C55" i="3"/>
  <c r="B56" i="3"/>
  <c r="C56" i="3"/>
  <c r="B57" i="3"/>
  <c r="C57" i="3"/>
  <c r="C54" i="3"/>
  <c r="B54" i="3"/>
  <c r="J17" i="11"/>
  <c r="B19" i="12" l="1"/>
  <c r="J19" i="12" s="1"/>
  <c r="F19" i="12"/>
  <c r="M25" i="11"/>
  <c r="D25" i="11"/>
  <c r="M26" i="11"/>
  <c r="M27" i="11"/>
  <c r="N27" i="11" s="1"/>
  <c r="N25" i="11"/>
  <c r="N26" i="11"/>
  <c r="B28" i="11" l="1"/>
  <c r="B27" i="11"/>
  <c r="D27" i="11" s="1"/>
  <c r="E27" i="11" s="1"/>
  <c r="B26" i="11"/>
  <c r="D26" i="11" s="1"/>
  <c r="E26" i="11" s="1"/>
  <c r="B25" i="11"/>
  <c r="E25" i="11" s="1"/>
  <c r="B8" i="11"/>
  <c r="B17" i="11"/>
  <c r="J18" i="11" l="1"/>
  <c r="K18" i="11"/>
  <c r="J19" i="11"/>
  <c r="K19" i="11"/>
  <c r="J20" i="11"/>
  <c r="K20" i="11"/>
  <c r="K17" i="11"/>
  <c r="D47" i="8" l="1"/>
  <c r="C47" i="8"/>
  <c r="B28" i="8"/>
  <c r="B34" i="8"/>
  <c r="R8" i="11" l="1"/>
  <c r="C18" i="11"/>
  <c r="C19" i="11"/>
  <c r="C17" i="11"/>
  <c r="C9" i="11" l="1"/>
  <c r="C10" i="11"/>
  <c r="C8" i="11"/>
  <c r="B26" i="8"/>
  <c r="B27" i="8"/>
  <c r="O11" i="11"/>
  <c r="O10" i="11"/>
  <c r="D19" i="11" s="1"/>
  <c r="O8" i="11"/>
  <c r="Q8" i="11" s="1"/>
  <c r="U36" i="3"/>
  <c r="K36" i="3"/>
  <c r="E18" i="11"/>
  <c r="E19" i="11"/>
  <c r="E20" i="11"/>
  <c r="E17" i="11"/>
  <c r="D20" i="11"/>
  <c r="D17" i="11"/>
  <c r="C47" i="3"/>
  <c r="C49" i="3"/>
  <c r="C46" i="3"/>
  <c r="D40" i="3"/>
  <c r="D42" i="3"/>
  <c r="D39" i="3"/>
  <c r="B32" i="8"/>
  <c r="H47" i="3"/>
  <c r="H48" i="3"/>
  <c r="H49" i="3"/>
  <c r="H46" i="3"/>
  <c r="G47" i="3"/>
  <c r="G48" i="3"/>
  <c r="G49" i="3"/>
  <c r="G46" i="3"/>
  <c r="F47" i="3"/>
  <c r="F48" i="3"/>
  <c r="F49" i="3"/>
  <c r="F46" i="3"/>
  <c r="E47" i="3"/>
  <c r="E48" i="3"/>
  <c r="E49" i="3"/>
  <c r="E46" i="3"/>
  <c r="D47" i="3"/>
  <c r="D48" i="3"/>
  <c r="D49" i="3"/>
  <c r="D46" i="3"/>
  <c r="B47" i="3"/>
  <c r="B48" i="3"/>
  <c r="B49" i="3"/>
  <c r="B46" i="3"/>
  <c r="Y2" i="3"/>
  <c r="X36" i="3"/>
  <c r="T36" i="3"/>
  <c r="T35" i="3"/>
  <c r="U35" i="3" s="1"/>
  <c r="T34" i="3"/>
  <c r="U34" i="3" s="1"/>
  <c r="T33" i="3"/>
  <c r="U33" i="3" s="1"/>
  <c r="Q36" i="3"/>
  <c r="Q34" i="3"/>
  <c r="Q35" i="3"/>
  <c r="K34" i="3"/>
  <c r="K35" i="3"/>
  <c r="K5" i="3"/>
  <c r="G36" i="3"/>
  <c r="H36" i="3" s="1"/>
  <c r="G35" i="3"/>
  <c r="H35" i="3" s="1"/>
  <c r="G34" i="3"/>
  <c r="H34" i="3" s="1"/>
  <c r="G33" i="3"/>
  <c r="H33" i="3" s="1"/>
  <c r="D34" i="3"/>
  <c r="D35" i="3"/>
  <c r="D36" i="3"/>
  <c r="D33" i="3"/>
  <c r="B24" i="3"/>
  <c r="D11" i="11" l="1"/>
  <c r="B20" i="11" s="1"/>
  <c r="B29" i="8"/>
  <c r="B35" i="8"/>
  <c r="N40" i="6"/>
  <c r="B10" i="11"/>
  <c r="B9" i="11"/>
  <c r="D9" i="11" s="1"/>
  <c r="B18" i="11" s="1"/>
  <c r="D8" i="11"/>
  <c r="B21" i="3"/>
  <c r="T9" i="11"/>
  <c r="U9" i="11" s="1"/>
  <c r="G18" i="11" s="1"/>
  <c r="T10" i="11"/>
  <c r="U10" i="11" s="1"/>
  <c r="G19" i="11" s="1"/>
  <c r="T8" i="11"/>
  <c r="U8" i="11" s="1"/>
  <c r="G17" i="11" s="1"/>
  <c r="O9" i="11"/>
  <c r="D18" i="11" s="1"/>
  <c r="Q11" i="11"/>
  <c r="K2" i="3"/>
  <c r="Q10" i="11"/>
  <c r="F8" i="11"/>
  <c r="G8" i="11" s="1"/>
  <c r="I8" i="11" s="1"/>
  <c r="H17" i="11" s="1"/>
  <c r="F9" i="11"/>
  <c r="G9" i="11" s="1"/>
  <c r="I9" i="11" s="1"/>
  <c r="H18" i="11" s="1"/>
  <c r="T11" i="11"/>
  <c r="U11" i="11" s="1"/>
  <c r="F11" i="11"/>
  <c r="G11" i="11" s="1"/>
  <c r="I11" i="11" s="1"/>
  <c r="H20" i="11" s="1"/>
  <c r="F10" i="11"/>
  <c r="G10" i="11" s="1"/>
  <c r="I10" i="11" s="1"/>
  <c r="H19" i="11" s="1"/>
  <c r="D10" i="11"/>
  <c r="B19" i="11" s="1"/>
  <c r="Q9" i="11" l="1"/>
  <c r="R9" i="11" s="1"/>
  <c r="F18" i="11" s="1"/>
  <c r="R11" i="11"/>
  <c r="F20" i="11" s="1"/>
  <c r="F19" i="11"/>
  <c r="F17" i="11"/>
  <c r="G20" i="11"/>
  <c r="S34" i="8"/>
  <c r="S35" i="8"/>
  <c r="P37" i="8"/>
  <c r="P35" i="8"/>
  <c r="P34" i="8"/>
  <c r="P31" i="8"/>
  <c r="F32" i="8"/>
  <c r="S37" i="8" l="1"/>
  <c r="E32" i="7"/>
  <c r="E28" i="7"/>
  <c r="C32" i="8" l="1"/>
  <c r="D32" i="8"/>
  <c r="E32" i="8"/>
  <c r="G32" i="8"/>
  <c r="H32" i="8"/>
  <c r="I32" i="8"/>
  <c r="J32" i="8"/>
  <c r="K32" i="8"/>
  <c r="L32" i="8"/>
  <c r="C33" i="8"/>
  <c r="D33" i="8"/>
  <c r="E33" i="8"/>
  <c r="F33" i="8"/>
  <c r="G33" i="8"/>
  <c r="H33" i="8"/>
  <c r="I33" i="8"/>
  <c r="J33" i="8"/>
  <c r="K33" i="8"/>
  <c r="L33" i="8"/>
  <c r="C34" i="8"/>
  <c r="D34" i="8"/>
  <c r="E34" i="8"/>
  <c r="F34" i="8"/>
  <c r="G34" i="8"/>
  <c r="H34" i="8"/>
  <c r="I34" i="8"/>
  <c r="J34" i="8"/>
  <c r="K34" i="8"/>
  <c r="L34" i="8"/>
  <c r="C35" i="8"/>
  <c r="D35" i="8"/>
  <c r="E35" i="8"/>
  <c r="F35" i="8"/>
  <c r="G35" i="8"/>
  <c r="H35" i="8"/>
  <c r="I35" i="8"/>
  <c r="J35" i="8"/>
  <c r="K35" i="8"/>
  <c r="L35" i="8"/>
  <c r="B33" i="8"/>
  <c r="C27" i="8"/>
  <c r="D27" i="8"/>
  <c r="E27" i="8"/>
  <c r="F27" i="8"/>
  <c r="G27" i="8"/>
  <c r="H27" i="8"/>
  <c r="I27" i="8"/>
  <c r="J27" i="8"/>
  <c r="K27" i="8"/>
  <c r="L27" i="8"/>
  <c r="C28" i="8"/>
  <c r="D28" i="8"/>
  <c r="E28" i="8"/>
  <c r="F28" i="8"/>
  <c r="G28" i="8"/>
  <c r="H28" i="8"/>
  <c r="I28" i="8"/>
  <c r="J28" i="8"/>
  <c r="K28" i="8"/>
  <c r="L28" i="8"/>
  <c r="C29" i="8"/>
  <c r="D29" i="8"/>
  <c r="E29" i="8"/>
  <c r="F29" i="8"/>
  <c r="G29" i="8"/>
  <c r="H29" i="8"/>
  <c r="I29" i="8"/>
  <c r="J29" i="8"/>
  <c r="K29" i="8"/>
  <c r="L29" i="8"/>
  <c r="C26" i="8"/>
  <c r="D26" i="8"/>
  <c r="E26" i="8"/>
  <c r="F26" i="8"/>
  <c r="G26" i="8"/>
  <c r="H26" i="8"/>
  <c r="I26" i="8"/>
  <c r="J26" i="8"/>
  <c r="K26" i="8"/>
  <c r="L26" i="8"/>
  <c r="G2" i="3"/>
  <c r="G3" i="3"/>
  <c r="G4" i="3"/>
  <c r="G5" i="3"/>
  <c r="T2" i="3" l="1"/>
  <c r="O37" i="6" l="1"/>
  <c r="P37" i="6"/>
  <c r="Q37" i="6"/>
  <c r="R37" i="6"/>
  <c r="S37" i="6"/>
  <c r="T37" i="6"/>
  <c r="U37" i="6"/>
  <c r="V37" i="6"/>
  <c r="W37" i="6"/>
  <c r="X37" i="6"/>
  <c r="O38" i="6"/>
  <c r="P38" i="6"/>
  <c r="Q38" i="6"/>
  <c r="R38" i="6"/>
  <c r="S38" i="6"/>
  <c r="T38" i="6"/>
  <c r="U38" i="6"/>
  <c r="V38" i="6"/>
  <c r="W38" i="6"/>
  <c r="X38" i="6"/>
  <c r="O39" i="6"/>
  <c r="P39" i="6"/>
  <c r="Q39" i="6"/>
  <c r="R39" i="6"/>
  <c r="S39" i="6"/>
  <c r="T39" i="6"/>
  <c r="U39" i="6"/>
  <c r="V39" i="6"/>
  <c r="W39" i="6"/>
  <c r="X39" i="6"/>
  <c r="O40" i="6"/>
  <c r="P40" i="6"/>
  <c r="Q40" i="6"/>
  <c r="R40" i="6"/>
  <c r="S40" i="6"/>
  <c r="T40" i="6"/>
  <c r="U40" i="6"/>
  <c r="V40" i="6"/>
  <c r="W40" i="6"/>
  <c r="X40" i="6"/>
  <c r="N39" i="6"/>
  <c r="N38" i="6"/>
  <c r="N37" i="6"/>
  <c r="U5" i="6"/>
  <c r="T5" i="6"/>
  <c r="U4" i="6"/>
  <c r="U6" i="6"/>
  <c r="U3" i="6"/>
  <c r="T4" i="6"/>
  <c r="T6" i="6"/>
  <c r="T3" i="6"/>
  <c r="J4" i="6"/>
  <c r="J5" i="6"/>
  <c r="J6" i="6"/>
  <c r="J3" i="6"/>
  <c r="I3" i="6"/>
  <c r="I4" i="6" l="1"/>
  <c r="I5" i="6"/>
  <c r="I6" i="6"/>
  <c r="N6" i="6" l="1"/>
  <c r="N5" i="6"/>
  <c r="N4" i="6"/>
  <c r="N3" i="6"/>
  <c r="B6" i="6"/>
  <c r="B5" i="6"/>
  <c r="B4" i="6"/>
  <c r="B3" i="6"/>
  <c r="B18" i="3" l="1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C21" i="4"/>
  <c r="D21" i="4"/>
  <c r="E21" i="4"/>
  <c r="F21" i="4"/>
  <c r="G21" i="4"/>
  <c r="H21" i="4"/>
  <c r="I21" i="4"/>
  <c r="J21" i="4"/>
  <c r="K21" i="4"/>
  <c r="L21" i="4"/>
  <c r="B21" i="4"/>
  <c r="M21" i="3" l="1"/>
  <c r="M20" i="3"/>
  <c r="M19" i="3"/>
  <c r="M18" i="3"/>
  <c r="D3" i="3" l="1"/>
  <c r="B19" i="3" s="1"/>
  <c r="D4" i="3"/>
  <c r="B20" i="3" s="1"/>
  <c r="D5" i="3"/>
  <c r="D2" i="3"/>
  <c r="B25" i="3"/>
  <c r="C25" i="3"/>
  <c r="E25" i="3"/>
  <c r="B26" i="3"/>
  <c r="C26" i="3"/>
  <c r="G26" i="3"/>
  <c r="B27" i="3"/>
  <c r="C27" i="3"/>
  <c r="C24" i="3"/>
  <c r="D20" i="3"/>
  <c r="X5" i="3"/>
  <c r="Y5" i="3" s="1"/>
  <c r="F21" i="3" s="1"/>
  <c r="Y4" i="3"/>
  <c r="F20" i="3" s="1"/>
  <c r="Y3" i="3"/>
  <c r="F19" i="3" s="1"/>
  <c r="F18" i="3"/>
  <c r="Z2" i="3"/>
  <c r="F24" i="3" s="1"/>
  <c r="Z3" i="3"/>
  <c r="F25" i="3" s="1"/>
  <c r="Z4" i="3"/>
  <c r="F26" i="3" s="1"/>
  <c r="Z5" i="3"/>
  <c r="F27" i="3" s="1"/>
  <c r="X11" i="3"/>
  <c r="X12" i="3"/>
  <c r="X13" i="3"/>
  <c r="X14" i="3"/>
  <c r="V2" i="3"/>
  <c r="E24" i="3" s="1"/>
  <c r="V3" i="3"/>
  <c r="V4" i="3"/>
  <c r="E26" i="3" s="1"/>
  <c r="V5" i="3"/>
  <c r="E27" i="3" s="1"/>
  <c r="Q5" i="3"/>
  <c r="Q3" i="3"/>
  <c r="Q4" i="3"/>
  <c r="Q2" i="3"/>
  <c r="D21" i="3"/>
  <c r="D26" i="3"/>
  <c r="D25" i="3"/>
  <c r="D18" i="3"/>
  <c r="L5" i="3"/>
  <c r="G27" i="3" s="1"/>
  <c r="L4" i="3"/>
  <c r="L3" i="3"/>
  <c r="G25" i="3" s="1"/>
  <c r="L2" i="3"/>
  <c r="G24" i="3" s="1"/>
  <c r="I5" i="3"/>
  <c r="I4" i="3"/>
  <c r="I3" i="3"/>
  <c r="I2" i="3"/>
  <c r="G11" i="3"/>
  <c r="G12" i="3"/>
  <c r="G13" i="3"/>
  <c r="G14" i="3"/>
  <c r="H2" i="3"/>
  <c r="H3" i="3"/>
  <c r="K3" i="3" s="1"/>
  <c r="G19" i="3" s="1"/>
  <c r="H4" i="3"/>
  <c r="K4" i="3" s="1"/>
  <c r="G20" i="3" s="1"/>
  <c r="H5" i="3"/>
  <c r="B14" i="3"/>
  <c r="D14" i="3" s="1"/>
  <c r="B13" i="3"/>
  <c r="D13" i="3" s="1"/>
  <c r="B12" i="3"/>
  <c r="D12" i="3" s="1"/>
  <c r="B11" i="3"/>
  <c r="D11" i="3" s="1"/>
  <c r="B5" i="3"/>
  <c r="E14" i="3"/>
  <c r="E13" i="3"/>
  <c r="E12" i="3"/>
  <c r="E11" i="3"/>
  <c r="B4" i="3"/>
  <c r="B3" i="3"/>
  <c r="B2" i="3"/>
  <c r="G18" i="3" l="1"/>
  <c r="G21" i="3"/>
  <c r="C20" i="3"/>
  <c r="T4" i="3"/>
  <c r="U4" i="3" s="1"/>
  <c r="E20" i="3" s="1"/>
  <c r="C19" i="3"/>
  <c r="T3" i="3"/>
  <c r="U3" i="3" s="1"/>
  <c r="E19" i="3" s="1"/>
  <c r="C18" i="3"/>
  <c r="U2" i="3"/>
  <c r="E18" i="3" s="1"/>
  <c r="C21" i="3"/>
  <c r="T5" i="3"/>
  <c r="U5" i="3" s="1"/>
  <c r="E21" i="3" s="1"/>
  <c r="D19" i="3"/>
  <c r="D24" i="3"/>
  <c r="D27" i="3"/>
</calcChain>
</file>

<file path=xl/sharedStrings.xml><?xml version="1.0" encoding="utf-8"?>
<sst xmlns="http://schemas.openxmlformats.org/spreadsheetml/2006/main" count="650" uniqueCount="185">
  <si>
    <t>1G</t>
  </si>
  <si>
    <t xml:space="preserve">        a: 3.7019e+06</t>
  </si>
  <si>
    <t xml:space="preserve">        b: 2.4157e+05</t>
  </si>
  <si>
    <t xml:space="preserve">        c: 1.2101e+05</t>
  </si>
  <si>
    <t xml:space="preserve">    media: 1.3548e+06</t>
  </si>
  <si>
    <t>FBG</t>
  </si>
  <si>
    <t xml:space="preserve">        a: 6.6073e+06</t>
  </si>
  <si>
    <t xml:space="preserve">        b: 1.4520e+05</t>
  </si>
  <si>
    <t xml:space="preserve">        c: 8.0427e+04</t>
  </si>
  <si>
    <t xml:space="preserve">    media: 2.2776e+06</t>
  </si>
  <si>
    <t>2G</t>
  </si>
  <si>
    <t xml:space="preserve">        a: 8.0346e+04</t>
  </si>
  <si>
    <t xml:space="preserve">        b: 1.0420e+05</t>
  </si>
  <si>
    <t xml:space="preserve">        c: 1.0858e+05</t>
  </si>
  <si>
    <t xml:space="preserve">    media: 9.7711e+04</t>
  </si>
  <si>
    <t xml:space="preserve">3G </t>
  </si>
  <si>
    <t xml:space="preserve">        a: 1.8651e+05</t>
  </si>
  <si>
    <t xml:space="preserve">        b: 2.0686e+05</t>
  </si>
  <si>
    <t xml:space="preserve">        c: 2.7254e+05</t>
  </si>
  <si>
    <t xml:space="preserve">    media: 2.2197e+05</t>
  </si>
  <si>
    <t>R_on</t>
  </si>
  <si>
    <t>R_out</t>
  </si>
  <si>
    <t>R_saida</t>
  </si>
  <si>
    <t>3G</t>
  </si>
  <si>
    <t>NaN</t>
  </si>
  <si>
    <t>gm</t>
  </si>
  <si>
    <t>r0</t>
  </si>
  <si>
    <t>Stefan</t>
  </si>
  <si>
    <t>Calc</t>
  </si>
  <si>
    <t>Meus dados</t>
  </si>
  <si>
    <t>Rsaida</t>
  </si>
  <si>
    <t>Cg</t>
  </si>
  <si>
    <t xml:space="preserve"> CL=8CG</t>
  </si>
  <si>
    <t>EL=8*CG*Vsup*Vsup</t>
  </si>
  <si>
    <t>EL</t>
  </si>
  <si>
    <t>Vsup/2 (1G,2G,FBG)</t>
  </si>
  <si>
    <t>Vsup/2 (3G)</t>
  </si>
  <si>
    <t>Ron</t>
  </si>
  <si>
    <t>Vth</t>
  </si>
  <si>
    <t>VDD</t>
  </si>
  <si>
    <t>VDD (3G)</t>
  </si>
  <si>
    <t>Vth/VDD</t>
  </si>
  <si>
    <t>Tp = K*8*CG*Ron</t>
  </si>
  <si>
    <t>K(Vth)</t>
  </si>
  <si>
    <t>Ioff</t>
  </si>
  <si>
    <t>PS=Ioff*Vsup</t>
  </si>
  <si>
    <t>gmr0</t>
  </si>
  <si>
    <t>Vth/Vsup</t>
  </si>
  <si>
    <t>Ron/ch</t>
  </si>
  <si>
    <t>TP/ch</t>
  </si>
  <si>
    <t>PS/ch</t>
  </si>
  <si>
    <t>r0 (stefan)</t>
  </si>
  <si>
    <t>K=(2(Vth/VDD))/1-(Vth/VDD) + ln(3- 4Vth/VDD)</t>
  </si>
  <si>
    <t>r0 1V</t>
  </si>
  <si>
    <t>r0 1.3</t>
  </si>
  <si>
    <t>1G:</t>
  </si>
  <si>
    <t>FBG:</t>
  </si>
  <si>
    <t>2G:</t>
  </si>
  <si>
    <t>3G:</t>
  </si>
  <si>
    <t>R0</t>
  </si>
  <si>
    <t>Feito no excel</t>
  </si>
  <si>
    <t>Para nova versão do COOS</t>
  </si>
  <si>
    <t>meio</t>
  </si>
  <si>
    <t>vgs max</t>
  </si>
  <si>
    <t>Ron antigo</t>
  </si>
  <si>
    <t>Ron novo</t>
  </si>
  <si>
    <t>ganho intrinseco</t>
  </si>
  <si>
    <t>gm em (1,1) / (0.6,0.6)</t>
  </si>
  <si>
    <t>coos v20</t>
  </si>
  <si>
    <t>r0 (fit 1.5-2V)</t>
  </si>
  <si>
    <t>fit 1V</t>
  </si>
  <si>
    <t>Other Calc</t>
  </si>
  <si>
    <t>r0 fit 1V</t>
  </si>
  <si>
    <t>finita</t>
  </si>
  <si>
    <t>r0 fit 1.5-2V</t>
  </si>
  <si>
    <t>coos v30</t>
  </si>
  <si>
    <t>Ajustado</t>
  </si>
  <si>
    <t>SS</t>
  </si>
  <si>
    <t>Peak gm</t>
  </si>
  <si>
    <t>Ion I0</t>
  </si>
  <si>
    <t>Ion</t>
  </si>
  <si>
    <t>FIT</t>
  </si>
  <si>
    <t>Finita</t>
  </si>
  <si>
    <t>em 2V</t>
  </si>
  <si>
    <t>em 1V</t>
  </si>
  <si>
    <t>Vth errada</t>
  </si>
  <si>
    <t>correta</t>
  </si>
  <si>
    <t>Mais Novos</t>
  </si>
  <si>
    <t>gm (1,1/0.6,0.6)</t>
  </si>
  <si>
    <t>C_s_s</t>
  </si>
  <si>
    <t>C_s_d</t>
  </si>
  <si>
    <t>C_s_gs</t>
  </si>
  <si>
    <t>C_s_g</t>
  </si>
  <si>
    <t>C_s_gd</t>
  </si>
  <si>
    <t>C_d_s</t>
  </si>
  <si>
    <t>C_d_d</t>
  </si>
  <si>
    <t>C_d_gs</t>
  </si>
  <si>
    <t>C_d_g</t>
  </si>
  <si>
    <t>C_d_gd</t>
  </si>
  <si>
    <t>C_gs_s</t>
  </si>
  <si>
    <t>C_gs_d</t>
  </si>
  <si>
    <t>C_gs_gs</t>
  </si>
  <si>
    <t>C_gs_g</t>
  </si>
  <si>
    <t>C_gs_gd</t>
  </si>
  <si>
    <t>C_g_s</t>
  </si>
  <si>
    <t>C_g_d</t>
  </si>
  <si>
    <t>C_g_gs</t>
  </si>
  <si>
    <t>C_g_g</t>
  </si>
  <si>
    <t>C_g_gd</t>
  </si>
  <si>
    <t>C_gd_s</t>
  </si>
  <si>
    <t>C_gd_d</t>
  </si>
  <si>
    <t>C_gd_gs</t>
  </si>
  <si>
    <t>C_gd_g</t>
  </si>
  <si>
    <t>C_gd_gd</t>
  </si>
  <si>
    <t>1V</t>
  </si>
  <si>
    <t>0.6V</t>
  </si>
  <si>
    <t>gm*r0</t>
  </si>
  <si>
    <t>1,1/0.6,0.6</t>
  </si>
  <si>
    <t>saturacao</t>
  </si>
  <si>
    <t>usando smooth</t>
  </si>
  <si>
    <t>usando outros metodos</t>
  </si>
  <si>
    <t>r0 satu</t>
  </si>
  <si>
    <t>peak gm</t>
  </si>
  <si>
    <t>Fator de escalamento</t>
  </si>
  <si>
    <t>Subslope ótimo</t>
  </si>
  <si>
    <t>calculo para 2g</t>
  </si>
  <si>
    <t>diff y</t>
  </si>
  <si>
    <t>diff x</t>
  </si>
  <si>
    <t>calculo para 3g</t>
  </si>
  <si>
    <t>Nova arq</t>
  </si>
  <si>
    <t>Novo</t>
  </si>
  <si>
    <t>TABELA REAL</t>
  </si>
  <si>
    <t>2.7-15</t>
  </si>
  <si>
    <t>10-4K</t>
  </si>
  <si>
    <t>1.8-120</t>
  </si>
  <si>
    <t>r0 max</t>
  </si>
  <si>
    <t>210k</t>
  </si>
  <si>
    <t>140k</t>
  </si>
  <si>
    <t>80k</t>
  </si>
  <si>
    <t>190k</t>
  </si>
  <si>
    <t>28ps</t>
  </si>
  <si>
    <t>21ps</t>
  </si>
  <si>
    <t>13ps</t>
  </si>
  <si>
    <t>5ps</t>
  </si>
  <si>
    <t>0.82nW</t>
  </si>
  <si>
    <t>0.21nW</t>
  </si>
  <si>
    <t>9.3nW</t>
  </si>
  <si>
    <t>430aJ</t>
  </si>
  <si>
    <t>460aJ</t>
  </si>
  <si>
    <t>32aJ</t>
  </si>
  <si>
    <t>170-6.8k</t>
  </si>
  <si>
    <t>Fit 0.9-1.1V</t>
  </si>
  <si>
    <t>1.5-2V</t>
  </si>
  <si>
    <t>fit 0.9-1.1V</t>
  </si>
  <si>
    <t>Fit 1.5-2V</t>
  </si>
  <si>
    <t>0.7-1.2V</t>
  </si>
  <si>
    <t>fit 0.5-0.7V</t>
  </si>
  <si>
    <t>usando FIT</t>
  </si>
  <si>
    <t>usando FIT em 1V/0.6</t>
  </si>
  <si>
    <t>r0 (fit 1V)</t>
  </si>
  <si>
    <t>r0 (fit saturacao)</t>
  </si>
  <si>
    <t>gmr0(sat)</t>
  </si>
  <si>
    <t>Verificação do ganho de 2G</t>
  </si>
  <si>
    <t>1.2V</t>
  </si>
  <si>
    <t>gm*r0 (1.2)</t>
  </si>
  <si>
    <t>gm*r0 (sat)</t>
  </si>
  <si>
    <t>Arquitetura escalada com VDS = 0.8V, 0.6V</t>
  </si>
  <si>
    <t>decibéis</t>
  </si>
  <si>
    <t>r0 FIT</t>
  </si>
  <si>
    <t>r0 Finita</t>
  </si>
  <si>
    <t>em dbd</t>
  </si>
  <si>
    <t>saturação</t>
  </si>
  <si>
    <t>Em decibéis</t>
  </si>
  <si>
    <t>r0 (fit 0.8V)</t>
  </si>
  <si>
    <t>Ron(inverso da soma)</t>
  </si>
  <si>
    <t>Ron(soma dos inversos)</t>
  </si>
  <si>
    <t>Vsup = 1.6V</t>
  </si>
  <si>
    <t>Arquitetura escalada</t>
  </si>
  <si>
    <t>Arquitetura constante</t>
  </si>
  <si>
    <t>s1G</t>
  </si>
  <si>
    <t>v1G</t>
  </si>
  <si>
    <t>sFBG</t>
  </si>
  <si>
    <t>vFBG</t>
  </si>
  <si>
    <t>s2G</t>
  </si>
  <si>
    <t>v2G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</si>
</sst>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E+00"/>
    <numFmt numFmtId="167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3" borderId="0" xfId="0" applyNumberFormat="1" applyFill="1"/>
    <xf numFmtId="11" fontId="0" fillId="0" borderId="0" xfId="0" applyNumberFormat="1" applyFill="1"/>
    <xf numFmtId="11" fontId="0" fillId="4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Font="1"/>
    <xf numFmtId="0" fontId="1" fillId="0" borderId="0" xfId="0" applyNumberFormat="1" applyFont="1"/>
    <xf numFmtId="11" fontId="0" fillId="2" borderId="0" xfId="0" applyNumberFormat="1" applyFill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1" fontId="4" fillId="0" borderId="0" xfId="0" applyNumberFormat="1" applyFont="1"/>
    <xf numFmtId="11" fontId="1" fillId="0" borderId="0" xfId="0" applyNumberFormat="1" applyFont="1"/>
    <xf numFmtId="0" fontId="1" fillId="2" borderId="0" xfId="0" applyNumberFormat="1" applyFont="1" applyFill="1"/>
    <xf numFmtId="11" fontId="1" fillId="2" borderId="0" xfId="0" applyNumberFormat="1" applyFont="1" applyFill="1"/>
    <xf numFmtId="0" fontId="0" fillId="2" borderId="0" xfId="0" applyNumberFormat="1" applyFill="1"/>
    <xf numFmtId="0" fontId="3" fillId="0" borderId="0" xfId="0" applyFont="1" applyFill="1"/>
    <xf numFmtId="0" fontId="3" fillId="5" borderId="0" xfId="0" applyFont="1" applyFill="1"/>
    <xf numFmtId="0" fontId="0" fillId="0" borderId="0" xfId="0" applyFont="1" applyAlignment="1">
      <alignment horizontal="right"/>
    </xf>
    <xf numFmtId="11" fontId="0" fillId="0" borderId="0" xfId="0" applyNumberFormat="1" applyFont="1"/>
    <xf numFmtId="167" fontId="0" fillId="0" borderId="0" xfId="0" applyNumberFormat="1" applyFont="1" applyAlignment="1">
      <alignment horizontal="right"/>
    </xf>
    <xf numFmtId="0" fontId="0" fillId="6" borderId="0" xfId="0" applyFont="1" applyFill="1"/>
    <xf numFmtId="0" fontId="2" fillId="6" borderId="0" xfId="0" applyFont="1" applyFill="1"/>
    <xf numFmtId="1" fontId="0" fillId="0" borderId="0" xfId="0" applyNumberFormat="1"/>
    <xf numFmtId="0" fontId="4" fillId="2" borderId="0" xfId="0" applyFont="1" applyFill="1"/>
    <xf numFmtId="11" fontId="3" fillId="0" borderId="0" xfId="0" applyNumberFormat="1" applyFont="1" applyFill="1"/>
    <xf numFmtId="0" fontId="4" fillId="5" borderId="0" xfId="0" applyFont="1" applyFill="1"/>
    <xf numFmtId="0" fontId="0" fillId="0" borderId="0" xfId="0" applyFont="1" applyFill="1" applyBorder="1" applyAlignment="1"/>
    <xf numFmtId="0" fontId="0" fillId="0" borderId="0" xfId="0" applyFont="1" applyFill="1"/>
    <xf numFmtId="168" fontId="0" fillId="0" borderId="0" xfId="0" applyNumberFormat="1"/>
    <xf numFmtId="0" fontId="0" fillId="0" borderId="0" xfId="0" applyBorder="1"/>
    <xf numFmtId="0" fontId="0" fillId="0" borderId="1" xfId="0" applyBorder="1"/>
    <xf numFmtId="1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2" fontId="0" fillId="0" borderId="1" xfId="0" applyNumberFormat="1" applyBorder="1"/>
    <xf numFmtId="11" fontId="0" fillId="0" borderId="1" xfId="0" applyNumberFormat="1" applyBorder="1"/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10</xdr:col>
      <xdr:colOff>415824</xdr:colOff>
      <xdr:row>27</xdr:row>
      <xdr:rowOff>126550</xdr:rowOff>
    </xdr:to>
    <xdr:pic>
      <xdr:nvPicPr>
        <xdr:cNvPr id="3" name="Picture 2" descr="https://gm1.ggpht.com/QNctaw8x80nsKiOexJuFfr2dGtS9lKD0e8AJkHSySAqbsAXzEQvgRH-OpNzmfe_LpefO1whBf0SW2_QpXI9WuWyniOD-WhPNj2Vf_Tm2IWsf5wpjalQ93YeQu7LvuEhSLUrae8xTHBVP4Lt36IosLmNVXEMo8xjKhP7e9XzniugcxSi8iJdZcO163zOBnqU-9TKAd-Zu8Tx_PHgp8tUKY0Rz10hLZL5pH_QJIEw_NHb3j5zZ7rXKZH1Kw6EqLPw-qHBJIs0EoeQ50UpCN_VaXphY3Fe4fVpl4LkEsI8u9lwytrmmklbKMeNwpS_xZ_mEx1lkNPik5DRYefAiETlLv8Tdxv8zyVAKDgLqIgkog4CoPPUb0OTPFkHmu1YngPm43inHshqqoRZKo73Xqeq4FdYwprsYZgrnIjlPbW6_mGaKDcH2BINI76KF7PSgO9p5-yl-klfu37mmA1AHr1-1iwI9HiC_5X9_SfEEuE23BTC6KuUgfVkugKdXmdJuL0QN_j04OoiA6iewQ1Jgef_wY2V2_CcE1mW2vSIK3mwRKBwSRkL3GxmtJKRymLZPk8MCKgqnRA8NloOkl0hVAZRnDU-UZf_rJCHe7Wtke7BdiHxu-5XPZxoEq0aoaa2uZ09mOlVTznqcBFi_2YbcCqFkMdAuJQGhp_vhR-gk4ZP_D466rtqcmMAlDh0VqUxsWQ=w1920-h936-l75-ft">
          <a:extLst>
            <a:ext uri="{FF2B5EF4-FFF2-40B4-BE49-F238E27FC236}">
              <a16:creationId xmlns:a16="http://schemas.microsoft.com/office/drawing/2014/main" id="{327EAC72-F827-4C87-BADA-24FA2529C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6676924" cy="36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177800</xdr:rowOff>
    </xdr:from>
    <xdr:to>
      <xdr:col>22</xdr:col>
      <xdr:colOff>239360</xdr:colOff>
      <xdr:row>27</xdr:row>
      <xdr:rowOff>94800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99A8D-EF1E-47AC-B272-D574466F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1466850"/>
          <a:ext cx="6678260" cy="36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142875</xdr:rowOff>
    </xdr:from>
    <xdr:to>
      <xdr:col>10</xdr:col>
      <xdr:colOff>196828</xdr:colOff>
      <xdr:row>47</xdr:row>
      <xdr:rowOff>123375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7EA51E-70DC-4107-AFB4-6E2EA5E4F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76875"/>
          <a:ext cx="6403953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O9" sqref="O9"/>
    </sheetView>
  </sheetViews>
  <sheetFormatPr defaultRowHeight="14.5" x14ac:dyDescent="0.35"/>
  <sheetData>
    <row r="1" spans="1:15" x14ac:dyDescent="0.35">
      <c r="A1" t="s">
        <v>0</v>
      </c>
      <c r="C1" t="s">
        <v>5</v>
      </c>
      <c r="E1" t="s">
        <v>10</v>
      </c>
      <c r="G1" t="s">
        <v>15</v>
      </c>
    </row>
    <row r="2" spans="1:15" x14ac:dyDescent="0.35">
      <c r="A2" t="s">
        <v>1</v>
      </c>
      <c r="C2" t="s">
        <v>6</v>
      </c>
      <c r="E2" t="s">
        <v>11</v>
      </c>
      <c r="G2" t="s">
        <v>16</v>
      </c>
    </row>
    <row r="3" spans="1:15" x14ac:dyDescent="0.35">
      <c r="A3" t="s">
        <v>2</v>
      </c>
      <c r="C3" t="s">
        <v>7</v>
      </c>
      <c r="E3" t="s">
        <v>12</v>
      </c>
      <c r="G3" t="s">
        <v>17</v>
      </c>
    </row>
    <row r="4" spans="1:15" x14ac:dyDescent="0.35">
      <c r="A4" t="s">
        <v>3</v>
      </c>
      <c r="C4" t="s">
        <v>8</v>
      </c>
      <c r="E4" t="s">
        <v>13</v>
      </c>
      <c r="G4" t="s">
        <v>18</v>
      </c>
    </row>
    <row r="5" spans="1:15" x14ac:dyDescent="0.35">
      <c r="A5" t="s">
        <v>4</v>
      </c>
      <c r="C5" t="s">
        <v>9</v>
      </c>
      <c r="E5" t="s">
        <v>14</v>
      </c>
      <c r="G5" t="s">
        <v>19</v>
      </c>
    </row>
    <row r="7" spans="1:15" x14ac:dyDescent="0.35">
      <c r="J7" s="6" t="s">
        <v>61</v>
      </c>
    </row>
    <row r="8" spans="1:15" x14ac:dyDescent="0.35">
      <c r="B8" t="s">
        <v>0</v>
      </c>
      <c r="C8" t="s">
        <v>5</v>
      </c>
      <c r="D8" t="s">
        <v>10</v>
      </c>
      <c r="E8" t="s">
        <v>15</v>
      </c>
      <c r="K8" t="s">
        <v>20</v>
      </c>
      <c r="L8" t="s">
        <v>0</v>
      </c>
      <c r="M8" t="s">
        <v>5</v>
      </c>
      <c r="N8" t="s">
        <v>10</v>
      </c>
      <c r="O8" t="s">
        <v>15</v>
      </c>
    </row>
    <row r="9" spans="1:15" x14ac:dyDescent="0.35">
      <c r="A9" t="s">
        <v>20</v>
      </c>
      <c r="B9" s="1">
        <v>1354839.5363256801</v>
      </c>
      <c r="C9" s="1">
        <v>2277627.9064628901</v>
      </c>
      <c r="D9" s="1">
        <v>97710.841724854297</v>
      </c>
      <c r="E9" s="1">
        <v>221967.66921246101</v>
      </c>
      <c r="K9" t="s">
        <v>20</v>
      </c>
      <c r="L9" s="1">
        <v>792484.02135799895</v>
      </c>
      <c r="M9" s="1">
        <v>1354440.6373463499</v>
      </c>
      <c r="N9" s="1">
        <v>97412.818622331004</v>
      </c>
      <c r="O9" s="1">
        <v>223190.937467474</v>
      </c>
    </row>
    <row r="10" spans="1:15" x14ac:dyDescent="0.35">
      <c r="A10" t="s">
        <v>21</v>
      </c>
      <c r="B10" s="1">
        <v>409458.62702287798</v>
      </c>
      <c r="C10" s="1">
        <v>296849.161209949</v>
      </c>
      <c r="D10" s="1">
        <v>1974026.20041091</v>
      </c>
      <c r="E10" s="1">
        <v>1591364.0746848001</v>
      </c>
      <c r="F10" t="s">
        <v>83</v>
      </c>
      <c r="K10" t="s">
        <v>21</v>
      </c>
      <c r="L10" s="1"/>
      <c r="M10" s="1"/>
      <c r="N10" s="1"/>
      <c r="O10" s="1"/>
    </row>
    <row r="11" spans="1:15" x14ac:dyDescent="0.35">
      <c r="A11" t="s">
        <v>22</v>
      </c>
      <c r="B11" s="1">
        <v>811630.32518587203</v>
      </c>
      <c r="C11" s="1">
        <v>1583007.6984806</v>
      </c>
      <c r="D11" s="1">
        <v>27508810.324634299</v>
      </c>
      <c r="E11" s="1">
        <v>1023947.59983987</v>
      </c>
      <c r="F11" t="s">
        <v>84</v>
      </c>
      <c r="K11" t="s">
        <v>22</v>
      </c>
    </row>
    <row r="13" spans="1:15" x14ac:dyDescent="0.35">
      <c r="K13" s="1"/>
      <c r="L13" s="1"/>
      <c r="M13" s="1"/>
      <c r="N13" s="1"/>
    </row>
    <row r="15" spans="1:15" x14ac:dyDescent="0.35">
      <c r="B15" s="1"/>
      <c r="C15" s="1"/>
      <c r="D15" s="1"/>
    </row>
    <row r="17" spans="2:5" x14ac:dyDescent="0.35">
      <c r="B17" s="1"/>
      <c r="C17" s="1"/>
      <c r="D17" s="1"/>
      <c r="E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1"/>
  <sheetViews>
    <sheetView topLeftCell="A7" zoomScale="85" zoomScaleNormal="85" workbookViewId="0">
      <selection activeCell="J17" sqref="J17:K20"/>
    </sheetView>
  </sheetViews>
  <sheetFormatPr defaultRowHeight="14.5" x14ac:dyDescent="0.35"/>
  <cols>
    <col min="3" max="3" width="9.08984375" bestFit="1" customWidth="1"/>
    <col min="13" max="13" width="9.6328125" customWidth="1"/>
  </cols>
  <sheetData>
    <row r="1" spans="1:26" x14ac:dyDescent="0.35">
      <c r="A1" s="26"/>
      <c r="B1" s="26" t="s">
        <v>80</v>
      </c>
      <c r="C1" s="26" t="s">
        <v>44</v>
      </c>
      <c r="E1" t="s">
        <v>159</v>
      </c>
      <c r="F1" t="s">
        <v>160</v>
      </c>
      <c r="H1" t="s">
        <v>37</v>
      </c>
      <c r="J1" t="s">
        <v>38</v>
      </c>
    </row>
    <row r="2" spans="1:26" x14ac:dyDescent="0.35">
      <c r="A2" s="26" t="s">
        <v>0</v>
      </c>
      <c r="B2" s="27"/>
      <c r="C2" s="27">
        <v>-5.7641889359999998E-9</v>
      </c>
      <c r="E2" s="1">
        <v>2902005.3948894902</v>
      </c>
      <c r="F2" s="1">
        <v>244981389.96839499</v>
      </c>
      <c r="H2" s="1">
        <v>88438.302619519804</v>
      </c>
      <c r="J2">
        <v>0.371652680872536</v>
      </c>
    </row>
    <row r="3" spans="1:26" x14ac:dyDescent="0.35">
      <c r="A3" s="26" t="s">
        <v>5</v>
      </c>
      <c r="B3" s="27"/>
      <c r="C3" s="27">
        <v>-1.3713767950000001E-10</v>
      </c>
      <c r="E3" s="1">
        <v>1997227.9558614199</v>
      </c>
      <c r="F3">
        <v>646349956.32896602</v>
      </c>
      <c r="H3" s="1">
        <v>117844.58323782199</v>
      </c>
      <c r="J3">
        <v>0.34712122018554598</v>
      </c>
    </row>
    <row r="4" spans="1:26" x14ac:dyDescent="0.35">
      <c r="A4" s="26" t="s">
        <v>10</v>
      </c>
      <c r="B4" s="27"/>
      <c r="C4" s="27">
        <v>-1.373149151E-10</v>
      </c>
      <c r="E4" s="1">
        <v>31668787.764332499</v>
      </c>
      <c r="F4">
        <v>908409283.69979298</v>
      </c>
      <c r="H4" s="1">
        <v>94241.119207451105</v>
      </c>
      <c r="J4">
        <v>0.49130786885893701</v>
      </c>
    </row>
    <row r="5" spans="1:26" x14ac:dyDescent="0.35">
      <c r="A5" s="26" t="s">
        <v>23</v>
      </c>
      <c r="B5" s="26"/>
      <c r="C5" s="26"/>
      <c r="J5">
        <v>0.17616846904109501</v>
      </c>
    </row>
    <row r="7" spans="1:26" x14ac:dyDescent="0.35">
      <c r="A7" s="17"/>
      <c r="B7" s="32" t="s">
        <v>25</v>
      </c>
      <c r="C7" s="32" t="s">
        <v>26</v>
      </c>
      <c r="D7" s="17" t="s">
        <v>28</v>
      </c>
      <c r="E7" s="17"/>
      <c r="F7" s="17" t="s">
        <v>31</v>
      </c>
      <c r="G7" s="17" t="s">
        <v>32</v>
      </c>
      <c r="I7" s="17" t="s">
        <v>33</v>
      </c>
      <c r="J7" s="17"/>
      <c r="K7" s="17"/>
      <c r="L7" s="32" t="s">
        <v>37</v>
      </c>
      <c r="M7" s="17"/>
      <c r="N7" s="17" t="s">
        <v>38</v>
      </c>
      <c r="O7" s="17" t="s">
        <v>41</v>
      </c>
      <c r="Q7" s="17" t="s">
        <v>52</v>
      </c>
      <c r="R7" s="17" t="s">
        <v>42</v>
      </c>
      <c r="S7" s="17"/>
      <c r="T7" s="17" t="s">
        <v>44</v>
      </c>
      <c r="U7" s="17" t="s">
        <v>45</v>
      </c>
      <c r="V7" s="17"/>
      <c r="W7" s="17"/>
      <c r="Z7" s="17"/>
    </row>
    <row r="8" spans="1:26" x14ac:dyDescent="0.35">
      <c r="A8" s="17" t="s">
        <v>0</v>
      </c>
      <c r="B8" s="18">
        <f>6.974*10^-6</f>
        <v>6.9739999999999996E-6</v>
      </c>
      <c r="C8" s="1">
        <f>E2</f>
        <v>2902005.3948894902</v>
      </c>
      <c r="D8" s="19">
        <f>B8*C8</f>
        <v>20.238585623959302</v>
      </c>
      <c r="E8" s="17"/>
      <c r="F8" s="17">
        <f>14.5 *10^-18</f>
        <v>1.4500000000000001E-17</v>
      </c>
      <c r="G8" s="20">
        <f>8*F8</f>
        <v>1.1600000000000001E-16</v>
      </c>
      <c r="I8" s="18">
        <f>G8*$K$13*$K$13</f>
        <v>4.6400000000000005E-16</v>
      </c>
      <c r="J8" s="17"/>
      <c r="K8" s="17"/>
      <c r="L8" s="1">
        <v>102549.171049909</v>
      </c>
      <c r="M8" s="18"/>
      <c r="N8" s="1">
        <v>0.371652680872536</v>
      </c>
      <c r="O8" s="19">
        <f>N8/$O$13</f>
        <v>0.185826340436268</v>
      </c>
      <c r="Q8" s="19">
        <f>((2*O8)/(1-O8)) + LN(3 - 4*O8)</f>
        <v>1.2703795827474196</v>
      </c>
      <c r="R8" s="18">
        <f>Q8*G8*L8</f>
        <v>1.5112059283019352E-11</v>
      </c>
      <c r="S8" s="17"/>
      <c r="T8" s="18">
        <f>C2*-1</f>
        <v>5.7641889359999998E-9</v>
      </c>
      <c r="U8" s="18">
        <f>T8*$O$13</f>
        <v>1.1528377872E-8</v>
      </c>
      <c r="V8" s="18"/>
      <c r="W8" s="18"/>
      <c r="Z8" s="17"/>
    </row>
    <row r="9" spans="1:26" x14ac:dyDescent="0.35">
      <c r="A9" s="17" t="s">
        <v>5</v>
      </c>
      <c r="B9" s="18">
        <f>6.741*10^-6</f>
        <v>6.7409999999999995E-6</v>
      </c>
      <c r="C9" s="1">
        <f t="shared" ref="C9:C10" si="0">E3</f>
        <v>1997227.9558614199</v>
      </c>
      <c r="D9" s="19">
        <f>B9*C9</f>
        <v>13.463313650461831</v>
      </c>
      <c r="E9" s="17"/>
      <c r="F9" s="17">
        <f>14.5 *10^-18</f>
        <v>1.4500000000000001E-17</v>
      </c>
      <c r="G9" s="20">
        <f t="shared" ref="G9:G11" si="1">8*F9</f>
        <v>1.1600000000000001E-16</v>
      </c>
      <c r="I9" s="18">
        <f t="shared" ref="I9:I10" si="2">G9*$K$13*$K$13</f>
        <v>4.6400000000000005E-16</v>
      </c>
      <c r="J9" s="17"/>
      <c r="K9" s="17"/>
      <c r="L9" s="1">
        <v>133540.49419053301</v>
      </c>
      <c r="M9" s="18"/>
      <c r="N9" s="1">
        <v>0.34712122018554598</v>
      </c>
      <c r="O9" s="19">
        <f t="shared" ref="O9" si="3">N9/$O$13</f>
        <v>0.17356061009277299</v>
      </c>
      <c r="Q9" s="19">
        <f>((2*O9)/(1-O9)) + LN(3 - 4*O9)</f>
        <v>1.2554294603689089</v>
      </c>
      <c r="R9" s="18">
        <f>Q9*G9*L9</f>
        <v>1.9447477784846122E-11</v>
      </c>
      <c r="S9" s="17"/>
      <c r="T9" s="18">
        <f t="shared" ref="T9:T10" si="4">C3*-1</f>
        <v>1.3713767950000001E-10</v>
      </c>
      <c r="U9" s="18">
        <f t="shared" ref="U9:U10" si="5">T9*$O$13</f>
        <v>2.7427535900000002E-10</v>
      </c>
      <c r="V9" s="18"/>
      <c r="W9" s="18"/>
      <c r="Z9" s="17"/>
    </row>
    <row r="10" spans="1:26" x14ac:dyDescent="0.35">
      <c r="A10" s="17" t="s">
        <v>10</v>
      </c>
      <c r="B10" s="18">
        <f>7.443*10^-6</f>
        <v>7.4429999999999989E-6</v>
      </c>
      <c r="C10" s="1">
        <f t="shared" si="0"/>
        <v>31668787.764332499</v>
      </c>
      <c r="D10" s="19">
        <f>B10*C10</f>
        <v>235.71078732992675</v>
      </c>
      <c r="E10" s="17"/>
      <c r="F10" s="17">
        <f>14.5 *10^-18</f>
        <v>1.4500000000000001E-17</v>
      </c>
      <c r="G10" s="20">
        <f t="shared" si="1"/>
        <v>1.1600000000000001E-16</v>
      </c>
      <c r="I10" s="18">
        <f t="shared" si="2"/>
        <v>4.6400000000000005E-16</v>
      </c>
      <c r="J10" s="17"/>
      <c r="K10" s="17"/>
      <c r="L10" s="1">
        <v>75732.485784874894</v>
      </c>
      <c r="M10" s="18"/>
      <c r="N10" s="1">
        <v>0.49130786885893701</v>
      </c>
      <c r="O10" s="19">
        <f>N10/$O$13</f>
        <v>0.24565393442946851</v>
      </c>
      <c r="Q10" s="19">
        <f>((2*O10)/(1-O10)) + LN(3 - 4*O10)</f>
        <v>1.3531047702684389</v>
      </c>
      <c r="R10" s="18">
        <f>Q10*G10*L10</f>
        <v>1.1886982582456911E-11</v>
      </c>
      <c r="S10" s="17"/>
      <c r="T10" s="18">
        <f t="shared" si="4"/>
        <v>1.373149151E-10</v>
      </c>
      <c r="U10" s="18">
        <f t="shared" si="5"/>
        <v>2.746298302E-10</v>
      </c>
      <c r="V10" s="18"/>
      <c r="W10" s="18"/>
      <c r="Z10" s="17"/>
    </row>
    <row r="11" spans="1:26" x14ac:dyDescent="0.35">
      <c r="A11" s="17" t="s">
        <v>23</v>
      </c>
      <c r="B11" s="16">
        <v>1.9997379234998101E-6</v>
      </c>
      <c r="C11" s="16">
        <v>912983.85970785597</v>
      </c>
      <c r="D11" s="19">
        <f t="shared" ref="D11" si="6">B11*C11</f>
        <v>1.8257284478010298</v>
      </c>
      <c r="E11" s="17"/>
      <c r="F11" s="17">
        <f>2.81 *10^-18</f>
        <v>2.8100000000000001E-18</v>
      </c>
      <c r="G11" s="20">
        <f t="shared" si="1"/>
        <v>2.2480000000000001E-17</v>
      </c>
      <c r="I11" s="18">
        <f>G11*K14*K14</f>
        <v>3.2371199999999996E-17</v>
      </c>
      <c r="J11" s="17"/>
      <c r="K11" s="17"/>
      <c r="L11" s="18">
        <v>186560</v>
      </c>
      <c r="M11" s="18"/>
      <c r="N11" s="1">
        <v>0.17616846904109501</v>
      </c>
      <c r="O11" s="19">
        <f>N11/$O$14</f>
        <v>0.14680705753424586</v>
      </c>
      <c r="Q11" s="19">
        <f>((2*O11)/(1-O11)) + LN(3 - 4*O11)</f>
        <v>1.224911857089799</v>
      </c>
      <c r="R11" s="18">
        <f>Q11*G11*L11</f>
        <v>5.137119620198967E-12</v>
      </c>
      <c r="S11" s="17"/>
      <c r="T11" s="18">
        <f>7.769*10^-9</f>
        <v>7.769E-9</v>
      </c>
      <c r="U11" s="18">
        <f>T11*$O$14</f>
        <v>9.3227999999999993E-9</v>
      </c>
      <c r="V11" s="18"/>
      <c r="W11" s="18"/>
      <c r="Z11" s="17"/>
    </row>
    <row r="12" spans="1:26" x14ac:dyDescent="0.35">
      <c r="I12" s="17"/>
      <c r="J12" s="17"/>
      <c r="K12" s="17"/>
      <c r="L12" s="17"/>
      <c r="M12" s="17"/>
      <c r="N12" s="17"/>
      <c r="O12" s="17"/>
    </row>
    <row r="13" spans="1:26" x14ac:dyDescent="0.35">
      <c r="I13" s="17" t="s">
        <v>35</v>
      </c>
      <c r="J13" s="17">
        <v>1</v>
      </c>
      <c r="K13" s="17">
        <v>2</v>
      </c>
      <c r="L13" s="17"/>
      <c r="M13" s="17"/>
      <c r="N13" s="17" t="s">
        <v>39</v>
      </c>
      <c r="O13" s="17">
        <v>2</v>
      </c>
    </row>
    <row r="14" spans="1:26" x14ac:dyDescent="0.35">
      <c r="I14" s="17" t="s">
        <v>36</v>
      </c>
      <c r="J14" s="17">
        <v>0.6</v>
      </c>
      <c r="K14" s="17">
        <v>1.2</v>
      </c>
      <c r="L14" s="17"/>
      <c r="M14" s="17"/>
      <c r="N14" s="17" t="s">
        <v>40</v>
      </c>
      <c r="O14" s="17">
        <v>1.2</v>
      </c>
    </row>
    <row r="15" spans="1:26" x14ac:dyDescent="0.35">
      <c r="C15" s="16"/>
    </row>
    <row r="16" spans="1:26" x14ac:dyDescent="0.35">
      <c r="A16" s="17"/>
      <c r="B16" s="17" t="s">
        <v>46</v>
      </c>
      <c r="C16" t="s">
        <v>161</v>
      </c>
      <c r="D16" s="17" t="s">
        <v>47</v>
      </c>
      <c r="E16" s="17" t="s">
        <v>48</v>
      </c>
      <c r="F16" s="12" t="s">
        <v>49</v>
      </c>
      <c r="G16" s="17" t="s">
        <v>50</v>
      </c>
      <c r="H16" s="17" t="s">
        <v>34</v>
      </c>
      <c r="J16" t="s">
        <v>167</v>
      </c>
    </row>
    <row r="17" spans="1:14" x14ac:dyDescent="0.35">
      <c r="A17" s="17" t="s">
        <v>0</v>
      </c>
      <c r="B17" s="36">
        <f>D8</f>
        <v>20.238585623959302</v>
      </c>
      <c r="C17" s="39">
        <f>B8*F2</f>
        <v>1708.5002136395865</v>
      </c>
      <c r="D17" s="19">
        <f>O8</f>
        <v>0.185826340436268</v>
      </c>
      <c r="E17" s="18">
        <f>L8</f>
        <v>102549.171049909</v>
      </c>
      <c r="F17" s="18">
        <f>R8</f>
        <v>1.5112059283019352E-11</v>
      </c>
      <c r="G17" s="18">
        <f>U8</f>
        <v>1.1528377872E-8</v>
      </c>
      <c r="H17" s="18">
        <f>I8</f>
        <v>4.6400000000000005E-16</v>
      </c>
      <c r="J17" s="2">
        <f>20*LOG10(B17)</f>
        <v>26.123603170101298</v>
      </c>
      <c r="K17" s="2">
        <f>20*LOG10(C17)</f>
        <v>64.652300748823677</v>
      </c>
    </row>
    <row r="18" spans="1:14" x14ac:dyDescent="0.35">
      <c r="A18" s="17" t="s">
        <v>5</v>
      </c>
      <c r="B18" s="36">
        <f t="shared" ref="B18:B20" si="7">D9</f>
        <v>13.463313650461831</v>
      </c>
      <c r="C18" s="39">
        <f t="shared" ref="C18:C19" si="8">B9*F3</f>
        <v>4357.0450556135593</v>
      </c>
      <c r="D18" s="19">
        <f>O9</f>
        <v>0.17356061009277299</v>
      </c>
      <c r="E18" s="18">
        <f>L9</f>
        <v>133540.49419053301</v>
      </c>
      <c r="F18" s="18">
        <f>R9</f>
        <v>1.9447477784846122E-11</v>
      </c>
      <c r="G18" s="18">
        <f>U9</f>
        <v>2.7427535900000002E-10</v>
      </c>
      <c r="H18" s="18">
        <f>I9</f>
        <v>4.6400000000000005E-16</v>
      </c>
      <c r="J18" s="2">
        <f t="shared" ref="J18:J20" si="9">20*LOG10(B18)</f>
        <v>22.583039270563244</v>
      </c>
      <c r="K18" s="2">
        <f t="shared" ref="K18:K20" si="10">20*LOG10(C18)</f>
        <v>72.783841018789332</v>
      </c>
    </row>
    <row r="19" spans="1:14" x14ac:dyDescent="0.35">
      <c r="A19" s="17" t="s">
        <v>10</v>
      </c>
      <c r="B19" s="36">
        <f t="shared" si="7"/>
        <v>235.71078732992675</v>
      </c>
      <c r="C19" s="39">
        <f t="shared" si="8"/>
        <v>6761.2902985775581</v>
      </c>
      <c r="D19" s="19">
        <f>O10</f>
        <v>0.24565393442946851</v>
      </c>
      <c r="E19" s="18">
        <f>L10</f>
        <v>75732.485784874894</v>
      </c>
      <c r="F19" s="18">
        <f>R10</f>
        <v>1.1886982582456911E-11</v>
      </c>
      <c r="G19" s="18">
        <f>U10</f>
        <v>2.746298302E-10</v>
      </c>
      <c r="H19" s="18">
        <f>I10</f>
        <v>4.6400000000000005E-16</v>
      </c>
      <c r="J19" s="2">
        <f t="shared" si="9"/>
        <v>47.447589170270781</v>
      </c>
      <c r="K19" s="2">
        <f t="shared" si="10"/>
        <v>76.600591658712773</v>
      </c>
    </row>
    <row r="20" spans="1:14" x14ac:dyDescent="0.35">
      <c r="A20" s="17" t="s">
        <v>23</v>
      </c>
      <c r="B20" s="36">
        <f t="shared" si="7"/>
        <v>1.8257284478010298</v>
      </c>
      <c r="C20" s="4">
        <v>116.32613335104269</v>
      </c>
      <c r="D20" s="19">
        <f>O11</f>
        <v>0.14680705753424586</v>
      </c>
      <c r="E20" s="18">
        <f>L11</f>
        <v>186560</v>
      </c>
      <c r="F20" s="18">
        <f>R11</f>
        <v>5.137119620198967E-12</v>
      </c>
      <c r="G20" s="18">
        <f>U11</f>
        <v>9.3227999999999993E-9</v>
      </c>
      <c r="H20" s="18">
        <f>I11</f>
        <v>3.2371199999999996E-17</v>
      </c>
      <c r="J20" s="2">
        <f t="shared" si="9"/>
        <v>5.2287236524471439</v>
      </c>
      <c r="K20" s="2">
        <f t="shared" si="10"/>
        <v>41.313545850060301</v>
      </c>
    </row>
    <row r="23" spans="1:14" x14ac:dyDescent="0.35">
      <c r="A23" t="s">
        <v>166</v>
      </c>
      <c r="J23" s="54" t="s">
        <v>171</v>
      </c>
      <c r="K23" s="54"/>
    </row>
    <row r="24" spans="1:14" x14ac:dyDescent="0.35">
      <c r="B24" t="s">
        <v>25</v>
      </c>
      <c r="D24" t="s">
        <v>116</v>
      </c>
      <c r="E24" t="s">
        <v>170</v>
      </c>
      <c r="G24" t="s">
        <v>168</v>
      </c>
      <c r="H24" t="s">
        <v>169</v>
      </c>
      <c r="J24" t="s">
        <v>168</v>
      </c>
      <c r="K24" t="s">
        <v>169</v>
      </c>
      <c r="M24" t="s">
        <v>116</v>
      </c>
      <c r="N24" t="s">
        <v>170</v>
      </c>
    </row>
    <row r="25" spans="1:14" x14ac:dyDescent="0.35">
      <c r="A25" s="17" t="s">
        <v>0</v>
      </c>
      <c r="B25" s="1">
        <f>4.97753559473316*10^-6</f>
        <v>4.9775355947331599E-6</v>
      </c>
      <c r="C25" s="2"/>
      <c r="D25" s="2">
        <f>B25*G25</f>
        <v>38.865872528099089</v>
      </c>
      <c r="E25" s="2">
        <f>20*LOG10(D25)</f>
        <v>31.7913684388413</v>
      </c>
      <c r="G25" s="1">
        <v>7808256.0713827796</v>
      </c>
      <c r="H25" s="1">
        <v>7667400.7003848404</v>
      </c>
      <c r="J25" s="1">
        <v>403030057.16167498</v>
      </c>
      <c r="K25" s="1">
        <v>396641490.76253098</v>
      </c>
      <c r="M25" s="2">
        <f>J25*B25</f>
        <v>2006.0964552695773</v>
      </c>
      <c r="N25" s="2">
        <f>20*LOG10(M25)</f>
        <v>66.047036210619737</v>
      </c>
    </row>
    <row r="26" spans="1:14" x14ac:dyDescent="0.35">
      <c r="A26" s="17" t="s">
        <v>5</v>
      </c>
      <c r="B26" s="1">
        <f>4.82190794411643*10^-6</f>
        <v>4.8219079441164293E-6</v>
      </c>
      <c r="C26" s="2"/>
      <c r="D26" s="2">
        <f>B26*G26</f>
        <v>1511.0973269797169</v>
      </c>
      <c r="E26" s="2">
        <f t="shared" ref="E26:E27" si="11">20*LOG10(D26)</f>
        <v>63.585848746859682</v>
      </c>
      <c r="G26" s="1">
        <v>313381620.82159197</v>
      </c>
      <c r="H26" s="1">
        <v>276523541.84560198</v>
      </c>
      <c r="J26" s="1">
        <v>8458652.5335688293</v>
      </c>
      <c r="K26" s="1">
        <v>6022096.3844681904</v>
      </c>
      <c r="M26" s="2">
        <f t="shared" ref="M26:M27" si="12">J26*B26</f>
        <v>40.786843848136101</v>
      </c>
      <c r="N26" s="2">
        <f t="shared" ref="N26:N27" si="13">20*LOG10(M26)</f>
        <v>32.210402004174384</v>
      </c>
    </row>
    <row r="27" spans="1:14" x14ac:dyDescent="0.35">
      <c r="A27" s="17" t="s">
        <v>10</v>
      </c>
      <c r="B27" s="1">
        <f>5.17951788678722*10^-6</f>
        <v>5.1795178867872197E-6</v>
      </c>
      <c r="C27" s="2"/>
      <c r="D27" s="2">
        <f>B27*G27</f>
        <v>31.910546902248818</v>
      </c>
      <c r="E27" s="2">
        <f t="shared" si="11"/>
        <v>30.078684949174779</v>
      </c>
      <c r="G27" s="1">
        <v>6160910.6483928896</v>
      </c>
      <c r="H27" s="1">
        <v>6160910.6483929101</v>
      </c>
      <c r="J27" s="1">
        <v>3684746674.0866299</v>
      </c>
      <c r="K27" s="1">
        <v>3650017548.5040002</v>
      </c>
      <c r="M27" s="2">
        <f t="shared" si="12"/>
        <v>19085.211306711419</v>
      </c>
      <c r="N27" s="2">
        <f t="shared" si="13"/>
        <v>85.613939454243862</v>
      </c>
    </row>
    <row r="28" spans="1:14" x14ac:dyDescent="0.35">
      <c r="A28" s="17" t="s">
        <v>23</v>
      </c>
      <c r="B28" s="1">
        <f>1.98116145998587*10^-6</f>
        <v>1.9811614599858699E-6</v>
      </c>
      <c r="C28" s="2"/>
      <c r="G28" s="1"/>
      <c r="H28" s="1"/>
    </row>
    <row r="29" spans="1:14" x14ac:dyDescent="0.35">
      <c r="E29" s="1"/>
    </row>
    <row r="30" spans="1:14" x14ac:dyDescent="0.35">
      <c r="E30" s="1"/>
    </row>
    <row r="31" spans="1:14" x14ac:dyDescent="0.35">
      <c r="E31" s="1"/>
    </row>
  </sheetData>
  <mergeCells count="1">
    <mergeCell ref="J23:K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7"/>
  <sheetViews>
    <sheetView zoomScale="85" zoomScaleNormal="85" workbookViewId="0">
      <selection activeCell="J17" sqref="J17:K20"/>
    </sheetView>
  </sheetViews>
  <sheetFormatPr defaultRowHeight="14.5" x14ac:dyDescent="0.35"/>
  <cols>
    <col min="3" max="3" width="9.08984375" bestFit="1" customWidth="1"/>
    <col min="7" max="7" width="9.54296875" bestFit="1" customWidth="1"/>
    <col min="9" max="9" width="18.6328125" bestFit="1" customWidth="1"/>
  </cols>
  <sheetData>
    <row r="1" spans="1:22" x14ac:dyDescent="0.35">
      <c r="A1" s="26"/>
      <c r="B1" s="40" t="s">
        <v>80</v>
      </c>
      <c r="C1" s="42" t="s">
        <v>44</v>
      </c>
      <c r="E1" s="10" t="s">
        <v>173</v>
      </c>
      <c r="F1" s="10" t="s">
        <v>160</v>
      </c>
      <c r="H1" s="10"/>
      <c r="J1" t="s">
        <v>38</v>
      </c>
    </row>
    <row r="2" spans="1:22" x14ac:dyDescent="0.35">
      <c r="A2" s="26" t="s">
        <v>0</v>
      </c>
      <c r="B2" s="27"/>
      <c r="C2" s="27">
        <v>-3.4080771070000001E-10</v>
      </c>
      <c r="E2" s="1">
        <v>1611682.3077412499</v>
      </c>
      <c r="F2" s="1">
        <v>351277900.81352299</v>
      </c>
      <c r="J2">
        <v>0.371652680872536</v>
      </c>
    </row>
    <row r="3" spans="1:22" x14ac:dyDescent="0.35">
      <c r="A3" s="26" t="s">
        <v>5</v>
      </c>
      <c r="C3" s="27">
        <v>-1.007766603E-10</v>
      </c>
      <c r="E3" s="1">
        <v>4178399.5387726701</v>
      </c>
      <c r="F3" s="1">
        <v>3473148485.4115901</v>
      </c>
      <c r="J3">
        <v>0.34712122018554598</v>
      </c>
    </row>
    <row r="4" spans="1:22" x14ac:dyDescent="0.35">
      <c r="A4" s="26" t="s">
        <v>10</v>
      </c>
      <c r="B4" s="27"/>
      <c r="C4" s="27">
        <v>-1.007928737E-10</v>
      </c>
      <c r="E4" s="8">
        <v>144776446.25912601</v>
      </c>
      <c r="F4" s="1">
        <v>535150231.05909902</v>
      </c>
      <c r="G4" s="8">
        <v>8856522.5383155905</v>
      </c>
      <c r="H4" s="8"/>
      <c r="J4" s="10">
        <v>0.47119003839120799</v>
      </c>
    </row>
    <row r="5" spans="1:22" x14ac:dyDescent="0.35">
      <c r="A5" s="26" t="s">
        <v>23</v>
      </c>
      <c r="B5" s="26"/>
      <c r="C5" s="26"/>
      <c r="J5">
        <v>0.17616846904109501</v>
      </c>
    </row>
    <row r="7" spans="1:22" x14ac:dyDescent="0.35">
      <c r="A7" s="17"/>
      <c r="B7" s="33" t="s">
        <v>25</v>
      </c>
      <c r="C7" s="33" t="s">
        <v>26</v>
      </c>
      <c r="D7" s="17" t="s">
        <v>28</v>
      </c>
      <c r="E7" s="17"/>
      <c r="F7" s="17" t="s">
        <v>31</v>
      </c>
      <c r="G7" s="17" t="s">
        <v>32</v>
      </c>
      <c r="I7" s="17" t="s">
        <v>33</v>
      </c>
      <c r="J7" s="17"/>
      <c r="K7" s="44" t="s">
        <v>175</v>
      </c>
      <c r="L7" s="12" t="s">
        <v>174</v>
      </c>
      <c r="M7" s="17"/>
      <c r="N7" s="33" t="s">
        <v>38</v>
      </c>
      <c r="O7" s="33" t="s">
        <v>41</v>
      </c>
      <c r="Q7" s="17" t="s">
        <v>52</v>
      </c>
      <c r="R7" s="17" t="s">
        <v>42</v>
      </c>
      <c r="S7" s="17"/>
      <c r="T7" s="17" t="s">
        <v>44</v>
      </c>
      <c r="U7" s="17" t="s">
        <v>45</v>
      </c>
      <c r="V7" s="17"/>
    </row>
    <row r="8" spans="1:22" x14ac:dyDescent="0.35">
      <c r="A8" s="17" t="s">
        <v>0</v>
      </c>
      <c r="B8" s="18">
        <f>2.97284837722964*10^-6</f>
        <v>2.9728483772296397E-6</v>
      </c>
      <c r="C8" s="1">
        <f>E2</f>
        <v>1611682.3077412499</v>
      </c>
      <c r="D8" s="19">
        <f>B8*C8</f>
        <v>4.7912871331782956</v>
      </c>
      <c r="E8" s="17"/>
      <c r="F8" s="17">
        <f>13.5 *10^-18</f>
        <v>1.3500000000000001E-17</v>
      </c>
      <c r="G8" s="20">
        <f>8*F8</f>
        <v>1.08E-16</v>
      </c>
      <c r="I8" s="18">
        <f>G8*$K$13*$K$13</f>
        <v>2.7648000000000006E-16</v>
      </c>
      <c r="J8" s="17"/>
      <c r="K8" s="1">
        <v>1690520.8784605099</v>
      </c>
      <c r="L8" s="1">
        <v>782676.74432174501</v>
      </c>
      <c r="M8" s="18"/>
      <c r="N8" s="18">
        <v>0.30446931614901301</v>
      </c>
      <c r="O8" s="19">
        <f>N8/$O$13</f>
        <v>0.19029332259313311</v>
      </c>
      <c r="Q8" s="19">
        <f>((2*O8)/(1-O8)) + LN(3 - 4*O8)</f>
        <v>1.2759822045710725</v>
      </c>
      <c r="R8" s="41">
        <f>Q8*G8*L8</f>
        <v>1.0785761255010635E-10</v>
      </c>
      <c r="S8" s="17"/>
      <c r="T8" s="18">
        <f>C2*-1</f>
        <v>3.4080771070000001E-10</v>
      </c>
      <c r="U8" s="18">
        <f>T8*$O$13</f>
        <v>5.4529233712000006E-10</v>
      </c>
      <c r="V8" s="18"/>
    </row>
    <row r="9" spans="1:22" x14ac:dyDescent="0.35">
      <c r="A9" s="17" t="s">
        <v>5</v>
      </c>
      <c r="B9" s="18">
        <f>4.65277633448958*10^-6</f>
        <v>4.6527763344895805E-6</v>
      </c>
      <c r="C9" s="1">
        <f>E3</f>
        <v>4178399.5387726701</v>
      </c>
      <c r="D9" s="19">
        <f>B9*C9</f>
        <v>19.441158490043659</v>
      </c>
      <c r="E9" s="17"/>
      <c r="F9" s="17">
        <f>14.5 *10^-18</f>
        <v>1.4500000000000001E-17</v>
      </c>
      <c r="G9" s="20">
        <f t="shared" ref="G9:G10" si="0">8*F9</f>
        <v>1.1600000000000001E-16</v>
      </c>
      <c r="I9" s="18">
        <f t="shared" ref="I9:I10" si="1">G9*$K$13*$K$13</f>
        <v>2.9696000000000005E-16</v>
      </c>
      <c r="J9" s="17"/>
      <c r="K9" s="1">
        <v>2069555.8381006501</v>
      </c>
      <c r="L9" s="1">
        <v>621193.23844630795</v>
      </c>
      <c r="M9" s="18"/>
      <c r="N9" s="18">
        <v>0.33633159591603001</v>
      </c>
      <c r="O9" s="19">
        <f t="shared" ref="O9" si="2">N9/$O$13</f>
        <v>0.21020724744751876</v>
      </c>
      <c r="Q9" s="19">
        <f>((2*O9)/(1-O9)) + LN(3 - 4*O9)</f>
        <v>1.3020342485628811</v>
      </c>
      <c r="R9" s="41">
        <f>Q9*G9*L9</f>
        <v>9.3822525086202633E-11</v>
      </c>
      <c r="S9" s="17"/>
      <c r="T9" s="18">
        <f>C4*-1</f>
        <v>1.007928737E-10</v>
      </c>
      <c r="U9" s="18">
        <f>T9*$O$13</f>
        <v>1.6126859792000001E-10</v>
      </c>
      <c r="V9" s="18"/>
    </row>
    <row r="10" spans="1:22" x14ac:dyDescent="0.35">
      <c r="A10" s="17" t="s">
        <v>10</v>
      </c>
      <c r="B10" s="18">
        <f>5.2529418589397*10^-6</f>
        <v>5.2529418589396993E-6</v>
      </c>
      <c r="C10" s="1">
        <f t="shared" ref="C10" si="3">E4</f>
        <v>144776446.25912601</v>
      </c>
      <c r="D10" s="19">
        <f>B10*C10</f>
        <v>760.50225474309684</v>
      </c>
      <c r="E10" s="17"/>
      <c r="F10" s="17">
        <f>14.5 *10^-18</f>
        <v>1.4500000000000001E-17</v>
      </c>
      <c r="G10" s="20">
        <f t="shared" si="0"/>
        <v>1.1600000000000001E-16</v>
      </c>
      <c r="I10" s="18">
        <f t="shared" si="1"/>
        <v>2.9696000000000005E-16</v>
      </c>
      <c r="J10" s="17"/>
      <c r="K10" s="1">
        <v>1063683.3240076101</v>
      </c>
      <c r="L10" s="8">
        <v>540870</v>
      </c>
      <c r="M10" s="18"/>
      <c r="N10" s="18">
        <v>0.47119003839120799</v>
      </c>
      <c r="O10" s="19">
        <f>N10/$O$13</f>
        <v>0.29449377399450499</v>
      </c>
      <c r="Q10" s="19">
        <f>((2*O10)/(1-O10)) + LN(3 - 4*O10)</f>
        <v>1.4347923371979872</v>
      </c>
      <c r="R10" s="41">
        <f>Q10*G10*L10</f>
        <v>9.0020191244751954E-11</v>
      </c>
      <c r="S10" s="17"/>
      <c r="T10" s="18">
        <f>C3*-1</f>
        <v>1.007766603E-10</v>
      </c>
      <c r="U10" s="18">
        <f>T10*$O$13</f>
        <v>1.6124265648000002E-10</v>
      </c>
      <c r="V10" s="18"/>
    </row>
    <row r="11" spans="1:22" x14ac:dyDescent="0.35">
      <c r="A11" s="17" t="s">
        <v>23</v>
      </c>
      <c r="B11" s="16">
        <v>1.9997379234998101E-6</v>
      </c>
      <c r="C11" s="16">
        <v>912983.85970785597</v>
      </c>
      <c r="D11" s="19">
        <f t="shared" ref="D11" si="4">B11*C11</f>
        <v>1.8257284478010298</v>
      </c>
      <c r="E11" s="17"/>
      <c r="F11" s="17">
        <f>2.81 *10^-18</f>
        <v>2.8100000000000001E-18</v>
      </c>
      <c r="G11" s="20">
        <f t="shared" ref="G11" si="5">8*F11</f>
        <v>2.2480000000000001E-17</v>
      </c>
      <c r="I11" s="18">
        <f>G11*K14*K14</f>
        <v>3.2371199999999996E-17</v>
      </c>
      <c r="J11" s="17"/>
      <c r="K11" s="17"/>
      <c r="L11" s="18">
        <v>186560</v>
      </c>
      <c r="M11" s="18"/>
      <c r="N11" s="1">
        <v>0.17616846904109501</v>
      </c>
      <c r="O11" s="19">
        <f>N11/$O$14</f>
        <v>0.14680705753424586</v>
      </c>
      <c r="Q11" s="19">
        <f>((2*O11)/(1-O11)) + LN(3 - 4*O11)</f>
        <v>1.224911857089799</v>
      </c>
      <c r="R11" s="18">
        <f>Q11*G11*L11</f>
        <v>5.137119620198967E-12</v>
      </c>
      <c r="S11" s="17"/>
      <c r="T11" s="18">
        <f>7.769*10^-9</f>
        <v>7.769E-9</v>
      </c>
      <c r="U11" s="18">
        <f>T11*$O$14</f>
        <v>9.3227999999999993E-9</v>
      </c>
      <c r="V11" s="18"/>
    </row>
    <row r="12" spans="1:22" x14ac:dyDescent="0.35">
      <c r="I12" s="17"/>
      <c r="J12" s="17"/>
      <c r="K12" s="17"/>
      <c r="L12" s="17"/>
      <c r="M12" s="17"/>
      <c r="N12" s="17"/>
      <c r="O12" s="17"/>
    </row>
    <row r="13" spans="1:22" x14ac:dyDescent="0.35">
      <c r="I13" s="17" t="s">
        <v>35</v>
      </c>
      <c r="J13" s="17">
        <v>0.8</v>
      </c>
      <c r="K13" s="17">
        <v>1.6</v>
      </c>
      <c r="L13" s="17"/>
      <c r="M13" s="17"/>
      <c r="N13" s="17" t="s">
        <v>39</v>
      </c>
      <c r="O13" s="17">
        <v>1.6</v>
      </c>
    </row>
    <row r="14" spans="1:22" x14ac:dyDescent="0.35">
      <c r="I14" s="17" t="s">
        <v>36</v>
      </c>
      <c r="J14" s="17">
        <v>0.6</v>
      </c>
      <c r="K14" s="17">
        <v>1.2</v>
      </c>
      <c r="L14" s="17"/>
      <c r="M14" s="17"/>
      <c r="N14" s="17" t="s">
        <v>40</v>
      </c>
      <c r="O14" s="17">
        <v>1.2</v>
      </c>
    </row>
    <row r="15" spans="1:22" x14ac:dyDescent="0.35">
      <c r="C15" s="16"/>
    </row>
    <row r="16" spans="1:22" x14ac:dyDescent="0.35">
      <c r="A16" s="17"/>
      <c r="B16" s="17" t="s">
        <v>46</v>
      </c>
      <c r="C16" t="s">
        <v>161</v>
      </c>
      <c r="D16" s="17" t="s">
        <v>47</v>
      </c>
      <c r="E16" s="17" t="s">
        <v>48</v>
      </c>
      <c r="F16" s="12" t="s">
        <v>49</v>
      </c>
      <c r="G16" s="17" t="s">
        <v>50</v>
      </c>
      <c r="H16" s="17" t="s">
        <v>34</v>
      </c>
      <c r="J16" t="s">
        <v>167</v>
      </c>
    </row>
    <row r="17" spans="1:26" x14ac:dyDescent="0.35">
      <c r="A17" s="17" t="s">
        <v>0</v>
      </c>
      <c r="B17" s="36">
        <f>D8</f>
        <v>4.7912871331782956</v>
      </c>
      <c r="C17" s="39">
        <f>B8*F2</f>
        <v>1044.2959373901163</v>
      </c>
      <c r="D17" s="19">
        <f>O8</f>
        <v>0.19029332259313311</v>
      </c>
      <c r="E17" s="18">
        <f>L8</f>
        <v>782676.74432174501</v>
      </c>
      <c r="F17" s="18">
        <f>R8</f>
        <v>1.0785761255010635E-10</v>
      </c>
      <c r="G17" s="21">
        <f>U8</f>
        <v>5.4529233712000006E-10</v>
      </c>
      <c r="H17" s="18">
        <f>I8</f>
        <v>2.7648000000000006E-16</v>
      </c>
      <c r="J17" s="2">
        <f>20*LOG10(B17)</f>
        <v>13.609043962428185</v>
      </c>
      <c r="K17" s="2">
        <f>20*LOG10(C17)</f>
        <v>60.376471769549731</v>
      </c>
    </row>
    <row r="18" spans="1:26" x14ac:dyDescent="0.35">
      <c r="A18" s="17" t="s">
        <v>5</v>
      </c>
      <c r="B18" s="36">
        <f t="shared" ref="B18:B20" si="6">D9</f>
        <v>19.441158490043659</v>
      </c>
      <c r="C18" s="39">
        <f>B9*F3</f>
        <v>16159.783079091376</v>
      </c>
      <c r="D18" s="19">
        <f>O9</f>
        <v>0.21020724744751876</v>
      </c>
      <c r="E18" s="18">
        <f t="shared" ref="E18:E19" si="7">L9</f>
        <v>621193.23844630795</v>
      </c>
      <c r="F18" s="18">
        <f t="shared" ref="F18" si="8">R9</f>
        <v>9.3822525086202633E-11</v>
      </c>
      <c r="G18" s="21">
        <f>U9</f>
        <v>1.6126859792000001E-10</v>
      </c>
      <c r="H18" s="18">
        <f>I9</f>
        <v>2.9696000000000005E-16</v>
      </c>
      <c r="J18" s="2">
        <f t="shared" ref="J18:K20" si="9">20*LOG10(B18)</f>
        <v>25.774442815552522</v>
      </c>
      <c r="K18" s="2">
        <f t="shared" si="9"/>
        <v>84.168710534481846</v>
      </c>
    </row>
    <row r="19" spans="1:26" x14ac:dyDescent="0.35">
      <c r="A19" s="17" t="s">
        <v>10</v>
      </c>
      <c r="B19" s="36">
        <f>D10</f>
        <v>760.50225474309684</v>
      </c>
      <c r="C19" s="39">
        <f>B10*F4</f>
        <v>2811.1130495515931</v>
      </c>
      <c r="D19" s="19">
        <f>O10</f>
        <v>0.29449377399450499</v>
      </c>
      <c r="E19" s="18">
        <f t="shared" si="7"/>
        <v>540870</v>
      </c>
      <c r="F19" s="18">
        <f>R10</f>
        <v>9.0020191244751954E-11</v>
      </c>
      <c r="G19" s="21">
        <f>U10</f>
        <v>1.6124265648000002E-10</v>
      </c>
      <c r="H19" s="18">
        <f>I10</f>
        <v>2.9696000000000005E-16</v>
      </c>
      <c r="J19" s="2">
        <f t="shared" si="9"/>
        <v>57.622010119812785</v>
      </c>
      <c r="K19" s="2">
        <f>20*LOG10(C19)</f>
        <v>68.977566224202931</v>
      </c>
    </row>
    <row r="20" spans="1:26" x14ac:dyDescent="0.35">
      <c r="A20" s="17" t="s">
        <v>23</v>
      </c>
      <c r="B20" s="36">
        <f t="shared" si="6"/>
        <v>1.8257284478010298</v>
      </c>
      <c r="C20" s="4">
        <v>116.32613335104269</v>
      </c>
      <c r="D20" s="19">
        <f>O11</f>
        <v>0.14680705753424586</v>
      </c>
      <c r="E20" s="18">
        <f>L11</f>
        <v>186560</v>
      </c>
      <c r="F20" s="18">
        <f>R11</f>
        <v>5.137119620198967E-12</v>
      </c>
      <c r="G20" s="21">
        <f>U11</f>
        <v>9.3227999999999993E-9</v>
      </c>
      <c r="H20" s="18">
        <f>I11</f>
        <v>3.2371199999999996E-17</v>
      </c>
      <c r="J20" s="2">
        <f t="shared" si="9"/>
        <v>5.2287236524471439</v>
      </c>
      <c r="K20" s="2">
        <f t="shared" si="9"/>
        <v>41.313545850060301</v>
      </c>
    </row>
    <row r="22" spans="1:26" x14ac:dyDescent="0.35">
      <c r="A22" s="17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35">
      <c r="A24" s="17"/>
      <c r="B24" s="16"/>
      <c r="C24" s="16"/>
      <c r="D24" s="23"/>
      <c r="E24" s="17"/>
      <c r="F24" s="17"/>
      <c r="G24" s="17"/>
      <c r="H24" s="20"/>
      <c r="I24" s="17"/>
      <c r="J24" s="17"/>
      <c r="K24" s="18"/>
      <c r="L24" s="17"/>
      <c r="M24" s="17"/>
      <c r="N24" s="18"/>
      <c r="O24" s="18"/>
      <c r="P24" s="18"/>
      <c r="Q24" s="19"/>
      <c r="R24" s="17"/>
      <c r="S24" s="17"/>
      <c r="T24" s="19"/>
      <c r="U24" s="18"/>
      <c r="V24" s="17"/>
      <c r="W24" s="17"/>
      <c r="X24" s="18"/>
      <c r="Y24" s="18"/>
      <c r="Z24" s="17"/>
    </row>
    <row r="25" spans="1:26" x14ac:dyDescent="0.35">
      <c r="A25" s="17"/>
      <c r="B25" s="16"/>
      <c r="C25" s="16"/>
      <c r="D25" s="23"/>
      <c r="E25" s="17"/>
      <c r="F25" s="17"/>
      <c r="G25" s="17"/>
      <c r="H25" s="20"/>
      <c r="I25" s="17"/>
      <c r="J25" s="17"/>
      <c r="K25" s="18"/>
      <c r="L25" s="17"/>
      <c r="M25" s="17"/>
      <c r="N25" s="18"/>
      <c r="O25" s="18"/>
      <c r="P25" s="18"/>
      <c r="Q25" s="19"/>
      <c r="R25" s="17"/>
      <c r="S25" s="17"/>
      <c r="T25" s="19"/>
      <c r="U25" s="18"/>
      <c r="V25" s="17"/>
      <c r="W25" s="17"/>
      <c r="X25" s="18"/>
      <c r="Y25" s="18"/>
      <c r="Z25" s="17"/>
    </row>
    <row r="26" spans="1:26" x14ac:dyDescent="0.35">
      <c r="A26" s="17"/>
      <c r="B26" s="16"/>
      <c r="C26" s="16"/>
      <c r="D26" s="23"/>
      <c r="E26" s="17"/>
      <c r="F26" s="17"/>
      <c r="G26" s="17"/>
      <c r="H26" s="20"/>
      <c r="I26" s="17"/>
      <c r="J26" s="17"/>
      <c r="K26" s="18"/>
      <c r="L26" s="17"/>
      <c r="M26" s="17"/>
      <c r="N26" s="18"/>
      <c r="O26" s="18"/>
      <c r="P26" s="18"/>
      <c r="Q26" s="19"/>
      <c r="R26" s="17"/>
      <c r="S26" s="17"/>
      <c r="T26" s="19"/>
      <c r="U26" s="18"/>
      <c r="V26" s="17"/>
      <c r="W26" s="17"/>
      <c r="X26" s="18"/>
      <c r="Y26" s="18"/>
      <c r="Z26" s="17"/>
    </row>
    <row r="27" spans="1:26" x14ac:dyDescent="0.35">
      <c r="A27" s="17"/>
      <c r="B27" s="16"/>
      <c r="C27" s="16"/>
      <c r="D27" s="23"/>
      <c r="E27" s="17"/>
      <c r="F27" s="17"/>
      <c r="G27" s="17"/>
      <c r="H27" s="20"/>
      <c r="I27" s="17"/>
      <c r="J27" s="17"/>
      <c r="K27" s="18"/>
      <c r="L27" s="17"/>
      <c r="M27" s="17"/>
      <c r="N27" s="18"/>
      <c r="O27" s="18"/>
      <c r="P27" s="18"/>
      <c r="Q27" s="19"/>
      <c r="R27" s="17"/>
      <c r="S27" s="17"/>
      <c r="T27" s="19"/>
      <c r="U27" s="18"/>
      <c r="V27" s="17"/>
      <c r="W27" s="17"/>
      <c r="X27" s="18"/>
      <c r="Y27" s="18"/>
      <c r="Z2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selection activeCell="K15" sqref="K15"/>
    </sheetView>
  </sheetViews>
  <sheetFormatPr defaultRowHeight="14.5" x14ac:dyDescent="0.35"/>
  <cols>
    <col min="2" max="2" width="11.36328125" bestFit="1" customWidth="1"/>
    <col min="3" max="3" width="13.453125" bestFit="1" customWidth="1"/>
    <col min="4" max="4" width="9.36328125" bestFit="1" customWidth="1"/>
    <col min="5" max="5" width="14.453125" bestFit="1" customWidth="1"/>
    <col min="16" max="16" width="9" bestFit="1" customWidth="1"/>
  </cols>
  <sheetData>
    <row r="1" spans="1:17" x14ac:dyDescent="0.35">
      <c r="A1" s="55" t="s">
        <v>176</v>
      </c>
      <c r="B1" s="55"/>
      <c r="C1" s="55"/>
      <c r="D1" s="55"/>
      <c r="E1" s="55"/>
      <c r="F1" s="55"/>
      <c r="G1" s="55"/>
      <c r="H1" s="55"/>
      <c r="K1" t="s">
        <v>46</v>
      </c>
      <c r="L1" t="s">
        <v>161</v>
      </c>
      <c r="M1" t="s">
        <v>47</v>
      </c>
      <c r="N1" t="s">
        <v>48</v>
      </c>
      <c r="O1" t="s">
        <v>49</v>
      </c>
      <c r="P1" t="s">
        <v>50</v>
      </c>
      <c r="Q1" t="s">
        <v>34</v>
      </c>
    </row>
    <row r="2" spans="1:17" x14ac:dyDescent="0.35">
      <c r="B2" t="s">
        <v>46</v>
      </c>
      <c r="C2" t="s">
        <v>161</v>
      </c>
      <c r="D2" t="s">
        <v>47</v>
      </c>
      <c r="E2" t="s">
        <v>48</v>
      </c>
      <c r="F2" t="s">
        <v>49</v>
      </c>
      <c r="G2" t="s">
        <v>50</v>
      </c>
      <c r="H2" t="s">
        <v>34</v>
      </c>
      <c r="J2" s="46" t="s">
        <v>0</v>
      </c>
      <c r="K2" s="39">
        <v>8.508980128972043</v>
      </c>
      <c r="L2" s="39">
        <v>23.651410096480937</v>
      </c>
      <c r="M2" s="2">
        <v>0.15223465807450651</v>
      </c>
      <c r="N2" s="49">
        <v>213150</v>
      </c>
      <c r="O2" s="49">
        <v>2.8335120836631674E-11</v>
      </c>
      <c r="P2" s="49">
        <v>8.1705135339999997E-10</v>
      </c>
      <c r="Q2">
        <v>4.3200000000000002E-16</v>
      </c>
    </row>
    <row r="3" spans="1:17" x14ac:dyDescent="0.35">
      <c r="A3" t="s">
        <v>0</v>
      </c>
      <c r="B3" s="2">
        <v>13.609043962428185</v>
      </c>
      <c r="C3" s="2">
        <v>60.376471769549731</v>
      </c>
      <c r="D3" s="2">
        <v>0.19029332259313311</v>
      </c>
      <c r="E3" s="1">
        <v>782676.74432174501</v>
      </c>
      <c r="F3">
        <v>1.0785761255010635E-10</v>
      </c>
      <c r="G3">
        <v>5.4529233712000006E-10</v>
      </c>
      <c r="H3">
        <v>2.7648000000000006E-16</v>
      </c>
      <c r="J3" s="46" t="s">
        <v>179</v>
      </c>
      <c r="K3" s="39">
        <v>26.123603170101298</v>
      </c>
      <c r="L3" s="39">
        <v>64.652300748823677</v>
      </c>
      <c r="M3" s="2">
        <v>0.185826340436268</v>
      </c>
      <c r="N3" s="49">
        <v>102549.171049909</v>
      </c>
      <c r="O3" s="49">
        <v>1.5112059283019352E-11</v>
      </c>
      <c r="P3" s="1">
        <v>1.1528377872E-8</v>
      </c>
      <c r="Q3">
        <v>4.6400000000000005E-16</v>
      </c>
    </row>
    <row r="4" spans="1:17" x14ac:dyDescent="0.35">
      <c r="A4" t="s">
        <v>5</v>
      </c>
      <c r="B4" s="2">
        <v>25.774442815552522</v>
      </c>
      <c r="C4" s="2">
        <v>84.168710534481846</v>
      </c>
      <c r="D4" s="2">
        <v>0.21020724744751876</v>
      </c>
      <c r="E4" s="1">
        <v>621193.23844630795</v>
      </c>
      <c r="F4">
        <v>9.3822525086202633E-11</v>
      </c>
      <c r="G4">
        <v>1.6126859792000001E-10</v>
      </c>
      <c r="H4">
        <v>2.9696000000000005E-16</v>
      </c>
      <c r="J4" s="47" t="s">
        <v>180</v>
      </c>
      <c r="K4" s="48">
        <v>13.609043962428185</v>
      </c>
      <c r="L4" s="48">
        <v>60.376471769549731</v>
      </c>
      <c r="M4" s="51">
        <v>0.19029332259313311</v>
      </c>
      <c r="N4" s="50">
        <v>782676.74432174501</v>
      </c>
      <c r="O4" s="52">
        <v>1.0785761255010635E-10</v>
      </c>
      <c r="P4" s="52">
        <v>5.4529233712000006E-10</v>
      </c>
      <c r="Q4" s="47">
        <v>2.7648000000000006E-16</v>
      </c>
    </row>
    <row r="5" spans="1:17" x14ac:dyDescent="0.35">
      <c r="A5" t="s">
        <v>10</v>
      </c>
      <c r="B5" s="2">
        <v>57.622010119812785</v>
      </c>
      <c r="C5" s="2">
        <v>68.977566224202931</v>
      </c>
      <c r="D5" s="2">
        <v>0.29449377399450499</v>
      </c>
      <c r="E5" s="1">
        <v>540870</v>
      </c>
      <c r="F5">
        <v>9.0020191244751954E-11</v>
      </c>
      <c r="G5">
        <v>1.6124265648000002E-10</v>
      </c>
      <c r="H5">
        <v>2.9696000000000005E-16</v>
      </c>
      <c r="J5" s="46" t="s">
        <v>5</v>
      </c>
      <c r="K5" s="39">
        <v>20.127826485558323</v>
      </c>
      <c r="L5" s="39">
        <v>72.00367062939803</v>
      </c>
      <c r="M5" s="2">
        <v>0.16816579795801501</v>
      </c>
      <c r="N5" s="49">
        <v>143890</v>
      </c>
      <c r="O5" s="49">
        <v>2.084819152235602E-11</v>
      </c>
      <c r="P5" s="49">
        <v>2.0626047019999999E-10</v>
      </c>
      <c r="Q5">
        <v>4.6400000000000005E-16</v>
      </c>
    </row>
    <row r="6" spans="1:17" x14ac:dyDescent="0.35">
      <c r="A6" t="s">
        <v>23</v>
      </c>
      <c r="B6" s="2">
        <v>5.2287236524471439</v>
      </c>
      <c r="C6" s="2">
        <v>41.313545850060301</v>
      </c>
      <c r="D6" s="2">
        <v>0.14680705753424586</v>
      </c>
      <c r="E6" s="1">
        <v>186560</v>
      </c>
      <c r="F6">
        <v>5.137119620198967E-12</v>
      </c>
      <c r="G6">
        <v>9.3227999999999993E-9</v>
      </c>
      <c r="H6">
        <v>3.2371199999999996E-17</v>
      </c>
      <c r="J6" s="46" t="s">
        <v>181</v>
      </c>
      <c r="K6" s="39">
        <v>22.583039270563244</v>
      </c>
      <c r="L6" s="39">
        <v>72.783841018789332</v>
      </c>
      <c r="M6" s="2">
        <v>0.17356061009277299</v>
      </c>
      <c r="N6" s="49">
        <v>133540.49419053301</v>
      </c>
      <c r="O6" s="49">
        <v>1.9447477784846122E-11</v>
      </c>
      <c r="P6" s="49">
        <v>2.7427535900000002E-10</v>
      </c>
      <c r="Q6">
        <v>4.6400000000000005E-16</v>
      </c>
    </row>
    <row r="7" spans="1:17" x14ac:dyDescent="0.35">
      <c r="J7" s="47" t="s">
        <v>182</v>
      </c>
      <c r="K7" s="48">
        <v>25.774442815552522</v>
      </c>
      <c r="L7" s="48">
        <v>84.168710534481846</v>
      </c>
      <c r="M7" s="51">
        <v>0.21020724744751876</v>
      </c>
      <c r="N7" s="50">
        <v>621193.23844630795</v>
      </c>
      <c r="O7" s="50">
        <v>9.3822525086202633E-11</v>
      </c>
      <c r="P7" s="50">
        <v>1.6126859792000001E-10</v>
      </c>
      <c r="Q7" s="47">
        <v>2.9696000000000005E-16</v>
      </c>
    </row>
    <row r="8" spans="1:17" x14ac:dyDescent="0.35">
      <c r="A8" s="55" t="s">
        <v>177</v>
      </c>
      <c r="B8" s="55"/>
      <c r="C8" s="55"/>
      <c r="D8" s="55"/>
      <c r="E8" s="55"/>
      <c r="F8" s="55"/>
      <c r="G8" s="55"/>
      <c r="H8" s="55"/>
      <c r="J8" s="46" t="s">
        <v>10</v>
      </c>
      <c r="K8" s="39">
        <v>44.633774510305273</v>
      </c>
      <c r="L8" s="39">
        <v>76.640964633838152</v>
      </c>
      <c r="M8" s="2">
        <v>0.24911218671256749</v>
      </c>
      <c r="N8" s="49">
        <v>79859</v>
      </c>
      <c r="O8" s="49">
        <v>1.2584057885737435E-11</v>
      </c>
      <c r="P8" s="49">
        <v>2.06511295E-10</v>
      </c>
      <c r="Q8">
        <v>4.6400000000000005E-16</v>
      </c>
    </row>
    <row r="9" spans="1:17" x14ac:dyDescent="0.35">
      <c r="B9" t="s">
        <v>46</v>
      </c>
      <c r="C9" t="s">
        <v>161</v>
      </c>
      <c r="D9" t="s">
        <v>47</v>
      </c>
      <c r="E9" t="s">
        <v>48</v>
      </c>
      <c r="F9" t="s">
        <v>49</v>
      </c>
      <c r="G9" t="s">
        <v>50</v>
      </c>
      <c r="H9" t="s">
        <v>34</v>
      </c>
      <c r="J9" s="46" t="s">
        <v>183</v>
      </c>
      <c r="K9" s="39">
        <v>47.447589170270781</v>
      </c>
      <c r="L9" s="39">
        <v>76.600591658712773</v>
      </c>
      <c r="M9" s="2">
        <v>0.24565393442946851</v>
      </c>
      <c r="N9" s="49">
        <v>75732.485784874894</v>
      </c>
      <c r="O9" s="49">
        <v>1.1886982582456911E-11</v>
      </c>
      <c r="P9" s="49">
        <v>2.746298302E-10</v>
      </c>
      <c r="Q9">
        <v>4.6400000000000005E-16</v>
      </c>
    </row>
    <row r="10" spans="1:17" x14ac:dyDescent="0.35">
      <c r="A10" t="s">
        <v>0</v>
      </c>
      <c r="B10" s="2">
        <v>26.123603170101298</v>
      </c>
      <c r="C10" s="2">
        <v>64.652300748823677</v>
      </c>
      <c r="D10" s="2">
        <v>0.185826340436268</v>
      </c>
      <c r="E10" s="1">
        <v>102549.171049909</v>
      </c>
      <c r="F10">
        <v>1.5112059283019352E-11</v>
      </c>
      <c r="G10">
        <v>1.1528377872E-8</v>
      </c>
      <c r="H10">
        <v>4.6400000000000005E-16</v>
      </c>
      <c r="J10" s="47" t="s">
        <v>184</v>
      </c>
      <c r="K10" s="48">
        <v>57.622010119812785</v>
      </c>
      <c r="L10" s="48">
        <v>68.977566224202931</v>
      </c>
      <c r="M10" s="51">
        <v>0.29449377399450499</v>
      </c>
      <c r="N10" s="50">
        <v>540870</v>
      </c>
      <c r="O10" s="50">
        <v>9.0020191244751954E-11</v>
      </c>
      <c r="P10" s="50">
        <v>1.6124265648000002E-10</v>
      </c>
      <c r="Q10" s="47">
        <v>2.9696000000000005E-16</v>
      </c>
    </row>
    <row r="11" spans="1:17" x14ac:dyDescent="0.35">
      <c r="A11" t="s">
        <v>5</v>
      </c>
      <c r="B11" s="2">
        <v>22.583039270563244</v>
      </c>
      <c r="C11" s="2">
        <v>72.783841018789332</v>
      </c>
      <c r="D11" s="2">
        <v>0.17356061009277299</v>
      </c>
      <c r="E11" s="1">
        <v>133540.49419053301</v>
      </c>
      <c r="F11">
        <v>1.9447477784846122E-11</v>
      </c>
      <c r="G11">
        <v>2.7427535900000002E-10</v>
      </c>
      <c r="H11">
        <v>4.6400000000000005E-16</v>
      </c>
      <c r="J11" t="s">
        <v>23</v>
      </c>
      <c r="K11" s="39">
        <v>5.2287236524471439</v>
      </c>
      <c r="L11" s="39">
        <v>41.313545850060301</v>
      </c>
      <c r="M11" s="2">
        <v>0.14680705753424586</v>
      </c>
      <c r="N11" s="49">
        <v>186560</v>
      </c>
      <c r="O11" s="49">
        <v>5.137119620198967E-12</v>
      </c>
      <c r="P11" s="49">
        <v>9.3227999999999993E-9</v>
      </c>
      <c r="Q11">
        <v>3.2371199999999996E-17</v>
      </c>
    </row>
    <row r="12" spans="1:17" x14ac:dyDescent="0.35">
      <c r="A12" t="s">
        <v>10</v>
      </c>
      <c r="B12" s="2">
        <v>47.447589170270781</v>
      </c>
      <c r="C12" s="2">
        <v>76.600591658712773</v>
      </c>
      <c r="D12" s="2">
        <v>0.24565393442946851</v>
      </c>
      <c r="E12" s="1">
        <v>75732.485784874894</v>
      </c>
      <c r="F12">
        <v>1.1886982582456911E-11</v>
      </c>
      <c r="G12">
        <v>2.746298302E-10</v>
      </c>
      <c r="H12">
        <v>4.6400000000000005E-16</v>
      </c>
    </row>
    <row r="13" spans="1:17" x14ac:dyDescent="0.35">
      <c r="A13" t="s">
        <v>23</v>
      </c>
      <c r="B13" s="2">
        <v>5.2287236524471439</v>
      </c>
      <c r="C13" s="2">
        <v>41.313545850060301</v>
      </c>
      <c r="D13" s="2">
        <v>0.14680705753424586</v>
      </c>
      <c r="E13" s="1">
        <v>186560</v>
      </c>
      <c r="F13">
        <v>5.137119620198967E-12</v>
      </c>
      <c r="G13">
        <v>9.3227999999999993E-9</v>
      </c>
      <c r="H13">
        <v>3.2371199999999996E-17</v>
      </c>
    </row>
    <row r="15" spans="1:17" x14ac:dyDescent="0.35">
      <c r="A15" s="55" t="s">
        <v>178</v>
      </c>
      <c r="B15" s="55"/>
      <c r="C15" s="55"/>
      <c r="D15" s="55"/>
      <c r="E15" s="55"/>
      <c r="F15" s="55"/>
      <c r="G15" s="55"/>
      <c r="H15" s="55"/>
    </row>
    <row r="16" spans="1:17" x14ac:dyDescent="0.35">
      <c r="B16" t="s">
        <v>46</v>
      </c>
      <c r="D16" t="s">
        <v>47</v>
      </c>
      <c r="E16" t="s">
        <v>48</v>
      </c>
      <c r="F16" t="s">
        <v>49</v>
      </c>
      <c r="G16" t="s">
        <v>50</v>
      </c>
      <c r="H16" t="s">
        <v>34</v>
      </c>
    </row>
    <row r="17" spans="1:8" x14ac:dyDescent="0.35">
      <c r="A17" t="s">
        <v>0</v>
      </c>
      <c r="B17" s="2">
        <v>8.508980128972043</v>
      </c>
      <c r="C17" s="2">
        <v>23.651410096480937</v>
      </c>
      <c r="D17" s="2">
        <v>0.15223465807450651</v>
      </c>
      <c r="E17" s="1">
        <v>213150</v>
      </c>
      <c r="F17">
        <v>2.8335120836631674E-11</v>
      </c>
      <c r="G17">
        <v>8.1705135339999997E-10</v>
      </c>
      <c r="H17">
        <v>4.3200000000000002E-16</v>
      </c>
    </row>
    <row r="18" spans="1:8" x14ac:dyDescent="0.35">
      <c r="A18" t="s">
        <v>5</v>
      </c>
      <c r="B18" s="2">
        <v>20.127826485558323</v>
      </c>
      <c r="C18" s="2">
        <v>72.00367062939803</v>
      </c>
      <c r="D18" s="2">
        <v>0.16816579795801501</v>
      </c>
      <c r="E18" s="1">
        <v>143890</v>
      </c>
      <c r="F18">
        <v>2.084819152235602E-11</v>
      </c>
      <c r="G18">
        <v>2.0626047019999999E-10</v>
      </c>
      <c r="H18">
        <v>4.6400000000000005E-16</v>
      </c>
    </row>
    <row r="19" spans="1:8" x14ac:dyDescent="0.35">
      <c r="A19" t="s">
        <v>10</v>
      </c>
      <c r="B19" s="2">
        <v>44.633774510305273</v>
      </c>
      <c r="C19" s="2">
        <v>76.640964633838152</v>
      </c>
      <c r="D19" s="2">
        <v>0.24911218671256749</v>
      </c>
      <c r="E19" s="1">
        <v>79859</v>
      </c>
      <c r="F19">
        <v>1.2584057885737435E-11</v>
      </c>
      <c r="G19">
        <v>2.06511295E-10</v>
      </c>
      <c r="H19">
        <v>4.6400000000000005E-16</v>
      </c>
    </row>
    <row r="20" spans="1:8" x14ac:dyDescent="0.35">
      <c r="A20" t="s">
        <v>23</v>
      </c>
      <c r="B20" s="2">
        <v>5.2287236524471439</v>
      </c>
      <c r="C20" s="2">
        <v>41.313545850060301</v>
      </c>
      <c r="D20" s="2">
        <v>0.14680705753424586</v>
      </c>
      <c r="E20" s="1">
        <v>186560</v>
      </c>
      <c r="F20">
        <v>5.137119620198967E-12</v>
      </c>
      <c r="G20">
        <v>9.3227999999999993E-9</v>
      </c>
      <c r="H20">
        <v>3.2371199999999996E-17</v>
      </c>
    </row>
  </sheetData>
  <mergeCells count="3">
    <mergeCell ref="A1:H1"/>
    <mergeCell ref="A8:H8"/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7"/>
  <sheetViews>
    <sheetView topLeftCell="A39" zoomScaleNormal="100" workbookViewId="0">
      <pane xSplit="1" topLeftCell="B1" activePane="topRight" state="frozen"/>
      <selection pane="topRight" activeCell="B54" sqref="B54:C57"/>
    </sheetView>
  </sheetViews>
  <sheetFormatPr defaultRowHeight="14.5" x14ac:dyDescent="0.35"/>
  <cols>
    <col min="1" max="1" width="8.7265625" style="17"/>
    <col min="2" max="2" width="9.90625" style="17" bestFit="1" customWidth="1"/>
    <col min="3" max="4" width="9.36328125" style="17" bestFit="1" customWidth="1"/>
    <col min="5" max="5" width="8.7265625" style="17"/>
    <col min="6" max="6" width="8.453125" style="17" bestFit="1" customWidth="1"/>
    <col min="7" max="7" width="8.81640625" style="17" bestFit="1" customWidth="1"/>
    <col min="8" max="8" width="10.453125" style="17" bestFit="1" customWidth="1"/>
    <col min="9" max="9" width="8.7265625" style="17"/>
    <col min="10" max="10" width="8.36328125" style="17" bestFit="1" customWidth="1"/>
    <col min="11" max="11" width="18.36328125" style="17" bestFit="1" customWidth="1"/>
    <col min="12" max="13" width="8.7265625" style="17"/>
    <col min="14" max="14" width="8.7265625" style="17" bestFit="1" customWidth="1"/>
    <col min="15" max="15" width="8.36328125" style="17" customWidth="1"/>
    <col min="16" max="16" width="9.1796875" style="17" bestFit="1" customWidth="1"/>
    <col min="17" max="17" width="10.08984375" style="17" bestFit="1" customWidth="1"/>
    <col min="18" max="19" width="8.1796875" style="17" customWidth="1"/>
    <col min="20" max="20" width="18.08984375" style="17" customWidth="1"/>
    <col min="21" max="21" width="15.54296875" style="17" bestFit="1" customWidth="1"/>
    <col min="22" max="23" width="9.54296875" style="17" customWidth="1"/>
    <col min="24" max="24" width="11.81640625" style="17" bestFit="1" customWidth="1"/>
    <col min="25" max="25" width="11.81640625" style="17" customWidth="1"/>
    <col min="26" max="16384" width="8.7265625" style="17"/>
  </cols>
  <sheetData>
    <row r="1" spans="1:26" x14ac:dyDescent="0.35">
      <c r="B1" s="17" t="s">
        <v>25</v>
      </c>
      <c r="C1" s="17" t="s">
        <v>26</v>
      </c>
      <c r="D1" s="17" t="s">
        <v>28</v>
      </c>
      <c r="E1" s="17" t="s">
        <v>27</v>
      </c>
      <c r="G1" s="17" t="s">
        <v>31</v>
      </c>
      <c r="H1" s="17" t="s">
        <v>32</v>
      </c>
      <c r="I1" s="17" t="s">
        <v>27</v>
      </c>
      <c r="K1" s="17" t="s">
        <v>33</v>
      </c>
      <c r="L1" s="17" t="s">
        <v>27</v>
      </c>
      <c r="N1" s="17" t="s">
        <v>37</v>
      </c>
      <c r="P1" s="17" t="s">
        <v>38</v>
      </c>
      <c r="Q1" s="17" t="s">
        <v>41</v>
      </c>
      <c r="R1" s="17" t="s">
        <v>27</v>
      </c>
      <c r="T1" s="17" t="s">
        <v>52</v>
      </c>
      <c r="U1" s="17" t="s">
        <v>42</v>
      </c>
      <c r="V1" s="17" t="s">
        <v>27</v>
      </c>
      <c r="X1" s="17" t="s">
        <v>44</v>
      </c>
      <c r="Y1" s="17" t="s">
        <v>45</v>
      </c>
      <c r="Z1" s="17" t="s">
        <v>27</v>
      </c>
    </row>
    <row r="2" spans="1:26" x14ac:dyDescent="0.35">
      <c r="A2" s="17" t="s">
        <v>0</v>
      </c>
      <c r="B2" s="18">
        <f>3.3*10^-6</f>
        <v>3.2999999999999997E-6</v>
      </c>
      <c r="C2" s="18">
        <v>811630.32518587203</v>
      </c>
      <c r="D2" s="19">
        <f>B2*C2</f>
        <v>2.6783800731133773</v>
      </c>
      <c r="E2" s="17">
        <v>2.7</v>
      </c>
      <c r="G2" s="17">
        <f>13.5 *10^-18</f>
        <v>1.3500000000000001E-17</v>
      </c>
      <c r="H2" s="20">
        <f>8*G2</f>
        <v>1.08E-16</v>
      </c>
      <c r="I2" s="20">
        <f>0.12*10^-15</f>
        <v>1.2E-16</v>
      </c>
      <c r="J2" s="20"/>
      <c r="K2" s="18">
        <f>H2*$M$7*$M$7</f>
        <v>4.3200000000000002E-16</v>
      </c>
      <c r="L2" s="17">
        <f>0.48*10^-15</f>
        <v>4.8000000000000001E-16</v>
      </c>
      <c r="N2" s="18">
        <v>213150</v>
      </c>
      <c r="O2" s="18"/>
      <c r="P2" s="18">
        <v>0.30446931614901301</v>
      </c>
      <c r="Q2" s="19">
        <f>P2/$Q$7</f>
        <v>0.15223465807450651</v>
      </c>
      <c r="R2" s="17">
        <v>0.219</v>
      </c>
      <c r="T2" s="19">
        <f>((2*Q2)/(1-Q2)) + LN(3 - 4*Q2)</f>
        <v>1.2308807411157014</v>
      </c>
      <c r="U2" s="18">
        <f>T2*H2*N2</f>
        <v>2.8335120836631674E-11</v>
      </c>
      <c r="V2" s="18">
        <f>212*10^-12</f>
        <v>2.1199999999999999E-10</v>
      </c>
      <c r="W2" s="18"/>
      <c r="X2" s="18">
        <v>4.0852567669999999E-10</v>
      </c>
      <c r="Y2" s="18">
        <f>X2*$Q$7</f>
        <v>8.1705135339999997E-10</v>
      </c>
      <c r="Z2" s="17">
        <f>0.67*10^-9</f>
        <v>6.7000000000000006E-10</v>
      </c>
    </row>
    <row r="3" spans="1:26" x14ac:dyDescent="0.35">
      <c r="A3" s="17" t="s">
        <v>5</v>
      </c>
      <c r="B3" s="18">
        <f>6.4*10^-6</f>
        <v>6.3999999999999997E-6</v>
      </c>
      <c r="C3" s="18">
        <v>1583007.6984806</v>
      </c>
      <c r="D3" s="19">
        <f t="shared" ref="D3:D5" si="0">B3*C3</f>
        <v>10.131249270275839</v>
      </c>
      <c r="E3" s="17">
        <v>10</v>
      </c>
      <c r="G3" s="17">
        <f>14.5 *10^-18</f>
        <v>1.4500000000000001E-17</v>
      </c>
      <c r="H3" s="20">
        <f t="shared" ref="H3:H5" si="1">8*G3</f>
        <v>1.1600000000000001E-16</v>
      </c>
      <c r="I3" s="20">
        <f>0.13*10^-15</f>
        <v>1.3000000000000002E-16</v>
      </c>
      <c r="J3" s="20"/>
      <c r="K3" s="18">
        <f>H3*$M$7*$M$7</f>
        <v>4.6400000000000005E-16</v>
      </c>
      <c r="L3" s="17">
        <f>0.52*10^-15</f>
        <v>5.2000000000000007E-16</v>
      </c>
      <c r="N3" s="18">
        <v>143890</v>
      </c>
      <c r="O3" s="18"/>
      <c r="P3" s="18">
        <v>0.33633159591603001</v>
      </c>
      <c r="Q3" s="19">
        <f>P3/$Q$7</f>
        <v>0.16816579795801501</v>
      </c>
      <c r="R3" s="17">
        <v>0.28000000000000003</v>
      </c>
      <c r="T3" s="19">
        <f t="shared" ref="T3:T5" si="2">((2*Q3)/(1-Q3)) + LN(3 - 4*Q3)</f>
        <v>1.2490498921803304</v>
      </c>
      <c r="U3" s="18">
        <f t="shared" ref="U3:U5" si="3">T3*H3*N3</f>
        <v>2.084819152235602E-11</v>
      </c>
      <c r="V3" s="18">
        <f>418*10^-12</f>
        <v>4.18E-10</v>
      </c>
      <c r="W3" s="18"/>
      <c r="X3" s="18">
        <v>1.0313023509999999E-10</v>
      </c>
      <c r="Y3" s="18">
        <f>X3*$Q$7</f>
        <v>2.0626047019999999E-10</v>
      </c>
      <c r="Z3" s="17">
        <f>0.23*10^-9</f>
        <v>2.3000000000000003E-10</v>
      </c>
    </row>
    <row r="4" spans="1:26" x14ac:dyDescent="0.35">
      <c r="A4" s="17" t="s">
        <v>10</v>
      </c>
      <c r="B4" s="18">
        <f>7.3*10^-6</f>
        <v>7.2999999999999996E-6</v>
      </c>
      <c r="C4" s="18">
        <v>27508810.324634299</v>
      </c>
      <c r="D4" s="19">
        <f t="shared" si="0"/>
        <v>200.81431536983038</v>
      </c>
      <c r="E4" s="17">
        <v>200</v>
      </c>
      <c r="G4" s="17">
        <f>14.5 *10^-18</f>
        <v>1.4500000000000001E-17</v>
      </c>
      <c r="H4" s="20">
        <f t="shared" si="1"/>
        <v>1.1600000000000001E-16</v>
      </c>
      <c r="I4" s="20">
        <f>0.13*10^-15</f>
        <v>1.3000000000000002E-16</v>
      </c>
      <c r="J4" s="20"/>
      <c r="K4" s="18">
        <f>H4*$M$7*$M$7</f>
        <v>4.6400000000000005E-16</v>
      </c>
      <c r="L4" s="17">
        <f>0.52*10^-15</f>
        <v>5.2000000000000007E-16</v>
      </c>
      <c r="N4" s="18">
        <v>79859</v>
      </c>
      <c r="O4" s="18"/>
      <c r="P4" s="18">
        <v>0.49822437342513498</v>
      </c>
      <c r="Q4" s="19">
        <f>P4/$Q$7</f>
        <v>0.24911218671256749</v>
      </c>
      <c r="R4" s="17">
        <v>0.28399999999999997</v>
      </c>
      <c r="T4" s="19">
        <f t="shared" si="2"/>
        <v>1.3584349620664864</v>
      </c>
      <c r="U4" s="18">
        <f t="shared" si="3"/>
        <v>1.2584057885737435E-11</v>
      </c>
      <c r="V4" s="18">
        <f>18*10^-12</f>
        <v>1.7999999999999999E-11</v>
      </c>
      <c r="W4" s="18"/>
      <c r="X4" s="18">
        <v>1.032556475E-10</v>
      </c>
      <c r="Y4" s="18">
        <f>X4*$Q$7</f>
        <v>2.06511295E-10</v>
      </c>
      <c r="Z4" s="17">
        <f>0.26*10^-9</f>
        <v>2.6000000000000003E-10</v>
      </c>
    </row>
    <row r="5" spans="1:26" x14ac:dyDescent="0.35">
      <c r="A5" s="17" t="s">
        <v>23</v>
      </c>
      <c r="B5" s="18">
        <f>1.6*10^-6</f>
        <v>1.5999999999999999E-6</v>
      </c>
      <c r="C5" s="18">
        <v>33342559.755326401</v>
      </c>
      <c r="D5" s="19">
        <f t="shared" si="0"/>
        <v>53.348095608522243</v>
      </c>
      <c r="E5" s="17">
        <v>53</v>
      </c>
      <c r="G5" s="17">
        <f>2.81 *10^-18</f>
        <v>2.8100000000000001E-18</v>
      </c>
      <c r="H5" s="20">
        <f t="shared" si="1"/>
        <v>2.2480000000000001E-17</v>
      </c>
      <c r="I5" s="20">
        <f>0.021*10^-15</f>
        <v>2.1000000000000002E-17</v>
      </c>
      <c r="J5" s="20"/>
      <c r="K5" s="18">
        <f>H5*M8*M8</f>
        <v>3.2371199999999996E-17</v>
      </c>
      <c r="L5" s="17">
        <f>0.021*10^-15</f>
        <v>2.1000000000000002E-17</v>
      </c>
      <c r="N5" s="18">
        <v>186560</v>
      </c>
      <c r="O5" s="18"/>
      <c r="P5" s="18">
        <v>0.17616846904109501</v>
      </c>
      <c r="Q5" s="19">
        <f>P5/$Q$8</f>
        <v>0.14680705753424586</v>
      </c>
      <c r="R5" s="17">
        <v>0.14799999999999999</v>
      </c>
      <c r="T5" s="19">
        <f t="shared" si="2"/>
        <v>1.224911857089799</v>
      </c>
      <c r="U5" s="18">
        <f t="shared" si="3"/>
        <v>5.137119620198967E-12</v>
      </c>
      <c r="V5" s="18">
        <f>5.7*10^-12</f>
        <v>5.7000000000000003E-12</v>
      </c>
      <c r="W5" s="18"/>
      <c r="X5" s="18">
        <f>7.769*10^-9</f>
        <v>7.769E-9</v>
      </c>
      <c r="Y5" s="18">
        <f>X5*$Q$8</f>
        <v>9.3227999999999993E-9</v>
      </c>
      <c r="Z5" s="17">
        <f>9.3*10^-9</f>
        <v>9.3000000000000006E-9</v>
      </c>
    </row>
    <row r="7" spans="1:26" x14ac:dyDescent="0.35">
      <c r="B7" s="17">
        <v>1321939.67490598</v>
      </c>
      <c r="C7" s="17">
        <v>54311981.808255397</v>
      </c>
      <c r="D7" s="17">
        <v>1240214480.2226601</v>
      </c>
      <c r="K7" s="17" t="s">
        <v>35</v>
      </c>
      <c r="L7" s="17">
        <v>1</v>
      </c>
      <c r="M7" s="17">
        <v>2</v>
      </c>
      <c r="P7" s="17" t="s">
        <v>39</v>
      </c>
      <c r="Q7" s="17">
        <v>2</v>
      </c>
    </row>
    <row r="8" spans="1:26" x14ac:dyDescent="0.35">
      <c r="K8" s="17" t="s">
        <v>36</v>
      </c>
      <c r="L8" s="17">
        <v>0.6</v>
      </c>
      <c r="M8" s="17">
        <v>1.2</v>
      </c>
      <c r="P8" s="17" t="s">
        <v>40</v>
      </c>
      <c r="Q8" s="17">
        <v>1.2</v>
      </c>
    </row>
    <row r="9" spans="1:26" x14ac:dyDescent="0.35">
      <c r="B9" s="17" t="s">
        <v>29</v>
      </c>
    </row>
    <row r="10" spans="1:26" x14ac:dyDescent="0.35">
      <c r="B10" s="17" t="s">
        <v>25</v>
      </c>
      <c r="C10" s="17" t="s">
        <v>30</v>
      </c>
      <c r="D10" s="17" t="s">
        <v>28</v>
      </c>
      <c r="E10" s="17" t="s">
        <v>51</v>
      </c>
      <c r="G10" s="17" t="s">
        <v>31</v>
      </c>
      <c r="I10" s="17" t="s">
        <v>53</v>
      </c>
      <c r="J10" s="17" t="s">
        <v>54</v>
      </c>
      <c r="N10" s="17" t="s">
        <v>37</v>
      </c>
      <c r="P10" s="17" t="s">
        <v>85</v>
      </c>
      <c r="Q10" s="17" t="s">
        <v>86</v>
      </c>
      <c r="T10" s="17" t="s">
        <v>43</v>
      </c>
      <c r="X10" s="17" t="s">
        <v>44</v>
      </c>
    </row>
    <row r="11" spans="1:26" x14ac:dyDescent="0.35">
      <c r="A11" s="17" t="s">
        <v>0</v>
      </c>
      <c r="B11" s="18">
        <f>3.293*10^-6</f>
        <v>3.2930000000000001E-6</v>
      </c>
      <c r="C11" s="18">
        <v>811630.32518587203</v>
      </c>
      <c r="D11" s="19">
        <f>B11*C11</f>
        <v>2.6726986608370766</v>
      </c>
      <c r="E11" s="18">
        <f>0.81*10^6</f>
        <v>810000</v>
      </c>
      <c r="G11" s="17">
        <f>15.5 *10^-18</f>
        <v>1.5500000000000002E-17</v>
      </c>
      <c r="I11" s="18">
        <v>811630.32518587203</v>
      </c>
      <c r="J11" s="18">
        <v>1321939.67490598</v>
      </c>
      <c r="K11" s="21"/>
      <c r="L11" s="16"/>
      <c r="M11" s="1"/>
      <c r="N11" s="18">
        <v>1354839.5363256801</v>
      </c>
      <c r="O11" s="18"/>
      <c r="P11" s="22">
        <v>0.27969844438008201</v>
      </c>
      <c r="Q11" s="22">
        <v>0.30446931614901301</v>
      </c>
      <c r="S11" s="18"/>
      <c r="T11" s="17">
        <v>1.31</v>
      </c>
      <c r="U11" s="18"/>
      <c r="V11" s="18"/>
      <c r="W11" s="18"/>
      <c r="X11" s="18">
        <f>3.368*10^-10</f>
        <v>3.3680000000000002E-10</v>
      </c>
      <c r="Y11" s="18">
        <v>4.0852567669999999E-10</v>
      </c>
    </row>
    <row r="12" spans="1:26" x14ac:dyDescent="0.35">
      <c r="A12" s="17" t="s">
        <v>5</v>
      </c>
      <c r="B12" s="18">
        <f>6.442*10^-6</f>
        <v>6.4419999999999995E-6</v>
      </c>
      <c r="C12" s="18">
        <v>1583007.6984806</v>
      </c>
      <c r="D12" s="19">
        <f>B12*C12</f>
        <v>10.197735593612025</v>
      </c>
      <c r="E12" s="18">
        <f>1.6*10^6</f>
        <v>1600000</v>
      </c>
      <c r="G12" s="17">
        <f>16.3 *10^-18</f>
        <v>1.6300000000000001E-17</v>
      </c>
      <c r="I12" s="18">
        <v>1583007.6984806</v>
      </c>
      <c r="J12" s="18">
        <v>54311981.808255397</v>
      </c>
      <c r="K12" s="21"/>
      <c r="L12" s="16"/>
      <c r="M12" s="1"/>
      <c r="N12" s="18">
        <v>2277627.9064628901</v>
      </c>
      <c r="O12" s="18"/>
      <c r="P12" s="22">
        <v>0.32142672995136001</v>
      </c>
      <c r="Q12" s="22">
        <v>0.33633159591603001</v>
      </c>
      <c r="S12" s="18"/>
      <c r="T12" s="17">
        <v>1.41</v>
      </c>
      <c r="U12" s="18"/>
      <c r="V12" s="18"/>
      <c r="W12" s="18"/>
      <c r="X12" s="17">
        <f>1.165*10^-10</f>
        <v>1.1650000000000001E-10</v>
      </c>
      <c r="Y12" s="18">
        <v>1.0313023509999999E-10</v>
      </c>
    </row>
    <row r="13" spans="1:26" x14ac:dyDescent="0.35">
      <c r="A13" s="17" t="s">
        <v>10</v>
      </c>
      <c r="B13" s="18">
        <f>7.33*10^-6</f>
        <v>7.3300000000000001E-6</v>
      </c>
      <c r="C13" s="18">
        <v>27508810.324634299</v>
      </c>
      <c r="D13" s="19">
        <f>B13*C13</f>
        <v>201.63957967956941</v>
      </c>
      <c r="E13" s="18">
        <f>28*10^6</f>
        <v>28000000</v>
      </c>
      <c r="G13" s="17">
        <f>16.3 *10^-18</f>
        <v>1.6300000000000001E-17</v>
      </c>
      <c r="I13" s="18">
        <v>27508810.324634299</v>
      </c>
      <c r="J13" s="18">
        <v>1240214480.2226601</v>
      </c>
      <c r="K13" s="21"/>
      <c r="L13" s="16"/>
      <c r="M13" s="1"/>
      <c r="N13" s="18">
        <v>97710.841724854297</v>
      </c>
      <c r="O13" s="18"/>
      <c r="P13" s="22">
        <v>0.46001966358768298</v>
      </c>
      <c r="Q13" s="22">
        <v>0.49822437342513498</v>
      </c>
      <c r="S13" s="18"/>
      <c r="T13" s="17">
        <v>1.42</v>
      </c>
      <c r="U13" s="18"/>
      <c r="V13" s="18"/>
      <c r="W13" s="18"/>
      <c r="X13" s="17">
        <f>1.316*10^-10</f>
        <v>1.3160000000000002E-10</v>
      </c>
      <c r="Y13" s="18">
        <v>1.032556475E-10</v>
      </c>
    </row>
    <row r="14" spans="1:26" x14ac:dyDescent="0.35">
      <c r="A14" s="17" t="s">
        <v>23</v>
      </c>
      <c r="B14" s="18">
        <f>1.638*10^-6</f>
        <v>1.6379999999999998E-6</v>
      </c>
      <c r="C14" s="18">
        <v>3354301.90849793</v>
      </c>
      <c r="D14" s="19">
        <f>B14*C14</f>
        <v>5.4943465261196085</v>
      </c>
      <c r="E14" s="18">
        <f>33*10^6</f>
        <v>33000000</v>
      </c>
      <c r="G14" s="17">
        <f>2.68 *10^-18</f>
        <v>2.6800000000000004E-18</v>
      </c>
      <c r="I14" s="18">
        <v>3354301.90849793</v>
      </c>
      <c r="J14" s="18">
        <v>33342559.755326401</v>
      </c>
      <c r="K14" s="21"/>
      <c r="L14" s="16"/>
      <c r="M14" s="1"/>
      <c r="N14" s="18">
        <v>221967.66921246101</v>
      </c>
      <c r="O14" s="18"/>
      <c r="P14" s="22">
        <v>0.17616846904109501</v>
      </c>
      <c r="Q14" s="22">
        <v>0.17616846904109501</v>
      </c>
      <c r="T14" s="17">
        <v>1.23</v>
      </c>
      <c r="X14" s="17">
        <f>7.769*10^-9</f>
        <v>7.769E-9</v>
      </c>
    </row>
    <row r="17" spans="1:26" x14ac:dyDescent="0.35">
      <c r="B17" s="17" t="s">
        <v>46</v>
      </c>
      <c r="C17" s="17" t="s">
        <v>47</v>
      </c>
      <c r="D17" s="17" t="s">
        <v>48</v>
      </c>
      <c r="E17" s="17" t="s">
        <v>49</v>
      </c>
      <c r="F17" s="17" t="s">
        <v>50</v>
      </c>
      <c r="G17" s="17" t="s">
        <v>34</v>
      </c>
      <c r="H17" s="33" t="s">
        <v>87</v>
      </c>
      <c r="M17" s="17" t="s">
        <v>64</v>
      </c>
      <c r="N17" s="17" t="s">
        <v>65</v>
      </c>
      <c r="R17" s="18"/>
      <c r="S17" s="18"/>
      <c r="T17" s="18"/>
      <c r="U17" s="18"/>
      <c r="V17" s="18"/>
      <c r="W17" s="18"/>
      <c r="X17" s="18"/>
      <c r="Y17" s="18"/>
    </row>
    <row r="18" spans="1:26" x14ac:dyDescent="0.35">
      <c r="A18" s="17" t="s">
        <v>0</v>
      </c>
      <c r="B18" s="23">
        <f>D2</f>
        <v>2.6783800731133773</v>
      </c>
      <c r="C18" s="22">
        <f>Q2</f>
        <v>0.15223465807450651</v>
      </c>
      <c r="D18" s="18">
        <f>N2</f>
        <v>213150</v>
      </c>
      <c r="E18" s="18">
        <f>U2</f>
        <v>2.8335120836631674E-11</v>
      </c>
      <c r="F18" s="18">
        <f>Y2</f>
        <v>8.1705135339999997E-10</v>
      </c>
      <c r="G18" s="18">
        <f>K2</f>
        <v>4.3200000000000002E-16</v>
      </c>
      <c r="H18" s="24"/>
      <c r="M18" s="18">
        <f>1.35*10^6</f>
        <v>1350000</v>
      </c>
      <c r="N18" s="18">
        <v>1416423.9804263599</v>
      </c>
      <c r="P18" s="18">
        <v>213150</v>
      </c>
      <c r="Q18" s="18"/>
    </row>
    <row r="19" spans="1:26" x14ac:dyDescent="0.35">
      <c r="A19" s="17" t="s">
        <v>5</v>
      </c>
      <c r="B19" s="25">
        <f t="shared" ref="B19:B20" si="4">D3</f>
        <v>10.131249270275839</v>
      </c>
      <c r="C19" s="22">
        <f t="shared" ref="C19:C21" si="5">Q3</f>
        <v>0.16816579795801501</v>
      </c>
      <c r="D19" s="18">
        <f t="shared" ref="D19:D21" si="6">N3</f>
        <v>143890</v>
      </c>
      <c r="E19" s="18">
        <f t="shared" ref="E19:E21" si="7">U3</f>
        <v>2.084819152235602E-11</v>
      </c>
      <c r="F19" s="18">
        <f t="shared" ref="F19:F21" si="8">Y3</f>
        <v>2.0626047019999999E-10</v>
      </c>
      <c r="G19" s="18">
        <f t="shared" ref="G19:G21" si="9">K3</f>
        <v>4.6400000000000005E-16</v>
      </c>
      <c r="H19" s="24"/>
      <c r="M19" s="18">
        <f xml:space="preserve"> 2.28*10^6</f>
        <v>2280000</v>
      </c>
      <c r="N19" s="18">
        <v>1644874.50585947</v>
      </c>
      <c r="P19" s="18">
        <v>143890</v>
      </c>
      <c r="Q19" s="18"/>
    </row>
    <row r="20" spans="1:26" x14ac:dyDescent="0.35">
      <c r="A20" s="17" t="s">
        <v>10</v>
      </c>
      <c r="B20" s="25">
        <f t="shared" si="4"/>
        <v>200.81431536983038</v>
      </c>
      <c r="C20" s="22">
        <f t="shared" si="5"/>
        <v>0.24911218671256749</v>
      </c>
      <c r="D20" s="18">
        <f t="shared" si="6"/>
        <v>79859</v>
      </c>
      <c r="E20" s="18">
        <f t="shared" si="7"/>
        <v>1.2584057885737435E-11</v>
      </c>
      <c r="F20" s="18">
        <f t="shared" si="8"/>
        <v>2.06511295E-10</v>
      </c>
      <c r="G20" s="18">
        <f t="shared" si="9"/>
        <v>4.6400000000000005E-16</v>
      </c>
      <c r="H20" s="24"/>
      <c r="M20" s="18">
        <f>97.7*10^3</f>
        <v>97700</v>
      </c>
      <c r="N20" s="18">
        <v>142781.17449916099</v>
      </c>
      <c r="P20" s="18">
        <v>79859</v>
      </c>
      <c r="Q20" s="18"/>
    </row>
    <row r="21" spans="1:26" x14ac:dyDescent="0.35">
      <c r="A21" s="17" t="s">
        <v>23</v>
      </c>
      <c r="B21" s="23">
        <f>D5</f>
        <v>53.348095608522243</v>
      </c>
      <c r="C21" s="22">
        <f t="shared" si="5"/>
        <v>0.14680705753424586</v>
      </c>
      <c r="D21" s="18">
        <f t="shared" si="6"/>
        <v>186560</v>
      </c>
      <c r="E21" s="18">
        <f t="shared" si="7"/>
        <v>5.137119620198967E-12</v>
      </c>
      <c r="F21" s="18">
        <f t="shared" si="8"/>
        <v>9.3227999999999993E-9</v>
      </c>
      <c r="G21" s="18">
        <f t="shared" si="9"/>
        <v>3.2371199999999996E-17</v>
      </c>
      <c r="H21" s="24"/>
      <c r="M21" s="18">
        <f>222*10^3</f>
        <v>222000</v>
      </c>
      <c r="N21" s="18">
        <v>219179.030145731</v>
      </c>
      <c r="P21" s="18">
        <v>186560</v>
      </c>
      <c r="Q21" s="18"/>
    </row>
    <row r="23" spans="1:26" x14ac:dyDescent="0.35">
      <c r="B23" s="17" t="s">
        <v>46</v>
      </c>
      <c r="C23" s="17" t="s">
        <v>47</v>
      </c>
      <c r="D23" s="17" t="s">
        <v>48</v>
      </c>
      <c r="E23" s="17" t="s">
        <v>49</v>
      </c>
      <c r="F23" s="17" t="s">
        <v>50</v>
      </c>
      <c r="G23" s="17" t="s">
        <v>34</v>
      </c>
    </row>
    <row r="24" spans="1:26" x14ac:dyDescent="0.35">
      <c r="A24" s="17" t="s">
        <v>0</v>
      </c>
      <c r="B24" s="17">
        <f>E2</f>
        <v>2.7</v>
      </c>
      <c r="C24" s="17">
        <f>R2</f>
        <v>0.219</v>
      </c>
      <c r="D24" s="18">
        <f>N2</f>
        <v>213150</v>
      </c>
      <c r="E24" s="18">
        <f>V2</f>
        <v>2.1199999999999999E-10</v>
      </c>
      <c r="F24" s="17">
        <f>Z2</f>
        <v>6.7000000000000006E-10</v>
      </c>
      <c r="G24" s="17">
        <f>L2</f>
        <v>4.8000000000000001E-16</v>
      </c>
      <c r="M24" s="17" t="s">
        <v>38</v>
      </c>
      <c r="N24" s="17" t="s">
        <v>76</v>
      </c>
    </row>
    <row r="25" spans="1:26" x14ac:dyDescent="0.35">
      <c r="A25" s="17" t="s">
        <v>5</v>
      </c>
      <c r="B25" s="17">
        <f>E3</f>
        <v>10</v>
      </c>
      <c r="C25" s="17">
        <f>R3</f>
        <v>0.28000000000000003</v>
      </c>
      <c r="D25" s="18">
        <f>N3</f>
        <v>143890</v>
      </c>
      <c r="E25" s="18">
        <f>V3</f>
        <v>4.18E-10</v>
      </c>
      <c r="F25" s="17">
        <f>Z3</f>
        <v>2.3000000000000003E-10</v>
      </c>
      <c r="G25" s="17">
        <f>L3</f>
        <v>5.2000000000000007E-16</v>
      </c>
      <c r="M25" s="19">
        <v>0.27969844438008201</v>
      </c>
      <c r="N25" s="19">
        <v>0.27969844438008201</v>
      </c>
      <c r="P25" s="18"/>
      <c r="Q25" s="18"/>
      <c r="R25" s="18"/>
      <c r="S25" s="18"/>
    </row>
    <row r="26" spans="1:26" x14ac:dyDescent="0.35">
      <c r="A26" s="17" t="s">
        <v>10</v>
      </c>
      <c r="B26" s="17">
        <f>E4</f>
        <v>200</v>
      </c>
      <c r="C26" s="17">
        <f>R4</f>
        <v>0.28399999999999997</v>
      </c>
      <c r="D26" s="18">
        <f>N4</f>
        <v>79859</v>
      </c>
      <c r="E26" s="18">
        <f>V4</f>
        <v>1.7999999999999999E-11</v>
      </c>
      <c r="F26" s="17">
        <f>Z4</f>
        <v>2.6000000000000003E-10</v>
      </c>
      <c r="G26" s="17">
        <f>L4</f>
        <v>5.2000000000000007E-16</v>
      </c>
      <c r="M26" s="19">
        <v>0.32142672995136001</v>
      </c>
      <c r="N26" s="19">
        <v>0.32142672995136001</v>
      </c>
      <c r="P26" s="18"/>
      <c r="Q26" s="18"/>
      <c r="R26" s="18"/>
      <c r="S26" s="18"/>
    </row>
    <row r="27" spans="1:26" x14ac:dyDescent="0.35">
      <c r="A27" s="17" t="s">
        <v>23</v>
      </c>
      <c r="B27" s="17">
        <f>E5</f>
        <v>53</v>
      </c>
      <c r="C27" s="17">
        <f>R5</f>
        <v>0.14799999999999999</v>
      </c>
      <c r="D27" s="18">
        <f>N5</f>
        <v>186560</v>
      </c>
      <c r="E27" s="18">
        <f>V5</f>
        <v>5.7000000000000003E-12</v>
      </c>
      <c r="F27" s="17">
        <f>Z5</f>
        <v>9.3000000000000006E-9</v>
      </c>
      <c r="G27" s="17">
        <f>L5</f>
        <v>2.1000000000000002E-17</v>
      </c>
      <c r="M27" s="19">
        <v>0.46001966358768298</v>
      </c>
      <c r="N27" s="19">
        <v>0.40595784230846099</v>
      </c>
      <c r="P27" s="18"/>
      <c r="Q27" s="18"/>
      <c r="R27" s="18"/>
      <c r="S27" s="18"/>
    </row>
    <row r="28" spans="1:26" x14ac:dyDescent="0.35">
      <c r="M28" s="19">
        <v>0.17616846904109501</v>
      </c>
      <c r="N28" s="19">
        <v>0.17616846904109501</v>
      </c>
      <c r="P28" s="18"/>
      <c r="Q28" s="18"/>
      <c r="R28" s="18"/>
      <c r="S28" s="18"/>
    </row>
    <row r="31" spans="1:26" x14ac:dyDescent="0.35">
      <c r="B31" s="53" t="s">
        <v>131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35">
      <c r="B32" s="17" t="s">
        <v>25</v>
      </c>
      <c r="C32" s="17" t="s">
        <v>26</v>
      </c>
      <c r="D32" s="17" t="s">
        <v>28</v>
      </c>
      <c r="G32" s="17" t="s">
        <v>31</v>
      </c>
      <c r="H32" s="17" t="s">
        <v>32</v>
      </c>
      <c r="K32" s="17" t="s">
        <v>33</v>
      </c>
      <c r="N32" s="17" t="s">
        <v>37</v>
      </c>
      <c r="P32" s="17" t="s">
        <v>38</v>
      </c>
      <c r="Q32" s="17" t="s">
        <v>41</v>
      </c>
      <c r="T32" s="17" t="s">
        <v>52</v>
      </c>
      <c r="U32" s="17" t="s">
        <v>42</v>
      </c>
      <c r="X32" s="17" t="s">
        <v>44</v>
      </c>
      <c r="Y32" s="17" t="s">
        <v>45</v>
      </c>
    </row>
    <row r="33" spans="1:25" x14ac:dyDescent="0.35">
      <c r="A33" s="17" t="s">
        <v>0</v>
      </c>
      <c r="B33" s="16">
        <v>3.2957063311207499E-6</v>
      </c>
      <c r="C33" s="16">
        <v>808165.85985209397</v>
      </c>
      <c r="D33" s="23">
        <f>B33*C33</f>
        <v>2.6634773409101906</v>
      </c>
      <c r="G33" s="17">
        <f>13.5 *10^-18</f>
        <v>1.3500000000000001E-17</v>
      </c>
      <c r="H33" s="20">
        <f>8*G33</f>
        <v>1.08E-16</v>
      </c>
      <c r="K33" s="18">
        <f>H33*$M$38*$M$38</f>
        <v>4.3200000000000002E-16</v>
      </c>
      <c r="N33" s="18">
        <v>213150</v>
      </c>
      <c r="O33" s="18"/>
      <c r="P33" s="18">
        <v>0.30446931614901301</v>
      </c>
      <c r="Q33" s="19">
        <f>P33/$Q$38</f>
        <v>0.15223465807450651</v>
      </c>
      <c r="T33" s="19">
        <f>((2*Q33)/(1-Q33)) + LN(3 - 4*Q33)</f>
        <v>1.2308807411157014</v>
      </c>
      <c r="U33" s="18">
        <f>T33*H33*N33</f>
        <v>2.8335120836631674E-11</v>
      </c>
      <c r="X33" s="18">
        <v>4.0852567669999999E-10</v>
      </c>
      <c r="Y33" s="18">
        <f>X33*$Q$38</f>
        <v>8.1705135339999997E-10</v>
      </c>
    </row>
    <row r="34" spans="1:25" x14ac:dyDescent="0.35">
      <c r="A34" s="17" t="s">
        <v>5</v>
      </c>
      <c r="B34" s="16">
        <v>6.4542385579664696E-6</v>
      </c>
      <c r="C34" s="16">
        <v>1572339.44911124</v>
      </c>
      <c r="D34" s="23">
        <f t="shared" ref="D34:D36" si="10">B34*C34</f>
        <v>10.148253898665523</v>
      </c>
      <c r="G34" s="17">
        <f>14.5 *10^-18</f>
        <v>1.4500000000000001E-17</v>
      </c>
      <c r="H34" s="20">
        <f t="shared" ref="H34:H36" si="11">8*G34</f>
        <v>1.1600000000000001E-16</v>
      </c>
      <c r="K34" s="18">
        <f t="shared" ref="K34:K35" si="12">H34*$M$38*$M$38</f>
        <v>4.6400000000000005E-16</v>
      </c>
      <c r="N34" s="18">
        <v>143890</v>
      </c>
      <c r="O34" s="18"/>
      <c r="P34" s="18">
        <v>0.33633159591603001</v>
      </c>
      <c r="Q34" s="19">
        <f t="shared" ref="Q34:Q35" si="13">P34/$Q$38</f>
        <v>0.16816579795801501</v>
      </c>
      <c r="T34" s="19">
        <f t="shared" ref="T34:T36" si="14">((2*Q34)/(1-Q34)) + LN(3 - 4*Q34)</f>
        <v>1.2490498921803304</v>
      </c>
      <c r="U34" s="18">
        <f t="shared" ref="U34:U35" si="15">T34*H34*N34</f>
        <v>2.084819152235602E-11</v>
      </c>
      <c r="X34" s="18">
        <v>1.0313023509999999E-10</v>
      </c>
      <c r="Y34" s="18">
        <f>X34*$Q$38</f>
        <v>2.0626047019999999E-10</v>
      </c>
    </row>
    <row r="35" spans="1:25" x14ac:dyDescent="0.35">
      <c r="A35" s="17" t="s">
        <v>10</v>
      </c>
      <c r="B35" s="16">
        <v>7.3629028278120594E-6</v>
      </c>
      <c r="C35" s="16">
        <v>23154726.557404701</v>
      </c>
      <c r="D35" s="23">
        <f t="shared" si="10"/>
        <v>170.48600164673007</v>
      </c>
      <c r="G35" s="17">
        <f>14.5 *10^-18</f>
        <v>1.4500000000000001E-17</v>
      </c>
      <c r="H35" s="20">
        <f t="shared" si="11"/>
        <v>1.1600000000000001E-16</v>
      </c>
      <c r="K35" s="18">
        <f t="shared" si="12"/>
        <v>4.6400000000000005E-16</v>
      </c>
      <c r="N35" s="18">
        <v>79859</v>
      </c>
      <c r="O35" s="18"/>
      <c r="P35" s="18">
        <v>0.49822437342513498</v>
      </c>
      <c r="Q35" s="19">
        <f t="shared" si="13"/>
        <v>0.24911218671256749</v>
      </c>
      <c r="T35" s="19">
        <f t="shared" si="14"/>
        <v>1.3584349620664864</v>
      </c>
      <c r="U35" s="18">
        <f t="shared" si="15"/>
        <v>1.2584057885737435E-11</v>
      </c>
      <c r="X35" s="18">
        <v>1.032556475E-10</v>
      </c>
      <c r="Y35" s="18">
        <f>X35*$Q$38</f>
        <v>2.06511295E-10</v>
      </c>
    </row>
    <row r="36" spans="1:25" x14ac:dyDescent="0.35">
      <c r="A36" s="17" t="s">
        <v>23</v>
      </c>
      <c r="B36" s="16">
        <v>1.9997379234998101E-6</v>
      </c>
      <c r="C36" s="16">
        <v>912983.85970785597</v>
      </c>
      <c r="D36" s="23">
        <f t="shared" si="10"/>
        <v>1.8257284478010298</v>
      </c>
      <c r="G36" s="17">
        <f>2.81 *10^-18</f>
        <v>2.8100000000000001E-18</v>
      </c>
      <c r="H36" s="20">
        <f t="shared" si="11"/>
        <v>2.2480000000000001E-17</v>
      </c>
      <c r="K36" s="18">
        <f>H36*M39*M39</f>
        <v>3.2371199999999996E-17</v>
      </c>
      <c r="N36" s="18">
        <v>186560</v>
      </c>
      <c r="O36" s="18"/>
      <c r="P36" s="18">
        <v>0.17616846904109501</v>
      </c>
      <c r="Q36" s="19">
        <f>P36/$Q$39</f>
        <v>0.14680705753424586</v>
      </c>
      <c r="T36" s="19">
        <f t="shared" si="14"/>
        <v>1.224911857089799</v>
      </c>
      <c r="U36" s="18">
        <f>T36*H36*N36</f>
        <v>5.137119620198967E-12</v>
      </c>
      <c r="X36" s="18">
        <f>7.769*10^-9</f>
        <v>7.769E-9</v>
      </c>
      <c r="Y36" s="18">
        <f>X36*$Q$39</f>
        <v>9.3227999999999993E-9</v>
      </c>
    </row>
    <row r="37" spans="1:25" x14ac:dyDescent="0.35">
      <c r="X37" s="18"/>
      <c r="Y37" s="18"/>
    </row>
    <row r="38" spans="1:25" x14ac:dyDescent="0.35">
      <c r="C38" s="12" t="s">
        <v>135</v>
      </c>
      <c r="D38" s="12" t="s">
        <v>28</v>
      </c>
      <c r="K38" s="17" t="s">
        <v>35</v>
      </c>
      <c r="L38" s="17">
        <v>1</v>
      </c>
      <c r="M38" s="17">
        <v>2</v>
      </c>
      <c r="P38" s="17" t="s">
        <v>39</v>
      </c>
      <c r="Q38" s="17">
        <v>2</v>
      </c>
    </row>
    <row r="39" spans="1:25" x14ac:dyDescent="0.35">
      <c r="C39" s="16">
        <v>4619787.4905178696</v>
      </c>
      <c r="D39" s="23">
        <f>B33*C39</f>
        <v>15.225462880932184</v>
      </c>
      <c r="K39" s="17" t="s">
        <v>36</v>
      </c>
      <c r="L39" s="17">
        <v>0.6</v>
      </c>
      <c r="M39" s="17">
        <v>1.2</v>
      </c>
      <c r="P39" s="17" t="s">
        <v>40</v>
      </c>
      <c r="Q39" s="17">
        <v>1.2</v>
      </c>
    </row>
    <row r="40" spans="1:25" x14ac:dyDescent="0.35">
      <c r="C40" s="16">
        <v>617075804.30610204</v>
      </c>
      <c r="D40" s="23">
        <f t="shared" ref="D40:D42" si="16">B34*C40</f>
        <v>3982.7544493406153</v>
      </c>
    </row>
    <row r="41" spans="1:25" x14ac:dyDescent="0.35">
      <c r="C41" s="16">
        <v>922569648.68297601</v>
      </c>
      <c r="D41" s="23">
        <f>B35*C41</f>
        <v>6792.7906751414621</v>
      </c>
    </row>
    <row r="42" spans="1:25" x14ac:dyDescent="0.35">
      <c r="C42" s="16">
        <v>58170689.260848902</v>
      </c>
      <c r="D42" s="23">
        <f t="shared" si="16"/>
        <v>116.32613335104269</v>
      </c>
    </row>
    <row r="45" spans="1:25" x14ac:dyDescent="0.35">
      <c r="B45" s="17" t="s">
        <v>46</v>
      </c>
      <c r="D45" s="17" t="s">
        <v>47</v>
      </c>
      <c r="E45" s="17" t="s">
        <v>48</v>
      </c>
      <c r="F45" s="17" t="s">
        <v>49</v>
      </c>
      <c r="G45" s="17" t="s">
        <v>50</v>
      </c>
      <c r="H45" s="17" t="s">
        <v>34</v>
      </c>
      <c r="L45" s="17" t="s">
        <v>46</v>
      </c>
      <c r="M45" s="17" t="s">
        <v>47</v>
      </c>
      <c r="N45" s="17" t="s">
        <v>48</v>
      </c>
      <c r="O45" s="17" t="s">
        <v>49</v>
      </c>
      <c r="P45" s="17" t="s">
        <v>50</v>
      </c>
      <c r="Q45" s="17" t="s">
        <v>34</v>
      </c>
    </row>
    <row r="46" spans="1:25" x14ac:dyDescent="0.35">
      <c r="A46" s="17" t="s">
        <v>0</v>
      </c>
      <c r="B46" s="36">
        <f>D33</f>
        <v>2.6634773409101906</v>
      </c>
      <c r="C46" s="23">
        <f>D39</f>
        <v>15.225462880932184</v>
      </c>
      <c r="D46" s="19">
        <f>Q33</f>
        <v>0.15223465807450651</v>
      </c>
      <c r="E46" s="18">
        <f>N33</f>
        <v>213150</v>
      </c>
      <c r="F46" s="18">
        <f>U33</f>
        <v>2.8335120836631674E-11</v>
      </c>
      <c r="G46" s="18">
        <f>Y33</f>
        <v>8.1705135339999997E-10</v>
      </c>
      <c r="H46" s="18">
        <f>K33</f>
        <v>4.3200000000000002E-16</v>
      </c>
      <c r="L46" s="34" t="s">
        <v>132</v>
      </c>
      <c r="M46" s="19">
        <v>0.15223465807450651</v>
      </c>
      <c r="N46" s="35" t="s">
        <v>136</v>
      </c>
      <c r="O46" s="35" t="s">
        <v>140</v>
      </c>
      <c r="P46" s="12" t="s">
        <v>144</v>
      </c>
      <c r="Q46" s="12" t="s">
        <v>147</v>
      </c>
    </row>
    <row r="47" spans="1:25" x14ac:dyDescent="0.35">
      <c r="A47" s="17" t="s">
        <v>5</v>
      </c>
      <c r="B47" s="36">
        <f t="shared" ref="B47:B49" si="17">D34</f>
        <v>10.148253898665523</v>
      </c>
      <c r="C47" s="23">
        <f t="shared" ref="C47:C49" si="18">D40</f>
        <v>3982.7544493406153</v>
      </c>
      <c r="D47" s="19">
        <f t="shared" ref="D47:D49" si="19">Q34</f>
        <v>0.16816579795801501</v>
      </c>
      <c r="E47" s="18">
        <f t="shared" ref="E47:E49" si="20">N34</f>
        <v>143890</v>
      </c>
      <c r="F47" s="18">
        <f t="shared" ref="F47:F49" si="21">U34</f>
        <v>2.084819152235602E-11</v>
      </c>
      <c r="G47" s="18">
        <f t="shared" ref="G47:G49" si="22">Y34</f>
        <v>2.0626047019999999E-10</v>
      </c>
      <c r="H47" s="18">
        <f t="shared" ref="H47:H49" si="23">K34</f>
        <v>4.6400000000000005E-16</v>
      </c>
      <c r="L47" s="34" t="s">
        <v>133</v>
      </c>
      <c r="M47" s="19">
        <v>0.16816579795801501</v>
      </c>
      <c r="N47" s="35" t="s">
        <v>137</v>
      </c>
      <c r="O47" s="35" t="s">
        <v>141</v>
      </c>
      <c r="P47" s="12" t="s">
        <v>145</v>
      </c>
      <c r="Q47" s="12" t="s">
        <v>148</v>
      </c>
    </row>
    <row r="48" spans="1:25" x14ac:dyDescent="0.35">
      <c r="A48" s="17" t="s">
        <v>10</v>
      </c>
      <c r="B48" s="36">
        <f t="shared" si="17"/>
        <v>170.48600164673007</v>
      </c>
      <c r="C48" s="23">
        <f>D41</f>
        <v>6792.7906751414621</v>
      </c>
      <c r="D48" s="19">
        <f t="shared" si="19"/>
        <v>0.24911218671256749</v>
      </c>
      <c r="E48" s="18">
        <f t="shared" si="20"/>
        <v>79859</v>
      </c>
      <c r="F48" s="18">
        <f t="shared" si="21"/>
        <v>1.2584057885737435E-11</v>
      </c>
      <c r="G48" s="18">
        <f t="shared" si="22"/>
        <v>2.06511295E-10</v>
      </c>
      <c r="H48" s="18">
        <f t="shared" si="23"/>
        <v>4.6400000000000005E-16</v>
      </c>
      <c r="L48" s="34" t="s">
        <v>150</v>
      </c>
      <c r="M48" s="19">
        <v>0.24911218671256749</v>
      </c>
      <c r="N48" s="35" t="s">
        <v>138</v>
      </c>
      <c r="O48" s="35" t="s">
        <v>142</v>
      </c>
      <c r="P48" s="12" t="s">
        <v>145</v>
      </c>
      <c r="Q48" s="12" t="s">
        <v>148</v>
      </c>
    </row>
    <row r="49" spans="1:17" x14ac:dyDescent="0.35">
      <c r="A49" s="17" t="s">
        <v>23</v>
      </c>
      <c r="B49" s="36">
        <f t="shared" si="17"/>
        <v>1.8257284478010298</v>
      </c>
      <c r="C49" s="23">
        <f t="shared" si="18"/>
        <v>116.32613335104269</v>
      </c>
      <c r="D49" s="19">
        <f t="shared" si="19"/>
        <v>0.14680705753424586</v>
      </c>
      <c r="E49" s="18">
        <f t="shared" si="20"/>
        <v>186560</v>
      </c>
      <c r="F49" s="18">
        <f t="shared" si="21"/>
        <v>5.137119620198967E-12</v>
      </c>
      <c r="G49" s="18">
        <f t="shared" si="22"/>
        <v>9.3227999999999993E-9</v>
      </c>
      <c r="H49" s="18">
        <f t="shared" si="23"/>
        <v>3.2371199999999996E-17</v>
      </c>
      <c r="L49" s="34" t="s">
        <v>134</v>
      </c>
      <c r="M49" s="19">
        <v>0.14680705753424586</v>
      </c>
      <c r="N49" s="35" t="s">
        <v>139</v>
      </c>
      <c r="O49" s="35" t="s">
        <v>143</v>
      </c>
      <c r="P49" s="12" t="s">
        <v>146</v>
      </c>
      <c r="Q49" s="12" t="s">
        <v>149</v>
      </c>
    </row>
    <row r="51" spans="1:17" x14ac:dyDescent="0.35">
      <c r="B51" s="12" t="s">
        <v>151</v>
      </c>
      <c r="C51" s="12" t="s">
        <v>154</v>
      </c>
    </row>
    <row r="53" spans="1:17" x14ac:dyDescent="0.35">
      <c r="B53" s="12" t="s">
        <v>172</v>
      </c>
    </row>
    <row r="54" spans="1:17" x14ac:dyDescent="0.35">
      <c r="B54" s="19">
        <f>20*LOG10(B46)</f>
        <v>8.508980128972043</v>
      </c>
      <c r="C54" s="19">
        <f>20*LOG10(C46)</f>
        <v>23.651410096480937</v>
      </c>
    </row>
    <row r="55" spans="1:17" x14ac:dyDescent="0.35">
      <c r="B55" s="19">
        <f t="shared" ref="B55:C55" si="24">20*LOG10(B47)</f>
        <v>20.127826485558323</v>
      </c>
      <c r="C55" s="19">
        <f t="shared" si="24"/>
        <v>72.00367062939803</v>
      </c>
    </row>
    <row r="56" spans="1:17" x14ac:dyDescent="0.35">
      <c r="B56" s="19">
        <f t="shared" ref="B56:C56" si="25">20*LOG10(B48)</f>
        <v>44.633774510305273</v>
      </c>
      <c r="C56" s="19">
        <f t="shared" si="25"/>
        <v>76.640964633838152</v>
      </c>
    </row>
    <row r="57" spans="1:17" x14ac:dyDescent="0.35">
      <c r="B57" s="19">
        <f t="shared" ref="B57:C57" si="26">20*LOG10(B49)</f>
        <v>5.2287236524471439</v>
      </c>
      <c r="C57" s="19">
        <f t="shared" si="26"/>
        <v>41.313545850060301</v>
      </c>
    </row>
  </sheetData>
  <dataConsolidate/>
  <mergeCells count="1">
    <mergeCell ref="B31:Z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9"/>
  <sheetViews>
    <sheetView topLeftCell="A8" workbookViewId="0">
      <selection sqref="A1:L24"/>
    </sheetView>
  </sheetViews>
  <sheetFormatPr defaultRowHeight="14.5" x14ac:dyDescent="0.35"/>
  <cols>
    <col min="2" max="2" width="12" bestFit="1" customWidth="1"/>
    <col min="3" max="3" width="12.36328125" bestFit="1" customWidth="1"/>
    <col min="4" max="12" width="13.453125" bestFit="1" customWidth="1"/>
    <col min="19" max="19" width="9" bestFit="1" customWidth="1"/>
    <col min="23" max="25" width="9" bestFit="1" customWidth="1"/>
  </cols>
  <sheetData>
    <row r="1" spans="1:41" x14ac:dyDescent="0.35">
      <c r="A1" t="s">
        <v>67</v>
      </c>
    </row>
    <row r="2" spans="1:41" x14ac:dyDescent="0.35">
      <c r="A2" s="5" t="s">
        <v>55</v>
      </c>
      <c r="B2" s="3">
        <v>1.3241931084817</v>
      </c>
      <c r="C2" s="3">
        <v>1.9028253628009699</v>
      </c>
      <c r="D2" s="3">
        <v>0.87933599011825103</v>
      </c>
      <c r="E2" s="3">
        <v>0.408195371811305</v>
      </c>
      <c r="F2" s="3">
        <v>0.21934881606432199</v>
      </c>
      <c r="G2" s="3">
        <v>0.130734162128648</v>
      </c>
      <c r="H2" s="3">
        <v>8.3982895589503601E-2</v>
      </c>
      <c r="I2" s="3">
        <v>5.7117425582713599E-2</v>
      </c>
      <c r="J2" s="3">
        <v>4.0640877667621103E-2</v>
      </c>
      <c r="K2" s="3">
        <v>3.0001032013505902E-2</v>
      </c>
      <c r="L2" s="3">
        <v>2.2834722560516298E-2</v>
      </c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41" x14ac:dyDescent="0.35">
      <c r="A3" s="5" t="s">
        <v>56</v>
      </c>
      <c r="B3" s="3">
        <v>5.35191306523833</v>
      </c>
      <c r="C3" s="3">
        <v>2.8479748923410702</v>
      </c>
      <c r="D3" s="3">
        <v>0.92563982172986803</v>
      </c>
      <c r="E3" s="3">
        <v>0.41366628554221602</v>
      </c>
      <c r="F3" s="3">
        <v>0.22039701182024399</v>
      </c>
      <c r="G3" s="3">
        <v>0.13105692709047201</v>
      </c>
      <c r="H3" s="3">
        <v>8.4158954060498295E-2</v>
      </c>
      <c r="I3" s="3">
        <v>5.72609115485243E-2</v>
      </c>
      <c r="J3" s="3">
        <v>4.0777301557391898E-2</v>
      </c>
      <c r="K3" s="3">
        <v>3.0136407817770799E-2</v>
      </c>
      <c r="L3" s="3">
        <v>2.2970415174282902E-2</v>
      </c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41" x14ac:dyDescent="0.35">
      <c r="A4" s="5" t="s">
        <v>57</v>
      </c>
      <c r="B4" s="3">
        <v>5.4899035503634597</v>
      </c>
      <c r="C4" s="3">
        <v>3.2133766121716301</v>
      </c>
      <c r="D4" s="3">
        <v>1.05284113879232</v>
      </c>
      <c r="E4" s="3">
        <v>0.474093363912925</v>
      </c>
      <c r="F4" s="3">
        <v>0.254671048181282</v>
      </c>
      <c r="G4" s="3">
        <v>0.15256653716048399</v>
      </c>
      <c r="H4" s="3">
        <v>9.85901891662124E-2</v>
      </c>
      <c r="I4" s="3">
        <v>6.7431508964537396E-2</v>
      </c>
      <c r="J4" s="3">
        <v>4.8230800997845602E-2</v>
      </c>
      <c r="K4" s="3">
        <v>3.5779485547535801E-2</v>
      </c>
      <c r="L4" s="3">
        <v>2.73642401728111E-2</v>
      </c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41" x14ac:dyDescent="0.35">
      <c r="A5" s="5" t="s">
        <v>58</v>
      </c>
      <c r="B5" s="3">
        <v>1.9997379234998101</v>
      </c>
      <c r="C5" s="3">
        <v>0.51026897288270001</v>
      </c>
      <c r="D5" s="3">
        <v>0.110290062482718</v>
      </c>
      <c r="E5" s="3">
        <v>4.0169065680126598E-2</v>
      </c>
      <c r="F5" s="3">
        <v>1.84290680838218E-2</v>
      </c>
      <c r="G5" s="3">
        <v>9.6432159322324806E-3</v>
      </c>
      <c r="H5" s="3">
        <v>5.50192702912635E-3</v>
      </c>
      <c r="I5" s="3">
        <v>3.3442348125081599E-3</v>
      </c>
      <c r="J5" s="3">
        <v>2.1362792166021898E-3</v>
      </c>
      <c r="K5" s="3">
        <v>1.4214177260660401E-3</v>
      </c>
      <c r="L5" s="3">
        <v>9.790797807343011E-4</v>
      </c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41" x14ac:dyDescent="0.35">
      <c r="F6" s="1"/>
      <c r="G6" s="1"/>
      <c r="H6" s="1"/>
      <c r="I6" s="1"/>
      <c r="J6" s="1"/>
      <c r="K6" s="1"/>
      <c r="L6" s="1"/>
    </row>
    <row r="7" spans="1:41" x14ac:dyDescent="0.35">
      <c r="A7" t="s">
        <v>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t="s">
        <v>62</v>
      </c>
      <c r="O7" t="s">
        <v>59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t="s">
        <v>62</v>
      </c>
      <c r="AC7" t="s">
        <v>59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t="s">
        <v>63</v>
      </c>
    </row>
    <row r="8" spans="1:41" x14ac:dyDescent="0.35">
      <c r="A8" t="s">
        <v>55</v>
      </c>
      <c r="B8" s="1">
        <v>1466023.0257518</v>
      </c>
      <c r="C8" s="1">
        <v>71180507.112251595</v>
      </c>
      <c r="D8" s="1">
        <v>15391042727.812099</v>
      </c>
      <c r="E8" s="1">
        <v>28530045718.931301</v>
      </c>
      <c r="F8" s="1">
        <v>33657867646.536701</v>
      </c>
      <c r="G8" s="1">
        <v>36940383181.028999</v>
      </c>
      <c r="H8" s="1">
        <v>39538412424.194702</v>
      </c>
      <c r="I8" s="1">
        <v>41795376300.841698</v>
      </c>
      <c r="J8" s="1">
        <v>43845143729.218803</v>
      </c>
      <c r="K8" s="1">
        <v>45749413628.654198</v>
      </c>
      <c r="L8" s="1">
        <v>47540903442.757103</v>
      </c>
      <c r="M8" s="5">
        <v>1</v>
      </c>
      <c r="O8" t="s">
        <v>55</v>
      </c>
      <c r="P8" s="1">
        <v>711539.45128415595</v>
      </c>
      <c r="Q8" s="1">
        <v>2711525.47721837</v>
      </c>
      <c r="R8" s="1">
        <v>31165959.3163325</v>
      </c>
      <c r="S8" s="1">
        <v>161682063.85807601</v>
      </c>
      <c r="T8" s="1">
        <v>486205490.001001</v>
      </c>
      <c r="U8" s="1">
        <v>949466960.74735105</v>
      </c>
      <c r="V8" s="1">
        <v>1358261344.7878301</v>
      </c>
      <c r="W8" s="1">
        <v>1620948647.4977801</v>
      </c>
      <c r="X8" s="1">
        <v>1766019715.0035501</v>
      </c>
      <c r="Y8" s="1">
        <v>1842498405.7537401</v>
      </c>
      <c r="Z8" s="1">
        <v>1883142945.8427</v>
      </c>
      <c r="AA8" s="5">
        <v>1</v>
      </c>
      <c r="AC8" t="s">
        <v>55</v>
      </c>
      <c r="AD8" s="1">
        <v>1807738.5473535201</v>
      </c>
      <c r="AE8" s="1">
        <v>347614517.14402699</v>
      </c>
      <c r="AF8" s="1">
        <v>19382076139.521301</v>
      </c>
      <c r="AG8" s="1">
        <v>29695140166.139801</v>
      </c>
      <c r="AH8" s="1">
        <v>35014765087.602699</v>
      </c>
      <c r="AI8" s="1">
        <v>38745606316.346397</v>
      </c>
      <c r="AJ8" s="1">
        <v>41758908584.983803</v>
      </c>
      <c r="AK8" s="1">
        <v>44375315558.900002</v>
      </c>
      <c r="AL8" s="1">
        <v>46737115106.063301</v>
      </c>
      <c r="AM8" s="1">
        <v>48916268712.495796</v>
      </c>
      <c r="AN8" s="1">
        <v>50953735163.2687</v>
      </c>
      <c r="AO8" s="5">
        <v>2</v>
      </c>
    </row>
    <row r="9" spans="1:41" x14ac:dyDescent="0.35">
      <c r="A9" t="s">
        <v>56</v>
      </c>
      <c r="B9" s="1">
        <v>64126084.628825702</v>
      </c>
      <c r="C9" s="1">
        <v>5380947596.5855904</v>
      </c>
      <c r="D9" s="1">
        <v>116050394358.49699</v>
      </c>
      <c r="E9" s="1">
        <v>434137826601.28802</v>
      </c>
      <c r="F9" s="1">
        <v>752324392502.23206</v>
      </c>
      <c r="G9" s="1">
        <v>951556269620.54004</v>
      </c>
      <c r="H9" s="1">
        <v>1073458852954.54</v>
      </c>
      <c r="I9" s="1">
        <v>1157554522789.28</v>
      </c>
      <c r="J9" s="1">
        <v>1222553525525.1699</v>
      </c>
      <c r="K9" s="1">
        <v>1276858095274.27</v>
      </c>
      <c r="L9" s="1">
        <v>1324517344939.8501</v>
      </c>
      <c r="M9" s="5">
        <v>1</v>
      </c>
      <c r="O9" t="s">
        <v>56</v>
      </c>
      <c r="P9" s="1">
        <v>1068134.2785413801</v>
      </c>
      <c r="Q9" s="1">
        <v>7591745.5902971998</v>
      </c>
      <c r="R9" s="1">
        <v>73190030.890538096</v>
      </c>
      <c r="S9" s="1">
        <v>282301027.11680198</v>
      </c>
      <c r="T9" s="1">
        <v>702640929.99529898</v>
      </c>
      <c r="U9" s="1">
        <v>1268667292.51492</v>
      </c>
      <c r="V9" s="1">
        <v>1794585237.7511899</v>
      </c>
      <c r="W9" s="1">
        <v>2159944162.4660802</v>
      </c>
      <c r="X9" s="1">
        <v>2370442447.7161698</v>
      </c>
      <c r="Y9" s="1">
        <v>2479116595.16329</v>
      </c>
      <c r="Z9" s="1">
        <v>2531143485.15237</v>
      </c>
      <c r="AA9" s="5">
        <v>1</v>
      </c>
      <c r="AC9" t="s">
        <v>56</v>
      </c>
      <c r="AD9" s="1">
        <v>231942442.809668</v>
      </c>
      <c r="AE9" s="1">
        <v>9443480127.7497005</v>
      </c>
      <c r="AF9" s="1">
        <v>160195951569.77899</v>
      </c>
      <c r="AG9" s="1">
        <v>579522177735.95496</v>
      </c>
      <c r="AH9" s="1">
        <v>999714080988.29102</v>
      </c>
      <c r="AI9" s="1">
        <v>1264524645317.29</v>
      </c>
      <c r="AJ9" s="1">
        <v>1426745193643.3</v>
      </c>
      <c r="AK9" s="1">
        <v>1538671033352.3201</v>
      </c>
      <c r="AL9" s="1">
        <v>1625034896473.0801</v>
      </c>
      <c r="AM9" s="1">
        <v>1697158666684.8799</v>
      </c>
      <c r="AN9" s="1">
        <v>1760455055264.3899</v>
      </c>
      <c r="AO9" s="5">
        <v>2</v>
      </c>
    </row>
    <row r="10" spans="1:41" x14ac:dyDescent="0.35">
      <c r="A10" t="s">
        <v>57</v>
      </c>
      <c r="B10" s="8">
        <v>36335515.928372301</v>
      </c>
      <c r="C10" s="8">
        <v>1688775524.4194901</v>
      </c>
      <c r="D10" s="1">
        <v>3635922135.93573</v>
      </c>
      <c r="E10" s="1">
        <v>4940700802.1421404</v>
      </c>
      <c r="F10" s="1">
        <v>5761117522.84585</v>
      </c>
      <c r="G10" s="1">
        <v>6974477554.7626696</v>
      </c>
      <c r="H10" s="1">
        <v>5825258770.4213305</v>
      </c>
      <c r="I10" s="1">
        <v>6250025332.6575603</v>
      </c>
      <c r="J10" s="1">
        <v>6606858416.0879297</v>
      </c>
      <c r="K10" s="1">
        <v>6606180995.7659597</v>
      </c>
      <c r="L10" s="1">
        <v>6467690018.3301897</v>
      </c>
      <c r="M10" s="5">
        <v>1</v>
      </c>
      <c r="O10" t="s">
        <v>57</v>
      </c>
      <c r="P10" s="7">
        <v>2456863.6602008399</v>
      </c>
      <c r="Q10" s="7">
        <v>31657096.595284302</v>
      </c>
      <c r="R10" s="1">
        <v>864328026.25847304</v>
      </c>
      <c r="S10" s="1">
        <v>6642589310.0776997</v>
      </c>
      <c r="T10" s="1">
        <v>41625781617.458702</v>
      </c>
      <c r="U10" s="1">
        <v>575339741102.24902</v>
      </c>
      <c r="V10" s="1">
        <v>205878956841.91501</v>
      </c>
      <c r="W10" s="1">
        <v>-27765112885.659599</v>
      </c>
      <c r="X10" s="1">
        <v>-397125158787.18597</v>
      </c>
      <c r="Y10" s="1">
        <v>-17882578982.27</v>
      </c>
      <c r="Z10" s="1">
        <v>36410099739.0084</v>
      </c>
      <c r="AA10" s="5">
        <v>1</v>
      </c>
      <c r="AC10" t="s">
        <v>57</v>
      </c>
      <c r="AD10" s="8">
        <v>113735244.74086399</v>
      </c>
      <c r="AE10" s="8">
        <v>847261750.575827</v>
      </c>
      <c r="AF10" s="1">
        <v>1517723169.49946</v>
      </c>
      <c r="AG10" s="1">
        <v>1662131425.42874</v>
      </c>
      <c r="AH10" s="1">
        <v>1727278852.9898601</v>
      </c>
      <c r="AI10" s="1">
        <v>1935681340.60783</v>
      </c>
      <c r="AJ10" s="1">
        <v>1785575767.1705201</v>
      </c>
      <c r="AK10" s="1">
        <v>1720336258.6591799</v>
      </c>
      <c r="AL10" s="1">
        <v>1697105621.13164</v>
      </c>
      <c r="AM10" s="1">
        <v>1681466052.42625</v>
      </c>
      <c r="AN10" s="1">
        <v>1670234566.36236</v>
      </c>
      <c r="AO10" s="5">
        <v>2</v>
      </c>
    </row>
    <row r="11" spans="1:41" x14ac:dyDescent="0.35">
      <c r="A11" t="s">
        <v>58</v>
      </c>
      <c r="B11" s="1">
        <v>58170689.260848902</v>
      </c>
      <c r="C11" s="1">
        <v>275897820.85442197</v>
      </c>
      <c r="D11" s="1">
        <v>1072046604.897</v>
      </c>
      <c r="E11" s="1">
        <v>1871324240.5893199</v>
      </c>
      <c r="F11" s="1">
        <v>2529089333.8796902</v>
      </c>
      <c r="G11" s="1">
        <v>3054647935.8373699</v>
      </c>
      <c r="H11" s="1">
        <v>3463833556.7624302</v>
      </c>
      <c r="I11" s="1">
        <v>3783031825.46385</v>
      </c>
      <c r="J11" s="1">
        <v>4032895880.6023102</v>
      </c>
      <c r="K11" s="1">
        <v>4230164402.91642</v>
      </c>
      <c r="L11" s="1">
        <v>4384728710.3281298</v>
      </c>
      <c r="M11" s="5">
        <v>0.6</v>
      </c>
      <c r="O11" t="s">
        <v>58</v>
      </c>
      <c r="P11" s="1">
        <v>912983.85970785597</v>
      </c>
      <c r="Q11" s="1">
        <v>2322226.5891535501</v>
      </c>
      <c r="R11" s="1">
        <v>9096668.7351095006</v>
      </c>
      <c r="S11" s="1">
        <v>22099356.8797048</v>
      </c>
      <c r="T11" s="1">
        <v>41666993.575386703</v>
      </c>
      <c r="U11" s="1">
        <v>68105439.963671997</v>
      </c>
      <c r="V11" s="1">
        <v>101908458.37417699</v>
      </c>
      <c r="W11" s="1">
        <v>143652425.51023901</v>
      </c>
      <c r="X11" s="1">
        <v>193900164.75194401</v>
      </c>
      <c r="Y11" s="1">
        <v>253127698.530532</v>
      </c>
      <c r="Z11" s="1">
        <v>321727556.95594299</v>
      </c>
      <c r="AA11" s="5">
        <v>0.6</v>
      </c>
      <c r="AC11" t="s">
        <v>58</v>
      </c>
      <c r="AD11" s="1">
        <v>99595449.210369304</v>
      </c>
      <c r="AE11" s="1">
        <v>339538749.01341897</v>
      </c>
      <c r="AF11" s="1">
        <v>791519363.597893</v>
      </c>
      <c r="AG11" s="1">
        <v>1052430193.21759</v>
      </c>
      <c r="AH11" s="1">
        <v>1197663533.54865</v>
      </c>
      <c r="AI11" s="1">
        <v>1302745315.7750001</v>
      </c>
      <c r="AJ11" s="1">
        <v>1383555465.6210001</v>
      </c>
      <c r="AK11" s="1">
        <v>1440421596.56407</v>
      </c>
      <c r="AL11" s="1">
        <v>1480531955.59322</v>
      </c>
      <c r="AM11" s="1">
        <v>1507364538.0257699</v>
      </c>
      <c r="AN11" s="1">
        <v>1525092154.3215401</v>
      </c>
      <c r="AO11" s="5">
        <v>1.2</v>
      </c>
    </row>
    <row r="12" spans="1:4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41" x14ac:dyDescent="0.35">
      <c r="B13" s="9">
        <v>811630.32518587203</v>
      </c>
      <c r="C13" s="9">
        <v>1583007.6984806</v>
      </c>
      <c r="D13" s="9">
        <v>27508810.324634299</v>
      </c>
      <c r="E13" s="9">
        <v>3354301.90849793</v>
      </c>
      <c r="F13" s="1"/>
      <c r="G13" s="1"/>
      <c r="H13" s="1"/>
      <c r="I13" s="1"/>
      <c r="J13" s="1"/>
      <c r="K13" s="1"/>
      <c r="L13" s="1"/>
    </row>
    <row r="14" spans="1:41" x14ac:dyDescent="0.35">
      <c r="A14" t="s">
        <v>66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41" x14ac:dyDescent="0.35">
      <c r="A15" t="s">
        <v>55</v>
      </c>
      <c r="B15" s="1">
        <v>5712235.2256464399</v>
      </c>
      <c r="C15" s="1">
        <v>5200762.8093423704</v>
      </c>
      <c r="D15" s="1">
        <v>40469365.516603999</v>
      </c>
      <c r="E15" s="1">
        <v>42855015.680774003</v>
      </c>
      <c r="F15" s="1">
        <v>426993036.400042</v>
      </c>
      <c r="G15" s="1">
        <v>672282439.873505</v>
      </c>
      <c r="H15" s="1">
        <v>759377651.16180503</v>
      </c>
      <c r="I15" s="1">
        <v>712874255.48826396</v>
      </c>
      <c r="J15" s="1">
        <v>615020905.47160697</v>
      </c>
      <c r="K15" s="1">
        <v>514133884.05577201</v>
      </c>
      <c r="L15" s="1">
        <v>426583902.90815198</v>
      </c>
    </row>
    <row r="16" spans="1:41" x14ac:dyDescent="0.35">
      <c r="A16" t="s">
        <v>56</v>
      </c>
      <c r="B16" s="1">
        <v>5842197.3475714698</v>
      </c>
      <c r="C16" s="1">
        <v>28209549.647539701</v>
      </c>
      <c r="D16" s="1">
        <v>184879664.14287901</v>
      </c>
      <c r="E16" s="1">
        <v>82137529.399330899</v>
      </c>
      <c r="F16" s="1">
        <v>850100268.25398898</v>
      </c>
      <c r="G16" s="1">
        <v>1090206034.61812</v>
      </c>
      <c r="H16" s="1">
        <v>1129521027.2891099</v>
      </c>
      <c r="I16" s="1">
        <v>1024623590.3563499</v>
      </c>
      <c r="J16" s="1">
        <v>868968050.38883805</v>
      </c>
      <c r="K16" s="1">
        <v>717515426.85990298</v>
      </c>
      <c r="L16" s="1">
        <v>589066686.64161694</v>
      </c>
    </row>
    <row r="17" spans="1:16" x14ac:dyDescent="0.35">
      <c r="A17" t="s">
        <v>57</v>
      </c>
      <c r="B17" s="1" t="s">
        <v>24</v>
      </c>
      <c r="C17" s="1" t="s">
        <v>24</v>
      </c>
      <c r="D17" s="1">
        <v>2328260414.8419299</v>
      </c>
      <c r="E17" s="1">
        <v>246467918.94690299</v>
      </c>
      <c r="F17" s="1">
        <v>52404290923.4888</v>
      </c>
      <c r="G17" s="1">
        <v>506077776842.78497</v>
      </c>
      <c r="H17" s="1">
        <v>131620466746.86</v>
      </c>
      <c r="I17" s="1">
        <v>-13386187328.267</v>
      </c>
      <c r="J17" s="1">
        <v>-148022446602.04099</v>
      </c>
      <c r="K17" s="1">
        <v>-5262941381.1320696</v>
      </c>
      <c r="L17" s="1">
        <v>8615745577.9556293</v>
      </c>
    </row>
    <row r="18" spans="1:16" x14ac:dyDescent="0.35">
      <c r="A18" t="s">
        <v>58</v>
      </c>
      <c r="B18" s="1">
        <v>661211157.86951101</v>
      </c>
      <c r="C18" s="1">
        <v>1297394916.3362701</v>
      </c>
      <c r="D18" s="1">
        <v>1374446429.7790401</v>
      </c>
      <c r="E18" s="1">
        <v>1541284994.8352699</v>
      </c>
      <c r="F18" s="1">
        <v>722374562.56905305</v>
      </c>
      <c r="G18" s="1">
        <v>553075696.11319304</v>
      </c>
      <c r="H18" s="1">
        <v>417658595.38560599</v>
      </c>
      <c r="I18" s="1">
        <v>340540871.76860201</v>
      </c>
      <c r="J18" s="1">
        <v>278295658.43648601</v>
      </c>
      <c r="K18" s="1">
        <v>236078943.25658101</v>
      </c>
      <c r="L18" s="1">
        <v>210629429.809569</v>
      </c>
    </row>
    <row r="20" spans="1:16" x14ac:dyDescent="0.35">
      <c r="A20" t="s">
        <v>60</v>
      </c>
    </row>
    <row r="21" spans="1:16" x14ac:dyDescent="0.35">
      <c r="B21" s="5">
        <f>B2*B8*10^(-6)</f>
        <v>1.9412975875760234</v>
      </c>
      <c r="C21" s="5">
        <f t="shared" ref="C21:L21" si="0">C2*C8*10^(-6)</f>
        <v>135.44407427022716</v>
      </c>
      <c r="D21" s="5">
        <f t="shared" si="0"/>
        <v>13533.89779601296</v>
      </c>
      <c r="E21" s="5">
        <f t="shared" si="0"/>
        <v>11645.832620032692</v>
      </c>
      <c r="F21" s="5">
        <f t="shared" si="0"/>
        <v>7382.8134195174725</v>
      </c>
      <c r="G21" s="5">
        <f t="shared" si="0"/>
        <v>4829.3700438830265</v>
      </c>
      <c r="H21" s="5">
        <f t="shared" si="0"/>
        <v>3320.5503623958753</v>
      </c>
      <c r="I21" s="5">
        <f t="shared" si="0"/>
        <v>2387.2442955648376</v>
      </c>
      <c r="J21" s="5">
        <f t="shared" si="0"/>
        <v>1781.9051226184458</v>
      </c>
      <c r="K21" s="5">
        <f t="shared" si="0"/>
        <v>1372.5296228723778</v>
      </c>
      <c r="L21" s="5">
        <f t="shared" si="0"/>
        <v>1085.5833403916524</v>
      </c>
    </row>
    <row r="22" spans="1:16" x14ac:dyDescent="0.35">
      <c r="B22" s="5">
        <f t="shared" ref="B22:L22" si="1">B3*B9*10^(-6)</f>
        <v>343.19723014759109</v>
      </c>
      <c r="C22" s="5">
        <f t="shared" si="1"/>
        <v>15324.803652078786</v>
      </c>
      <c r="D22" s="5">
        <f t="shared" si="1"/>
        <v>107420.86634568003</v>
      </c>
      <c r="E22" s="5">
        <f t="shared" si="1"/>
        <v>179588.18214352548</v>
      </c>
      <c r="F22" s="5">
        <f t="shared" si="1"/>
        <v>165810.0480269723</v>
      </c>
      <c r="G22" s="5">
        <f t="shared" si="1"/>
        <v>124708.04065014064</v>
      </c>
      <c r="H22" s="5">
        <f t="shared" si="1"/>
        <v>90341.174291636315</v>
      </c>
      <c r="I22" s="5">
        <f t="shared" si="1"/>
        <v>66282.627142031211</v>
      </c>
      <c r="J22" s="5">
        <f t="shared" si="1"/>
        <v>49852.433780392472</v>
      </c>
      <c r="K22" s="5">
        <f t="shared" si="1"/>
        <v>38479.91628460744</v>
      </c>
      <c r="L22" s="5">
        <f t="shared" si="1"/>
        <v>30424.713318807229</v>
      </c>
    </row>
    <row r="23" spans="1:16" x14ac:dyDescent="0.35">
      <c r="B23" s="5">
        <f t="shared" ref="B23:L23" si="2">B4*B10*10^(-6)</f>
        <v>199.47847789945911</v>
      </c>
      <c r="C23" s="5">
        <f t="shared" si="2"/>
        <v>5426.6717733774685</v>
      </c>
      <c r="D23" s="5">
        <f t="shared" si="2"/>
        <v>3828.0484021587786</v>
      </c>
      <c r="E23" s="5">
        <f t="shared" si="2"/>
        <v>2342.3534633748541</v>
      </c>
      <c r="F23" s="5">
        <f t="shared" si="2"/>
        <v>1467.1898382387035</v>
      </c>
      <c r="G23" s="5">
        <f t="shared" si="2"/>
        <v>1064.0718890336602</v>
      </c>
      <c r="H23" s="5">
        <f t="shared" si="2"/>
        <v>574.31336411797679</v>
      </c>
      <c r="I23" s="5">
        <f t="shared" si="2"/>
        <v>421.44863924768413</v>
      </c>
      <c r="J23" s="5">
        <f t="shared" si="2"/>
        <v>318.65407348727831</v>
      </c>
      <c r="K23" s="5">
        <f t="shared" si="2"/>
        <v>236.3657574624138</v>
      </c>
      <c r="L23" s="5">
        <f t="shared" si="2"/>
        <v>176.98342302488035</v>
      </c>
    </row>
    <row r="24" spans="1:16" x14ac:dyDescent="0.35">
      <c r="B24" s="5">
        <f t="shared" ref="B24:L24" si="3">B5*B11*10^(-6)</f>
        <v>116.32613335104269</v>
      </c>
      <c r="C24" s="5">
        <f t="shared" si="3"/>
        <v>140.78209766796107</v>
      </c>
      <c r="D24" s="5">
        <f t="shared" si="3"/>
        <v>118.23608703847582</v>
      </c>
      <c r="E24" s="5">
        <f t="shared" si="3"/>
        <v>75.16934632904541</v>
      </c>
      <c r="F24" s="5">
        <f t="shared" si="3"/>
        <v>46.608759524136332</v>
      </c>
      <c r="G24" s="5">
        <f t="shared" si="3"/>
        <v>29.456629642227984</v>
      </c>
      <c r="H24" s="5">
        <f t="shared" si="3"/>
        <v>19.057759470346074</v>
      </c>
      <c r="I24" s="5">
        <f t="shared" si="3"/>
        <v>12.651346727542501</v>
      </c>
      <c r="J24" s="5">
        <f t="shared" si="3"/>
        <v>8.6153916524513008</v>
      </c>
      <c r="K24" s="5">
        <f t="shared" si="3"/>
        <v>6.0128306664789664</v>
      </c>
      <c r="L24" s="5">
        <f t="shared" si="3"/>
        <v>4.2929992242874606</v>
      </c>
    </row>
    <row r="25" spans="1:16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6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6" x14ac:dyDescent="0.35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0"/>
      <c r="N27" s="10"/>
      <c r="O27" s="10"/>
      <c r="P27" s="10"/>
    </row>
    <row r="28" spans="1:16" x14ac:dyDescent="0.35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0"/>
      <c r="N28" s="10"/>
      <c r="O28" s="10"/>
      <c r="P28" s="10"/>
    </row>
    <row r="29" spans="1:1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5">
      <c r="A30" s="1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0"/>
      <c r="N30" s="10"/>
      <c r="O30" s="10"/>
      <c r="P30" s="10"/>
    </row>
    <row r="31" spans="1:16" x14ac:dyDescent="0.3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0"/>
      <c r="N31" s="10"/>
      <c r="O31" s="10"/>
      <c r="P31" s="10"/>
    </row>
    <row r="32" spans="1:1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0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  <c r="N33" s="10"/>
      <c r="O33" s="10"/>
      <c r="P33" s="10"/>
    </row>
    <row r="34" spans="1:16" x14ac:dyDescent="0.35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0"/>
      <c r="N34" s="10"/>
      <c r="O34" s="10"/>
      <c r="P34" s="10"/>
    </row>
    <row r="35" spans="1:16" x14ac:dyDescent="0.35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0"/>
      <c r="N35" s="10"/>
      <c r="O35" s="10"/>
      <c r="P35" s="10"/>
    </row>
    <row r="36" spans="1:16" x14ac:dyDescent="0.35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0"/>
      <c r="N36" s="10"/>
      <c r="O36" s="10"/>
      <c r="P36" s="10"/>
    </row>
    <row r="37" spans="1:16" x14ac:dyDescent="0.35">
      <c r="A37" s="10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10"/>
      <c r="N37" s="10"/>
      <c r="O37" s="10"/>
      <c r="P37" s="10"/>
    </row>
    <row r="38" spans="1:16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</row>
    <row r="39" spans="1:1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35">
      <c r="A40" s="10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0"/>
      <c r="N40" s="10"/>
      <c r="O40" s="10"/>
      <c r="P40" s="10"/>
    </row>
    <row r="41" spans="1:16" x14ac:dyDescent="0.35">
      <c r="A41" s="1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</row>
    <row r="42" spans="1:16" x14ac:dyDescent="0.35">
      <c r="A42" s="1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0"/>
      <c r="N42" s="10"/>
      <c r="O42" s="10"/>
      <c r="P42" s="10"/>
    </row>
    <row r="43" spans="1:16" x14ac:dyDescent="0.35">
      <c r="A43" s="10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0"/>
      <c r="N43" s="10"/>
      <c r="O43" s="10"/>
      <c r="P43" s="10"/>
    </row>
    <row r="44" spans="1:16" x14ac:dyDescent="0.35">
      <c r="A44" s="10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0"/>
      <c r="N44" s="10"/>
      <c r="O44" s="10"/>
      <c r="P44" s="10"/>
    </row>
    <row r="45" spans="1:1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5">
      <c r="A46" s="10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0"/>
      <c r="N46" s="10"/>
      <c r="O46" s="10"/>
      <c r="P46" s="10"/>
    </row>
    <row r="47" spans="1:1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5">
      <c r="A49" s="10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0"/>
      <c r="N49" s="10"/>
      <c r="O49" s="10"/>
      <c r="P49" s="10"/>
    </row>
    <row r="50" spans="1:16" x14ac:dyDescent="0.35">
      <c r="A50" s="1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0"/>
      <c r="N50" s="10"/>
      <c r="O50" s="10"/>
      <c r="P50" s="10"/>
    </row>
    <row r="51" spans="1:16" x14ac:dyDescent="0.35">
      <c r="A51" s="10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0"/>
      <c r="N51" s="10"/>
      <c r="O51" s="10"/>
      <c r="P51" s="10"/>
    </row>
    <row r="52" spans="1:16" x14ac:dyDescent="0.35">
      <c r="A52" s="10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0"/>
      <c r="N52" s="10"/>
      <c r="O52" s="10"/>
      <c r="P52" s="10"/>
    </row>
    <row r="53" spans="1:16" x14ac:dyDescent="0.35">
      <c r="A53" s="10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0"/>
      <c r="N53" s="10"/>
      <c r="O53" s="10"/>
      <c r="P53" s="10"/>
    </row>
    <row r="54" spans="1:16" x14ac:dyDescent="0.35">
      <c r="A54" s="1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0"/>
      <c r="N54" s="10"/>
      <c r="O54" s="10"/>
      <c r="P54" s="10"/>
    </row>
    <row r="55" spans="1:16" x14ac:dyDescent="0.35">
      <c r="A55" s="10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0"/>
      <c r="N55" s="10"/>
      <c r="O55" s="10"/>
      <c r="P55" s="10"/>
    </row>
    <row r="56" spans="1:16" x14ac:dyDescent="0.35">
      <c r="A56" s="1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0"/>
      <c r="N56" s="10"/>
      <c r="O56" s="10"/>
      <c r="P56" s="10"/>
    </row>
    <row r="57" spans="1:1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0"/>
      <c r="N58" s="10"/>
      <c r="O58" s="10"/>
      <c r="P58" s="10"/>
    </row>
    <row r="59" spans="1:16" x14ac:dyDescent="0.35">
      <c r="A59" s="10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0"/>
      <c r="N59" s="10"/>
      <c r="O59" s="10"/>
      <c r="P59" s="10"/>
    </row>
    <row r="60" spans="1:16" x14ac:dyDescent="0.35">
      <c r="A60" s="10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0"/>
      <c r="N60" s="10"/>
      <c r="O60" s="10"/>
      <c r="P60" s="10"/>
    </row>
    <row r="61" spans="1:1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35">
      <c r="A62" s="1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</row>
    <row r="63" spans="1:1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35">
      <c r="A65" s="10"/>
      <c r="B65" s="10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35">
      <c r="A66" s="10"/>
      <c r="B66" s="10"/>
      <c r="C66" s="8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35">
      <c r="A67" s="10"/>
      <c r="B67" s="10"/>
      <c r="C67" s="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x14ac:dyDescent="0.35">
      <c r="A68" s="10"/>
      <c r="B68" s="10"/>
      <c r="C68" s="8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0"/>
  <sheetViews>
    <sheetView topLeftCell="A22" zoomScale="85" zoomScaleNormal="85" workbookViewId="0">
      <selection activeCell="N43" sqref="N43:Q43"/>
    </sheetView>
  </sheetViews>
  <sheetFormatPr defaultRowHeight="14.5" x14ac:dyDescent="0.35"/>
  <cols>
    <col min="6" max="6" width="10.453125" bestFit="1" customWidth="1"/>
    <col min="7" max="7" width="9.36328125" bestFit="1" customWidth="1"/>
    <col min="15" max="15" width="11.7265625" bestFit="1" customWidth="1"/>
    <col min="19" max="21" width="9.36328125" bestFit="1" customWidth="1"/>
  </cols>
  <sheetData>
    <row r="1" spans="1:21" x14ac:dyDescent="0.35">
      <c r="B1" t="s">
        <v>68</v>
      </c>
      <c r="N1" t="s">
        <v>75</v>
      </c>
    </row>
    <row r="2" spans="1:21" x14ac:dyDescent="0.35">
      <c r="B2" t="s">
        <v>25</v>
      </c>
      <c r="C2" t="s">
        <v>72</v>
      </c>
      <c r="D2" t="s">
        <v>73</v>
      </c>
      <c r="F2" t="s">
        <v>74</v>
      </c>
      <c r="G2" t="s">
        <v>73</v>
      </c>
      <c r="I2" t="s">
        <v>28</v>
      </c>
      <c r="J2" t="s">
        <v>71</v>
      </c>
      <c r="N2" t="s">
        <v>25</v>
      </c>
      <c r="O2" t="s">
        <v>69</v>
      </c>
      <c r="P2" t="s">
        <v>73</v>
      </c>
      <c r="R2" t="s">
        <v>70</v>
      </c>
      <c r="T2" t="s">
        <v>28</v>
      </c>
      <c r="U2" t="s">
        <v>71</v>
      </c>
    </row>
    <row r="3" spans="1:21" x14ac:dyDescent="0.35">
      <c r="A3" t="s">
        <v>0</v>
      </c>
      <c r="B3" s="1">
        <f>3.3*10^-6</f>
        <v>3.2999999999999997E-6</v>
      </c>
      <c r="C3" s="1">
        <v>811630.32518587203</v>
      </c>
      <c r="D3" s="1">
        <v>811630.32518587494</v>
      </c>
      <c r="F3" s="1">
        <v>4556084.1492903298</v>
      </c>
      <c r="G3" s="1">
        <v>4449652.85354714</v>
      </c>
      <c r="I3" s="2">
        <f>B3*C3</f>
        <v>2.6783800731133773</v>
      </c>
      <c r="J3" s="2">
        <f>B3*F3</f>
        <v>15.035077692658087</v>
      </c>
      <c r="M3" t="s">
        <v>0</v>
      </c>
      <c r="N3" s="1">
        <f>3.591*10^-6</f>
        <v>3.591E-6</v>
      </c>
      <c r="O3" s="1">
        <v>1466023.0257518</v>
      </c>
      <c r="P3" s="1">
        <v>1467169.55795137</v>
      </c>
      <c r="R3" s="8">
        <v>711539.45128415595</v>
      </c>
      <c r="S3" s="2"/>
      <c r="T3" s="4">
        <f>N3*R3</f>
        <v>2.5551381695614039</v>
      </c>
      <c r="U3" s="4">
        <f>N3*O3</f>
        <v>5.2644886854747144</v>
      </c>
    </row>
    <row r="4" spans="1:21" x14ac:dyDescent="0.35">
      <c r="A4" t="s">
        <v>5</v>
      </c>
      <c r="B4" s="1">
        <f>6.4*10^-6</f>
        <v>6.3999999999999997E-6</v>
      </c>
      <c r="C4" s="1">
        <v>1583007.6984806</v>
      </c>
      <c r="D4" s="1">
        <v>1583007.69848062</v>
      </c>
      <c r="F4" s="1">
        <v>619313739.24411798</v>
      </c>
      <c r="G4" s="1">
        <v>601628350.48949206</v>
      </c>
      <c r="I4" s="2">
        <f>B4*C4</f>
        <v>10.131249270275839</v>
      </c>
      <c r="J4" s="2">
        <f t="shared" ref="J4:J6" si="0">B4*F4</f>
        <v>3963.6079311623548</v>
      </c>
      <c r="M4" t="s">
        <v>5</v>
      </c>
      <c r="N4" s="1">
        <f>5.347*10^-6</f>
        <v>5.3469999999999998E-6</v>
      </c>
      <c r="O4" s="1">
        <v>64126084.628825702</v>
      </c>
      <c r="P4" s="1">
        <v>55828637.936295897</v>
      </c>
      <c r="R4" s="8">
        <v>1068134.2785413801</v>
      </c>
      <c r="S4" s="2"/>
      <c r="T4" s="4">
        <f t="shared" ref="T4:T6" si="1">N4*R4</f>
        <v>5.711313987360759</v>
      </c>
      <c r="U4" s="4">
        <f t="shared" ref="U4:U6" si="2">N4*O4</f>
        <v>342.88217451033103</v>
      </c>
    </row>
    <row r="5" spans="1:21" x14ac:dyDescent="0.35">
      <c r="A5" t="s">
        <v>10</v>
      </c>
      <c r="B5" s="1">
        <f>7.3*10^-6</f>
        <v>7.2999999999999996E-6</v>
      </c>
      <c r="C5" s="1">
        <v>27508810.324634299</v>
      </c>
      <c r="D5" s="1">
        <v>26753722.7312399</v>
      </c>
      <c r="F5" s="1">
        <v>921064064.81843305</v>
      </c>
      <c r="G5" s="1">
        <v>756717379.61638904</v>
      </c>
      <c r="I5" s="2">
        <f>B5*C5</f>
        <v>200.81431536983038</v>
      </c>
      <c r="J5" s="2">
        <f t="shared" si="0"/>
        <v>6723.7676731745605</v>
      </c>
      <c r="M5" t="s">
        <v>10</v>
      </c>
      <c r="N5" s="1">
        <f>5.575*10^-6</f>
        <v>5.575E-6</v>
      </c>
      <c r="O5" s="1">
        <v>37249316.428618804</v>
      </c>
      <c r="P5" s="1">
        <v>34760222.896278903</v>
      </c>
      <c r="R5" s="8">
        <v>2450703.4658999401</v>
      </c>
      <c r="S5" s="2"/>
      <c r="T5" s="4">
        <f>N5*R5</f>
        <v>13.662671822392166</v>
      </c>
      <c r="U5" s="4">
        <f>N5*O5</f>
        <v>207.66493908954982</v>
      </c>
    </row>
    <row r="6" spans="1:21" x14ac:dyDescent="0.35">
      <c r="A6" t="s">
        <v>23</v>
      </c>
      <c r="B6" s="1">
        <f>1.6*10^-6</f>
        <v>1.5999999999999999E-6</v>
      </c>
      <c r="C6" s="1">
        <v>1023947.59983987</v>
      </c>
      <c r="D6" s="1">
        <v>4000426.9835753799</v>
      </c>
      <c r="F6" s="1">
        <v>61692924.016532898</v>
      </c>
      <c r="G6" s="1">
        <v>67852387.458345994</v>
      </c>
      <c r="I6" s="2">
        <f>B6*C6</f>
        <v>1.6383161597437919</v>
      </c>
      <c r="J6" s="2">
        <f t="shared" si="0"/>
        <v>98.708678426452636</v>
      </c>
      <c r="M6" t="s">
        <v>23</v>
      </c>
      <c r="N6" s="1">
        <f>3.591*10^-6</f>
        <v>3.591E-6</v>
      </c>
      <c r="O6" s="1">
        <v>58170689.260848902</v>
      </c>
      <c r="P6" s="1">
        <v>50396522.077823803</v>
      </c>
      <c r="R6" s="8">
        <v>912983.85970785597</v>
      </c>
      <c r="S6" s="2"/>
      <c r="T6" s="4">
        <f t="shared" si="1"/>
        <v>3.2785250402109107</v>
      </c>
      <c r="U6" s="4">
        <f t="shared" si="2"/>
        <v>208.89094513570842</v>
      </c>
    </row>
    <row r="31" spans="12:24" x14ac:dyDescent="0.35">
      <c r="N31">
        <v>0.04</v>
      </c>
      <c r="O31">
        <v>0.1</v>
      </c>
      <c r="P31">
        <v>0.2</v>
      </c>
      <c r="Q31">
        <v>0.3</v>
      </c>
      <c r="R31">
        <v>0.4</v>
      </c>
      <c r="S31">
        <v>0.5</v>
      </c>
      <c r="T31">
        <v>0.6</v>
      </c>
      <c r="U31">
        <v>0.7</v>
      </c>
      <c r="V31">
        <v>0.8</v>
      </c>
      <c r="W31">
        <v>0.9</v>
      </c>
      <c r="X31">
        <v>1</v>
      </c>
    </row>
    <row r="32" spans="12:24" x14ac:dyDescent="0.35">
      <c r="L32" t="s">
        <v>26</v>
      </c>
      <c r="M32" t="s">
        <v>0</v>
      </c>
      <c r="N32" s="1">
        <v>1466023.0257518</v>
      </c>
      <c r="O32" s="1">
        <v>71180507.112251595</v>
      </c>
      <c r="P32" s="1">
        <v>15391042727.812099</v>
      </c>
      <c r="Q32" s="1">
        <v>28530045718.931301</v>
      </c>
      <c r="R32" s="1">
        <v>33657867646.536701</v>
      </c>
      <c r="S32" s="1">
        <v>36940383181.028999</v>
      </c>
      <c r="T32" s="1">
        <v>39538412424.194702</v>
      </c>
      <c r="U32" s="1">
        <v>41795376300.841698</v>
      </c>
      <c r="V32" s="1">
        <v>43845143729.218803</v>
      </c>
      <c r="W32" s="1">
        <v>45749413628.654198</v>
      </c>
      <c r="X32" s="1">
        <v>47540903442.757103</v>
      </c>
    </row>
    <row r="33" spans="12:24" x14ac:dyDescent="0.35">
      <c r="M33" t="s">
        <v>5</v>
      </c>
      <c r="N33" s="1">
        <v>64126084.628825702</v>
      </c>
      <c r="O33" s="1">
        <v>5380947596.5855904</v>
      </c>
      <c r="P33" s="1">
        <v>116050394358.49699</v>
      </c>
      <c r="Q33" s="1">
        <v>434137826601.28802</v>
      </c>
      <c r="R33" s="1">
        <v>752324392502.23206</v>
      </c>
      <c r="S33" s="1">
        <v>951556269620.54004</v>
      </c>
      <c r="T33" s="1">
        <v>1073458852954.54</v>
      </c>
      <c r="U33" s="1">
        <v>1157554522789.28</v>
      </c>
      <c r="V33" s="1">
        <v>1222553525525.1699</v>
      </c>
      <c r="W33" s="1">
        <v>1276858095274.27</v>
      </c>
      <c r="X33" s="1">
        <v>1324517344939.8501</v>
      </c>
    </row>
    <row r="34" spans="12:24" x14ac:dyDescent="0.35">
      <c r="M34" t="s">
        <v>10</v>
      </c>
      <c r="N34" s="1">
        <v>37249316.428618804</v>
      </c>
      <c r="O34" s="1">
        <v>1732624177.9997799</v>
      </c>
      <c r="P34" s="1">
        <v>3635922135.93573</v>
      </c>
      <c r="Q34" s="1">
        <v>4940700802.1421404</v>
      </c>
      <c r="R34" s="1">
        <v>5761117522.84585</v>
      </c>
      <c r="S34" s="1">
        <v>6974477554.7626696</v>
      </c>
      <c r="T34" s="1">
        <v>5825258770.4213305</v>
      </c>
      <c r="U34" s="1">
        <v>6250025332.6575603</v>
      </c>
      <c r="V34" s="1">
        <v>6606858416.0879297</v>
      </c>
      <c r="W34" s="1">
        <v>6606180995.7659597</v>
      </c>
      <c r="X34" s="1">
        <v>6467690018.3301897</v>
      </c>
    </row>
    <row r="35" spans="12:24" x14ac:dyDescent="0.35">
      <c r="M35" t="s">
        <v>23</v>
      </c>
      <c r="N35" s="1">
        <v>58170689.260848902</v>
      </c>
      <c r="O35" s="1">
        <v>275897820.85442197</v>
      </c>
      <c r="P35" s="1">
        <v>1072046604.897</v>
      </c>
      <c r="Q35" s="1">
        <v>1871324240.5893199</v>
      </c>
      <c r="R35" s="1">
        <v>2529089333.8796902</v>
      </c>
      <c r="S35" s="1">
        <v>3054647935.8373699</v>
      </c>
      <c r="T35" s="1">
        <v>3463833556.7624302</v>
      </c>
      <c r="U35" s="1">
        <v>3783031825.46385</v>
      </c>
      <c r="V35" s="1">
        <v>4032895880.6023102</v>
      </c>
      <c r="W35" s="1">
        <v>4230164402.91642</v>
      </c>
      <c r="X35" s="1">
        <v>4384728710.3281298</v>
      </c>
    </row>
    <row r="37" spans="12:24" x14ac:dyDescent="0.35">
      <c r="L37" t="s">
        <v>116</v>
      </c>
      <c r="M37" t="s">
        <v>0</v>
      </c>
      <c r="N37" s="5">
        <f>N32*$N$3</f>
        <v>5.2644886854747144</v>
      </c>
      <c r="O37" s="5">
        <f t="shared" ref="O37:X37" si="3">O32*$N$3</f>
        <v>255.60920104009548</v>
      </c>
      <c r="P37" s="5">
        <f t="shared" si="3"/>
        <v>55269.234435573249</v>
      </c>
      <c r="Q37" s="5">
        <f t="shared" si="3"/>
        <v>102451.3941766823</v>
      </c>
      <c r="R37" s="5">
        <f t="shared" si="3"/>
        <v>120865.40271871329</v>
      </c>
      <c r="S37" s="5">
        <f t="shared" si="3"/>
        <v>132652.91600307514</v>
      </c>
      <c r="T37" s="5">
        <f t="shared" si="3"/>
        <v>141982.43901528316</v>
      </c>
      <c r="U37" s="5">
        <f t="shared" si="3"/>
        <v>150087.19629632254</v>
      </c>
      <c r="V37" s="5">
        <f t="shared" si="3"/>
        <v>157447.91113162471</v>
      </c>
      <c r="W37" s="5">
        <f t="shared" si="3"/>
        <v>164286.14434049724</v>
      </c>
      <c r="X37" s="5">
        <f t="shared" si="3"/>
        <v>170719.38426294076</v>
      </c>
    </row>
    <row r="38" spans="12:24" x14ac:dyDescent="0.35">
      <c r="M38" t="s">
        <v>5</v>
      </c>
      <c r="N38" s="5">
        <f>N33*$N$4</f>
        <v>342.88217451033103</v>
      </c>
      <c r="O38" s="5">
        <f t="shared" ref="O38:X38" si="4">O33*$N$4</f>
        <v>28771.92679894315</v>
      </c>
      <c r="P38" s="5">
        <f t="shared" si="4"/>
        <v>620521.4586348834</v>
      </c>
      <c r="Q38" s="5">
        <f t="shared" si="4"/>
        <v>2321334.9588370868</v>
      </c>
      <c r="R38" s="5">
        <f t="shared" si="4"/>
        <v>4022678.5267094346</v>
      </c>
      <c r="S38" s="5">
        <f t="shared" si="4"/>
        <v>5087971.3736610273</v>
      </c>
      <c r="T38" s="5">
        <f t="shared" si="4"/>
        <v>5739784.4867479252</v>
      </c>
      <c r="U38" s="5">
        <f t="shared" si="4"/>
        <v>6189444.0333542805</v>
      </c>
      <c r="V38" s="5">
        <f t="shared" si="4"/>
        <v>6536993.7009830829</v>
      </c>
      <c r="W38" s="5">
        <f t="shared" si="4"/>
        <v>6827360.2354315212</v>
      </c>
      <c r="X38" s="5">
        <f t="shared" si="4"/>
        <v>7082194.2433933783</v>
      </c>
    </row>
    <row r="39" spans="12:24" x14ac:dyDescent="0.35">
      <c r="M39" t="s">
        <v>10</v>
      </c>
      <c r="N39" s="5">
        <f>N34*$N$5</f>
        <v>207.66493908954982</v>
      </c>
      <c r="O39" s="5">
        <f t="shared" ref="O39:X39" si="5">O34*$N$5</f>
        <v>9659.3797923487728</v>
      </c>
      <c r="P39" s="5">
        <f t="shared" si="5"/>
        <v>20270.265907841695</v>
      </c>
      <c r="Q39" s="5">
        <f t="shared" si="5"/>
        <v>27544.406971942433</v>
      </c>
      <c r="R39" s="5">
        <f t="shared" si="5"/>
        <v>32118.230189865615</v>
      </c>
      <c r="S39" s="5">
        <f t="shared" si="5"/>
        <v>38882.712367801883</v>
      </c>
      <c r="T39" s="5">
        <f t="shared" si="5"/>
        <v>32475.817645098916</v>
      </c>
      <c r="U39" s="5">
        <f t="shared" si="5"/>
        <v>34843.891229565896</v>
      </c>
      <c r="V39" s="5">
        <f t="shared" si="5"/>
        <v>36833.235669690206</v>
      </c>
      <c r="W39" s="5">
        <f t="shared" si="5"/>
        <v>36829.459051395228</v>
      </c>
      <c r="X39" s="5">
        <f t="shared" si="5"/>
        <v>36057.371852190809</v>
      </c>
    </row>
    <row r="40" spans="12:24" x14ac:dyDescent="0.35">
      <c r="M40" t="s">
        <v>23</v>
      </c>
      <c r="N40" s="1">
        <f>N35*$N$6</f>
        <v>208.89094513570842</v>
      </c>
      <c r="O40" s="5">
        <f t="shared" ref="O40:X40" si="6">O35*$N$6</f>
        <v>990.74907468822926</v>
      </c>
      <c r="P40" s="5">
        <f t="shared" si="6"/>
        <v>3849.719358185127</v>
      </c>
      <c r="Q40" s="5">
        <f t="shared" si="6"/>
        <v>6719.9253479562476</v>
      </c>
      <c r="R40" s="5">
        <f t="shared" si="6"/>
        <v>9081.9597979619666</v>
      </c>
      <c r="S40" s="5">
        <f t="shared" si="6"/>
        <v>10969.240737591996</v>
      </c>
      <c r="T40" s="5">
        <f t="shared" si="6"/>
        <v>12438.626302333887</v>
      </c>
      <c r="U40" s="5">
        <f t="shared" si="6"/>
        <v>13584.867285240685</v>
      </c>
      <c r="V40" s="5">
        <f t="shared" si="6"/>
        <v>14482.129107242896</v>
      </c>
      <c r="W40" s="5">
        <f t="shared" si="6"/>
        <v>15190.520370872864</v>
      </c>
      <c r="X40" s="5">
        <f t="shared" si="6"/>
        <v>15745.560798788314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opLeftCell="A15" workbookViewId="0">
      <selection activeCell="A25" sqref="A25:C29"/>
    </sheetView>
  </sheetViews>
  <sheetFormatPr defaultRowHeight="14.5" x14ac:dyDescent="0.35"/>
  <cols>
    <col min="1" max="1" width="8.7265625" style="26"/>
    <col min="2" max="5" width="12.54296875" style="26" bestFit="1" customWidth="1"/>
    <col min="6" max="6" width="12.453125" style="26" bestFit="1" customWidth="1"/>
    <col min="7" max="10" width="12.54296875" style="26" bestFit="1" customWidth="1"/>
    <col min="11" max="11" width="12.453125" style="26" bestFit="1" customWidth="1"/>
    <col min="12" max="12" width="12.54296875" style="26" bestFit="1" customWidth="1"/>
    <col min="13" max="16384" width="8.7265625" style="26"/>
  </cols>
  <sheetData>
    <row r="1" spans="1:12" x14ac:dyDescent="0.35">
      <c r="A1" s="26" t="s">
        <v>77</v>
      </c>
    </row>
    <row r="2" spans="1:12" x14ac:dyDescent="0.35">
      <c r="A2" s="26" t="s">
        <v>0</v>
      </c>
      <c r="B2" s="26">
        <v>149</v>
      </c>
      <c r="C2" s="26">
        <v>198</v>
      </c>
      <c r="D2" s="26">
        <v>276</v>
      </c>
      <c r="E2" s="26">
        <v>338</v>
      </c>
      <c r="F2" s="26">
        <v>394</v>
      </c>
      <c r="G2" s="26">
        <v>435</v>
      </c>
      <c r="H2" s="26">
        <v>470</v>
      </c>
      <c r="I2" s="26">
        <v>518</v>
      </c>
      <c r="J2" s="26">
        <v>552</v>
      </c>
      <c r="K2" s="26">
        <v>604</v>
      </c>
      <c r="L2" s="26">
        <v>657</v>
      </c>
    </row>
    <row r="3" spans="1:12" x14ac:dyDescent="0.35">
      <c r="A3" s="26" t="s">
        <v>5</v>
      </c>
      <c r="B3" s="26">
        <v>144</v>
      </c>
      <c r="C3" s="26">
        <v>200</v>
      </c>
      <c r="D3" s="26">
        <v>273</v>
      </c>
      <c r="E3" s="26">
        <v>358</v>
      </c>
      <c r="F3" s="26">
        <v>408</v>
      </c>
      <c r="G3" s="26">
        <v>481</v>
      </c>
      <c r="H3" s="26">
        <v>513</v>
      </c>
      <c r="I3" s="26">
        <v>552</v>
      </c>
      <c r="J3" s="26">
        <v>565</v>
      </c>
      <c r="K3" s="26">
        <v>618</v>
      </c>
      <c r="L3" s="26">
        <v>671</v>
      </c>
    </row>
    <row r="4" spans="1:12" x14ac:dyDescent="0.35">
      <c r="A4" s="26" t="s">
        <v>10</v>
      </c>
      <c r="B4" s="26">
        <v>142</v>
      </c>
      <c r="C4" s="26">
        <v>189</v>
      </c>
      <c r="D4" s="26">
        <v>271</v>
      </c>
      <c r="E4" s="26">
        <v>347</v>
      </c>
      <c r="F4" s="26">
        <v>401</v>
      </c>
      <c r="G4" s="26">
        <v>461</v>
      </c>
      <c r="H4" s="26">
        <v>498</v>
      </c>
      <c r="I4" s="26">
        <v>534</v>
      </c>
      <c r="J4" s="26">
        <v>564</v>
      </c>
      <c r="K4" s="26">
        <v>609</v>
      </c>
      <c r="L4" s="26">
        <v>652</v>
      </c>
    </row>
    <row r="5" spans="1:12" x14ac:dyDescent="0.35">
      <c r="A5" s="26" t="s">
        <v>23</v>
      </c>
      <c r="B5" s="26">
        <v>61</v>
      </c>
      <c r="C5" s="26">
        <v>62</v>
      </c>
      <c r="D5" s="26">
        <v>66</v>
      </c>
      <c r="E5" s="26">
        <v>66</v>
      </c>
      <c r="F5" s="26">
        <v>70</v>
      </c>
      <c r="G5" s="26">
        <v>75</v>
      </c>
      <c r="H5" s="26">
        <v>80</v>
      </c>
      <c r="I5" s="26">
        <v>87</v>
      </c>
      <c r="J5" s="26">
        <v>93</v>
      </c>
      <c r="K5" s="26">
        <v>100</v>
      </c>
      <c r="L5" s="26">
        <v>108</v>
      </c>
    </row>
    <row r="7" spans="1:12" x14ac:dyDescent="0.35">
      <c r="A7" s="26" t="s">
        <v>78</v>
      </c>
    </row>
    <row r="8" spans="1:12" x14ac:dyDescent="0.35">
      <c r="A8" s="26" t="s">
        <v>0</v>
      </c>
      <c r="B8" s="27">
        <v>3.86478365954859</v>
      </c>
      <c r="C8" s="27">
        <v>2.68981852996765</v>
      </c>
      <c r="D8" s="27">
        <v>1.79457705981237</v>
      </c>
      <c r="E8" s="27">
        <v>1.10597760303126</v>
      </c>
      <c r="F8" s="27">
        <v>0.68841934258317805</v>
      </c>
      <c r="G8" s="27">
        <v>0.45202859875167101</v>
      </c>
      <c r="H8" s="27">
        <v>0.31293869975120597</v>
      </c>
      <c r="I8" s="27">
        <v>0.22567489793973899</v>
      </c>
      <c r="J8" s="27">
        <v>0.16826360808996901</v>
      </c>
      <c r="K8" s="27">
        <v>0.12890023053764799</v>
      </c>
      <c r="L8" s="27">
        <v>0.100982694008699</v>
      </c>
    </row>
    <row r="9" spans="1:12" x14ac:dyDescent="0.35">
      <c r="A9" s="26" t="s">
        <v>5</v>
      </c>
      <c r="B9" s="27">
        <v>6.5824916480724101</v>
      </c>
      <c r="C9" s="27">
        <v>4.3253857947580698</v>
      </c>
      <c r="D9" s="27">
        <v>2.1777089472063502</v>
      </c>
      <c r="E9" s="27">
        <v>1.17906706549073</v>
      </c>
      <c r="F9" s="27">
        <v>0.70638544962656802</v>
      </c>
      <c r="G9" s="27">
        <v>0.45805295023239101</v>
      </c>
      <c r="H9" s="27">
        <v>0.31503569147708999</v>
      </c>
      <c r="I9" s="27">
        <v>0.22653347739986601</v>
      </c>
      <c r="J9" s="27">
        <v>0.16863120657574099</v>
      </c>
      <c r="K9" s="27">
        <v>0.129055200875865</v>
      </c>
      <c r="L9" s="27">
        <v>0.10104027929803699</v>
      </c>
    </row>
    <row r="10" spans="1:12" x14ac:dyDescent="0.35">
      <c r="A10" s="26" t="s">
        <v>10</v>
      </c>
      <c r="B10" s="27">
        <v>8.1286256259564507</v>
      </c>
      <c r="C10" s="27">
        <v>5.2012899830845498</v>
      </c>
      <c r="D10" s="27">
        <v>2.34839829081923</v>
      </c>
      <c r="E10" s="27">
        <v>1.2478352301759801</v>
      </c>
      <c r="F10" s="27">
        <v>0.74542263735493197</v>
      </c>
      <c r="G10" s="27">
        <v>0.48272963640724698</v>
      </c>
      <c r="H10" s="27">
        <v>0.33185259816777002</v>
      </c>
      <c r="I10" s="27">
        <v>0.238027556650277</v>
      </c>
      <c r="J10" s="27">
        <v>0.17766775373298799</v>
      </c>
      <c r="K10" s="27">
        <v>0.13600964131788501</v>
      </c>
      <c r="L10" s="27">
        <v>0.10651511965181901</v>
      </c>
    </row>
    <row r="11" spans="1:12" x14ac:dyDescent="0.35">
      <c r="A11" s="26" t="s">
        <v>23</v>
      </c>
      <c r="B11" s="27">
        <v>7.0864191291530902</v>
      </c>
      <c r="C11" s="27">
        <v>3.3558540771668901</v>
      </c>
      <c r="D11" s="27">
        <v>1.1301155264425899</v>
      </c>
      <c r="E11" s="27">
        <v>0.50805355719603995</v>
      </c>
      <c r="F11" s="27">
        <v>0.274643103478107</v>
      </c>
      <c r="G11" s="27">
        <v>0.16566411433424799</v>
      </c>
      <c r="H11" s="27">
        <v>0.107785231554339</v>
      </c>
      <c r="I11" s="27">
        <v>7.81118803250343E-2</v>
      </c>
      <c r="J11" s="27">
        <v>5.7993989382661398E-2</v>
      </c>
      <c r="K11" s="27">
        <v>4.5415537374181199E-2</v>
      </c>
      <c r="L11" s="27">
        <v>3.7879889947068202E-2</v>
      </c>
    </row>
    <row r="12" spans="1:12" x14ac:dyDescent="0.3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35">
      <c r="A13" s="26" t="s">
        <v>79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35">
      <c r="A14" s="26" t="s">
        <v>0</v>
      </c>
      <c r="B14" s="27">
        <v>7368.76987729149</v>
      </c>
      <c r="C14" s="27">
        <v>3412.2794987391298</v>
      </c>
      <c r="D14" s="27">
        <v>989.77177098255004</v>
      </c>
      <c r="E14" s="27">
        <v>415.21428482756397</v>
      </c>
      <c r="F14" s="27">
        <v>214.185355089268</v>
      </c>
      <c r="G14" s="27">
        <v>126.016372861319</v>
      </c>
      <c r="H14" s="27">
        <v>81.362434274318602</v>
      </c>
      <c r="I14" s="27">
        <v>56.3416162741348</v>
      </c>
      <c r="J14" s="27">
        <v>41.217255660449602</v>
      </c>
      <c r="K14" s="27">
        <v>31.514523872469201</v>
      </c>
      <c r="L14" s="27">
        <v>24.982606091726101</v>
      </c>
    </row>
    <row r="15" spans="1:12" x14ac:dyDescent="0.35">
      <c r="A15" s="26" t="s">
        <v>5</v>
      </c>
      <c r="B15" s="27">
        <v>23977.589464983801</v>
      </c>
      <c r="C15" s="27">
        <v>7078.06684926466</v>
      </c>
      <c r="D15" s="27">
        <v>1647.5645818012199</v>
      </c>
      <c r="E15" s="27">
        <v>634.86807602643398</v>
      </c>
      <c r="F15" s="27">
        <v>311.41668969052398</v>
      </c>
      <c r="G15" s="27">
        <v>176.98112672878599</v>
      </c>
      <c r="H15" s="27">
        <v>111.35061267253801</v>
      </c>
      <c r="I15" s="27">
        <v>75.558071324202004</v>
      </c>
      <c r="J15" s="27">
        <v>54.370146738388598</v>
      </c>
      <c r="K15" s="27">
        <v>41.002300726385698</v>
      </c>
      <c r="L15" s="27">
        <v>32.124820513704002</v>
      </c>
    </row>
    <row r="16" spans="1:12" x14ac:dyDescent="0.35">
      <c r="A16" s="26" t="s">
        <v>10</v>
      </c>
      <c r="B16" s="27">
        <v>47557.192338435103</v>
      </c>
      <c r="C16" s="27">
        <v>13724.384213593001</v>
      </c>
      <c r="D16" s="27">
        <v>3160.40134993943</v>
      </c>
      <c r="E16" s="27">
        <v>1213.12485529074</v>
      </c>
      <c r="F16" s="27">
        <v>593.76479863764598</v>
      </c>
      <c r="G16" s="27">
        <v>336.98533530715002</v>
      </c>
      <c r="H16" s="27">
        <v>211.83023904307399</v>
      </c>
      <c r="I16" s="27">
        <v>141.905190555563</v>
      </c>
      <c r="J16" s="27">
        <v>103.298155996752</v>
      </c>
      <c r="K16" s="27">
        <v>77.846766028779996</v>
      </c>
      <c r="L16" s="27">
        <v>60.941125580535797</v>
      </c>
    </row>
    <row r="17" spans="1:12" x14ac:dyDescent="0.35">
      <c r="A17" s="26" t="s">
        <v>23</v>
      </c>
      <c r="B17" s="27">
        <v>18007.967536902801</v>
      </c>
      <c r="C17" s="27">
        <v>5441.2634392405998</v>
      </c>
      <c r="D17" s="27">
        <v>1250.0927869396301</v>
      </c>
      <c r="E17" s="27">
        <v>463.71673323314002</v>
      </c>
      <c r="F17" s="27">
        <v>219.07887200919501</v>
      </c>
      <c r="G17" s="27">
        <v>120.359423422118</v>
      </c>
      <c r="H17" s="27">
        <v>73.457661287659306</v>
      </c>
      <c r="I17" s="27">
        <v>48.491487766464999</v>
      </c>
      <c r="J17" s="27">
        <v>34.0291684636342</v>
      </c>
      <c r="K17" s="27">
        <v>25.081938622959701</v>
      </c>
      <c r="L17" s="27">
        <v>19.2464428274669</v>
      </c>
    </row>
    <row r="18" spans="1:12" x14ac:dyDescent="0.3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5">
      <c r="A19" s="26" t="s">
        <v>80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35">
      <c r="A20" s="26" t="s">
        <v>0</v>
      </c>
      <c r="B20" s="27">
        <v>-1.8521464379999999E-6</v>
      </c>
      <c r="C20" s="27">
        <v>-8.1715819489999999E-7</v>
      </c>
      <c r="D20" s="27">
        <v>-2.330522317E-7</v>
      </c>
      <c r="E20" s="27">
        <v>-9.7564797619999998E-8</v>
      </c>
      <c r="F20" s="27">
        <v>-5.0360955879999998E-8</v>
      </c>
      <c r="G20" s="27">
        <v>-2.9669606780000001E-8</v>
      </c>
      <c r="H20" s="27">
        <v>-1.9184595790000001E-8</v>
      </c>
      <c r="I20" s="27">
        <v>-1.3304267059999999E-8</v>
      </c>
      <c r="J20" s="27">
        <v>-9.7462693690000002E-9</v>
      </c>
      <c r="K20" s="27">
        <v>-7.4614981309999994E-9</v>
      </c>
      <c r="L20" s="27">
        <v>-5.9219867989999998E-9</v>
      </c>
    </row>
    <row r="21" spans="1:12" x14ac:dyDescent="0.35">
      <c r="A21" s="26" t="s">
        <v>5</v>
      </c>
      <c r="B21" s="27">
        <v>-2.4042522119999999E-6</v>
      </c>
      <c r="C21" s="27">
        <v>-8.6004214379999997E-7</v>
      </c>
      <c r="D21" s="27">
        <v>-2.3430415930000001E-7</v>
      </c>
      <c r="E21" s="27">
        <v>-9.7667230920000002E-8</v>
      </c>
      <c r="F21" s="27">
        <v>-5.0365104980000002E-8</v>
      </c>
      <c r="G21" s="27">
        <v>-2.9662326080000001E-8</v>
      </c>
      <c r="H21" s="27">
        <v>-1.9177108840000001E-8</v>
      </c>
      <c r="I21" s="27">
        <v>-1.3298075270000001E-8</v>
      </c>
      <c r="J21" s="27">
        <v>-9.741345764E-9</v>
      </c>
      <c r="K21" s="27">
        <v>-7.457606899E-9</v>
      </c>
      <c r="L21" s="27">
        <v>-5.918910919E-9</v>
      </c>
    </row>
    <row r="22" spans="1:12" x14ac:dyDescent="0.35">
      <c r="A22" s="26" t="s">
        <v>10</v>
      </c>
      <c r="B22" s="27">
        <v>-2.4235342149999999E-6</v>
      </c>
      <c r="C22" s="27">
        <v>-8.3969348899999997E-7</v>
      </c>
      <c r="D22" s="27">
        <v>-2.2597560500000001E-7</v>
      </c>
      <c r="E22" s="27">
        <v>-9.3751806800000003E-8</v>
      </c>
      <c r="F22" s="27">
        <v>-4.8211432119999998E-8</v>
      </c>
      <c r="G22" s="27">
        <v>-2.834246019E-8</v>
      </c>
      <c r="H22" s="27">
        <v>-1.8300639569999999E-8</v>
      </c>
      <c r="I22" s="27">
        <v>-1.2524496729999999E-8</v>
      </c>
      <c r="J22" s="27">
        <v>-9.2787817490000005E-9</v>
      </c>
      <c r="K22" s="27">
        <v>-7.0969628480000001E-9</v>
      </c>
      <c r="L22" s="27">
        <v>-5.6268423939999998E-9</v>
      </c>
    </row>
    <row r="23" spans="1:12" x14ac:dyDescent="0.35">
      <c r="A23" s="26" t="s">
        <v>23</v>
      </c>
      <c r="B23" s="27">
        <v>-2.749227451E-6</v>
      </c>
      <c r="C23" s="27">
        <v>-1.1765830199999999E-6</v>
      </c>
      <c r="D23" s="27">
        <v>-3.797300606E-7</v>
      </c>
      <c r="E23" s="27">
        <v>-1.708580421E-7</v>
      </c>
      <c r="F23" s="27">
        <v>-9.1901565630000006E-8</v>
      </c>
      <c r="G23" s="27">
        <v>-5.540367309E-8</v>
      </c>
      <c r="H23" s="27">
        <v>-3.6200250659999999E-8</v>
      </c>
      <c r="I23" s="27">
        <v>-2.5131343419999998E-8</v>
      </c>
      <c r="J23" s="27">
        <v>-1.829993302E-8</v>
      </c>
      <c r="K23" s="27">
        <v>-1.385202266E-8</v>
      </c>
      <c r="L23" s="27">
        <v>-1.082785873E-8</v>
      </c>
    </row>
    <row r="25" spans="1:12" x14ac:dyDescent="0.35">
      <c r="B25" s="26" t="s">
        <v>80</v>
      </c>
      <c r="C25" s="26" t="s">
        <v>44</v>
      </c>
    </row>
    <row r="26" spans="1:12" x14ac:dyDescent="0.35">
      <c r="A26" s="26" t="s">
        <v>0</v>
      </c>
      <c r="B26" s="27">
        <v>-8.3694191309999999E-6</v>
      </c>
      <c r="C26" s="27">
        <v>-4.0852567669999999E-10</v>
      </c>
    </row>
    <row r="27" spans="1:12" x14ac:dyDescent="0.35">
      <c r="A27" s="26" t="s">
        <v>5</v>
      </c>
      <c r="B27" s="27">
        <v>-1.3668274989999999E-5</v>
      </c>
      <c r="C27" s="27">
        <v>-1.0313023509999999E-10</v>
      </c>
    </row>
    <row r="28" spans="1:12" x14ac:dyDescent="0.35">
      <c r="A28" s="26" t="s">
        <v>10</v>
      </c>
      <c r="B28" s="27">
        <v>-1.3652887090000001E-5</v>
      </c>
      <c r="C28" s="27">
        <v>-1.032556475E-10</v>
      </c>
      <c r="E28" s="27">
        <f>B28*60</f>
        <v>-8.1917322540000007E-4</v>
      </c>
      <c r="F28" s="26" t="s">
        <v>124</v>
      </c>
    </row>
    <row r="29" spans="1:12" x14ac:dyDescent="0.35">
      <c r="A29" s="26" t="s">
        <v>23</v>
      </c>
    </row>
    <row r="31" spans="1:12" x14ac:dyDescent="0.35">
      <c r="A31" s="26" t="s">
        <v>122</v>
      </c>
    </row>
    <row r="32" spans="1:12" x14ac:dyDescent="0.35">
      <c r="A32" s="26" t="s">
        <v>0</v>
      </c>
      <c r="B32" s="26">
        <v>3.8675000000000002</v>
      </c>
      <c r="E32" s="26">
        <f>B32*2.5</f>
        <v>9.6687500000000011</v>
      </c>
      <c r="F32" s="26" t="s">
        <v>123</v>
      </c>
    </row>
    <row r="33" spans="1:2" x14ac:dyDescent="0.35">
      <c r="A33" s="26" t="s">
        <v>5</v>
      </c>
      <c r="B33" s="26">
        <v>6.5716999999999999</v>
      </c>
    </row>
    <row r="34" spans="1:2" x14ac:dyDescent="0.35">
      <c r="A34" s="26" t="s">
        <v>10</v>
      </c>
      <c r="B34" s="26">
        <v>8.1280999999999999</v>
      </c>
    </row>
    <row r="35" spans="1:2" x14ac:dyDescent="0.35">
      <c r="A35" s="26" t="s">
        <v>23</v>
      </c>
      <c r="B35" s="26">
        <v>7.0815999999999999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8"/>
  <sheetViews>
    <sheetView topLeftCell="A30" workbookViewId="0">
      <selection activeCell="C47" sqref="C47"/>
    </sheetView>
  </sheetViews>
  <sheetFormatPr defaultRowHeight="14.5" x14ac:dyDescent="0.35"/>
  <cols>
    <col min="1" max="1" width="8.7265625" style="15"/>
    <col min="2" max="12" width="9.36328125" style="15" bestFit="1" customWidth="1"/>
    <col min="13" max="15" width="8.7265625" style="15"/>
    <col min="16" max="17" width="9.81640625" style="15" bestFit="1" customWidth="1"/>
    <col min="18" max="16384" width="8.7265625" style="15"/>
  </cols>
  <sheetData>
    <row r="1" spans="1:25" x14ac:dyDescent="0.35">
      <c r="A1" s="15" t="s">
        <v>59</v>
      </c>
      <c r="B1" s="15">
        <v>0.04</v>
      </c>
      <c r="C1" s="15">
        <v>0.1</v>
      </c>
      <c r="D1" s="15">
        <v>0.2</v>
      </c>
      <c r="E1" s="15">
        <v>0.3</v>
      </c>
      <c r="F1" s="15">
        <v>0.4</v>
      </c>
      <c r="G1" s="15">
        <v>0.5</v>
      </c>
      <c r="H1" s="15">
        <v>0.6</v>
      </c>
      <c r="I1" s="15">
        <v>0.7</v>
      </c>
      <c r="J1" s="15">
        <v>0.8</v>
      </c>
      <c r="K1" s="15">
        <v>0.9</v>
      </c>
      <c r="L1" s="15">
        <v>1</v>
      </c>
      <c r="O1" s="37" t="s">
        <v>81</v>
      </c>
      <c r="P1" s="37" t="s">
        <v>82</v>
      </c>
      <c r="Q1" s="37" t="s">
        <v>114</v>
      </c>
    </row>
    <row r="2" spans="1:25" x14ac:dyDescent="0.35">
      <c r="A2" s="15" t="s">
        <v>55</v>
      </c>
      <c r="B2" s="16">
        <v>4619787.4905178696</v>
      </c>
      <c r="C2" s="16">
        <v>841367237.10611403</v>
      </c>
      <c r="D2" s="16">
        <v>14955899642.7062</v>
      </c>
      <c r="E2" s="16">
        <v>22303175871.5485</v>
      </c>
      <c r="F2" s="16">
        <v>26375837866.526001</v>
      </c>
      <c r="G2" s="16">
        <v>29325675911.295502</v>
      </c>
      <c r="H2" s="16">
        <v>31714399996.6922</v>
      </c>
      <c r="I2" s="16">
        <v>33783550882.178299</v>
      </c>
      <c r="J2" s="16">
        <v>35645205793.012497</v>
      </c>
      <c r="K2" s="16">
        <v>37357743713.597</v>
      </c>
      <c r="L2" s="16">
        <v>38954929409.8582</v>
      </c>
      <c r="M2" s="15" t="s">
        <v>81</v>
      </c>
      <c r="O2" s="37" t="s">
        <v>152</v>
      </c>
      <c r="P2" s="37" t="s">
        <v>152</v>
      </c>
      <c r="Q2" s="37" t="s">
        <v>153</v>
      </c>
    </row>
    <row r="3" spans="1:25" x14ac:dyDescent="0.35">
      <c r="B3" s="16">
        <v>4471251.1277179299</v>
      </c>
      <c r="C3" s="16">
        <v>714817344.25779796</v>
      </c>
      <c r="D3" s="16">
        <v>14801037048.228901</v>
      </c>
      <c r="E3" s="16">
        <v>22235181816.566002</v>
      </c>
      <c r="F3" s="16">
        <v>26300803475.2938</v>
      </c>
      <c r="G3" s="16">
        <v>29235996867.459499</v>
      </c>
      <c r="H3" s="16">
        <v>31610790224.711601</v>
      </c>
      <c r="I3" s="16">
        <v>33667646963.805199</v>
      </c>
      <c r="J3" s="16">
        <v>35518450640.076897</v>
      </c>
      <c r="K3" s="16">
        <v>37221346201.984802</v>
      </c>
      <c r="L3" s="16">
        <v>38809853823.1875</v>
      </c>
      <c r="M3" s="15" t="s">
        <v>82</v>
      </c>
    </row>
    <row r="4" spans="1:25" x14ac:dyDescent="0.35">
      <c r="B4" s="16">
        <v>808165.85985209397</v>
      </c>
      <c r="C4" s="16">
        <v>4441287.4927448602</v>
      </c>
      <c r="D4" s="16">
        <v>54109546.087314598</v>
      </c>
      <c r="E4" s="16">
        <v>232810182.51497501</v>
      </c>
      <c r="F4" s="16">
        <v>557389827.766294</v>
      </c>
      <c r="G4" s="16">
        <v>913146955.737728</v>
      </c>
      <c r="H4" s="16">
        <v>1182877789.5253601</v>
      </c>
      <c r="I4" s="16">
        <v>1349978210.26179</v>
      </c>
      <c r="J4" s="16">
        <v>1446012504.72458</v>
      </c>
      <c r="K4" s="16">
        <v>1501076486.41909</v>
      </c>
      <c r="L4" s="16">
        <v>1533841658.7449</v>
      </c>
      <c r="M4" s="15" t="s">
        <v>114</v>
      </c>
    </row>
    <row r="5" spans="1:25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25" x14ac:dyDescent="0.35">
      <c r="A6" s="15" t="s">
        <v>5</v>
      </c>
      <c r="B6" s="16">
        <v>617075804.30610204</v>
      </c>
      <c r="C6" s="16">
        <v>10200346168.9454</v>
      </c>
      <c r="D6" s="16">
        <v>143362772226.89401</v>
      </c>
      <c r="E6" s="16">
        <v>498541430422.94397</v>
      </c>
      <c r="F6" s="16">
        <v>851185865014.81104</v>
      </c>
      <c r="G6" s="16">
        <v>1073902677241.74</v>
      </c>
      <c r="H6" s="16">
        <v>1210882667417.8501</v>
      </c>
      <c r="I6" s="16">
        <v>1305509575864</v>
      </c>
      <c r="J6" s="16">
        <v>1378681964738.1899</v>
      </c>
      <c r="K6" s="16">
        <v>1439856022227.45</v>
      </c>
      <c r="L6" s="16">
        <v>1493583378039.8201</v>
      </c>
      <c r="M6" s="15" t="s">
        <v>81</v>
      </c>
      <c r="N6" s="15" t="s">
        <v>84</v>
      </c>
      <c r="O6" s="16">
        <v>1572339.44911124</v>
      </c>
      <c r="P6" s="16">
        <v>11377653.4969531</v>
      </c>
      <c r="Q6" s="16">
        <v>92256385.621860206</v>
      </c>
      <c r="R6" s="16">
        <v>316193366.34001899</v>
      </c>
      <c r="S6" s="16">
        <v>706895037.81602895</v>
      </c>
      <c r="T6" s="16">
        <v>1161984667.4402599</v>
      </c>
      <c r="U6" s="16">
        <v>1537530191.6753199</v>
      </c>
      <c r="V6" s="16">
        <v>1781446144.2340801</v>
      </c>
      <c r="W6" s="16">
        <v>1919957311.61796</v>
      </c>
      <c r="X6" s="16">
        <v>1993717476.0994301</v>
      </c>
      <c r="Y6" s="16">
        <v>2031898783.4835999</v>
      </c>
    </row>
    <row r="7" spans="1:25" x14ac:dyDescent="0.35">
      <c r="B7" s="16">
        <v>593724406.78578305</v>
      </c>
      <c r="C7" s="16">
        <v>9996304275.5155392</v>
      </c>
      <c r="D7" s="16">
        <v>141192250792.30301</v>
      </c>
      <c r="E7" s="16">
        <v>491368296548.901</v>
      </c>
      <c r="F7" s="16">
        <v>839050823126.38599</v>
      </c>
      <c r="G7" s="16">
        <v>1058651964723.64</v>
      </c>
      <c r="H7" s="16">
        <v>1193721620233.73</v>
      </c>
      <c r="I7" s="16">
        <v>1287073756406.1699</v>
      </c>
      <c r="J7" s="16">
        <v>1359237838074.27</v>
      </c>
      <c r="K7" s="16">
        <v>1419570757408.3501</v>
      </c>
      <c r="L7" s="16">
        <v>1472552268828.49</v>
      </c>
      <c r="M7" s="15" t="s">
        <v>82</v>
      </c>
      <c r="N7" s="15" t="s">
        <v>84</v>
      </c>
      <c r="O7" s="16">
        <v>1570300.77518489</v>
      </c>
      <c r="P7" s="16">
        <v>11340469.982813301</v>
      </c>
      <c r="Q7" s="16">
        <v>91643262.177054703</v>
      </c>
      <c r="R7" s="16">
        <v>313139995.074624</v>
      </c>
      <c r="S7" s="16">
        <v>700913707.15862405</v>
      </c>
      <c r="T7" s="16">
        <v>1158206782.06897</v>
      </c>
      <c r="U7" s="16">
        <v>1541948265.6621201</v>
      </c>
      <c r="V7" s="16">
        <v>1794793513.4786401</v>
      </c>
      <c r="W7" s="16">
        <v>1939480571.25582</v>
      </c>
      <c r="X7" s="16">
        <v>2016385965.67207</v>
      </c>
      <c r="Y7" s="16">
        <v>2055564732.8831201</v>
      </c>
    </row>
    <row r="8" spans="1:25" x14ac:dyDescent="0.35">
      <c r="B8" s="16">
        <v>1572339.44911124</v>
      </c>
      <c r="C8" s="16">
        <v>11377653.4969531</v>
      </c>
      <c r="D8" s="16">
        <v>92256385.621860206</v>
      </c>
      <c r="E8" s="16">
        <v>316193366.34001899</v>
      </c>
      <c r="F8" s="16">
        <v>706895037.81602895</v>
      </c>
      <c r="G8" s="16">
        <v>1161984667.4402599</v>
      </c>
      <c r="H8" s="16">
        <v>1537530191.6753199</v>
      </c>
      <c r="I8" s="16">
        <v>1781446144.2340801</v>
      </c>
      <c r="J8" s="16">
        <v>1919957311.61796</v>
      </c>
      <c r="K8" s="16">
        <v>1993717476.0994301</v>
      </c>
      <c r="L8" s="16">
        <v>2031898783.4835999</v>
      </c>
      <c r="M8" s="15" t="s">
        <v>114</v>
      </c>
    </row>
    <row r="9" spans="1:25" x14ac:dyDescent="0.3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25" x14ac:dyDescent="0.35">
      <c r="A10" s="15" t="s">
        <v>57</v>
      </c>
      <c r="B10" s="16">
        <v>922569648.68297601</v>
      </c>
      <c r="C10" s="16">
        <v>2264408140.45718</v>
      </c>
      <c r="D10" s="16">
        <v>4093539659.02806</v>
      </c>
      <c r="E10" s="16">
        <v>5374993984.6112804</v>
      </c>
      <c r="F10" s="16">
        <v>6240161490.99261</v>
      </c>
      <c r="G10" s="16">
        <v>8637502132.7607002</v>
      </c>
      <c r="H10" s="16">
        <v>7917559499.0057802</v>
      </c>
      <c r="I10" s="16">
        <v>7867121931.0482597</v>
      </c>
      <c r="J10" s="16">
        <v>7416733069.22019</v>
      </c>
      <c r="K10" s="16">
        <v>7421706814.1720505</v>
      </c>
      <c r="L10" s="16">
        <v>7852321254.4695902</v>
      </c>
      <c r="M10" s="15" t="s">
        <v>81</v>
      </c>
    </row>
    <row r="11" spans="1:25" x14ac:dyDescent="0.35">
      <c r="B11" s="16">
        <v>743517437.421134</v>
      </c>
      <c r="C11" s="16">
        <v>1789955073.6819601</v>
      </c>
      <c r="D11" s="16">
        <v>3181807801.3758702</v>
      </c>
      <c r="E11" s="16">
        <v>3963313193.20083</v>
      </c>
      <c r="F11" s="16">
        <v>4405203773.3197298</v>
      </c>
      <c r="G11" s="16">
        <v>6199738793.6383801</v>
      </c>
      <c r="H11" s="16">
        <v>5091628432.3557997</v>
      </c>
      <c r="I11" s="16">
        <v>5175082246.7735796</v>
      </c>
      <c r="J11" s="16">
        <v>5040041477.2733698</v>
      </c>
      <c r="K11" s="16">
        <v>4904414988.0728302</v>
      </c>
      <c r="L11" s="16">
        <v>5147780666.8977098</v>
      </c>
      <c r="M11" s="15" t="s">
        <v>82</v>
      </c>
    </row>
    <row r="12" spans="1:25" x14ac:dyDescent="0.35">
      <c r="B12" s="16">
        <v>23154726.557404701</v>
      </c>
      <c r="C12" s="16">
        <v>200626693.13672701</v>
      </c>
      <c r="D12" s="16">
        <v>1854587379.8534501</v>
      </c>
      <c r="E12" s="16">
        <v>6585431253.9068899</v>
      </c>
      <c r="F12" s="16">
        <v>16067611447.464399</v>
      </c>
      <c r="G12" s="16">
        <v>125882682312.854</v>
      </c>
      <c r="H12" s="16">
        <v>-11776881191.712601</v>
      </c>
      <c r="I12" s="16">
        <v>26659094360.642899</v>
      </c>
      <c r="J12" s="16">
        <v>-15676159973.093599</v>
      </c>
      <c r="K12" s="16">
        <v>178079036379.517</v>
      </c>
      <c r="L12" s="16">
        <v>148034185697.802</v>
      </c>
    </row>
    <row r="13" spans="1:25" x14ac:dyDescent="0.3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25" x14ac:dyDescent="0.35">
      <c r="A14" s="15" t="s">
        <v>58</v>
      </c>
      <c r="B14" s="16">
        <v>58170689.260848902</v>
      </c>
      <c r="C14" s="16">
        <v>275897820.85442197</v>
      </c>
      <c r="D14" s="16">
        <v>1072046604.897</v>
      </c>
      <c r="E14" s="16">
        <v>1871324240.5893199</v>
      </c>
      <c r="F14" s="16">
        <v>2529089333.8796902</v>
      </c>
      <c r="G14" s="16">
        <v>3054647935.8373699</v>
      </c>
      <c r="H14" s="16">
        <v>3463833556.7624302</v>
      </c>
      <c r="I14" s="16">
        <v>3783031825.46385</v>
      </c>
      <c r="J14" s="16">
        <v>4032895880.6023102</v>
      </c>
      <c r="K14" s="16">
        <v>4230164402.91642</v>
      </c>
      <c r="L14" s="16">
        <v>4384728710.3281298</v>
      </c>
      <c r="M14" s="15" t="s">
        <v>81</v>
      </c>
      <c r="O14" s="37" t="s">
        <v>81</v>
      </c>
      <c r="P14" s="37" t="s">
        <v>82</v>
      </c>
      <c r="Q14" s="37" t="s">
        <v>114</v>
      </c>
    </row>
    <row r="15" spans="1:25" x14ac:dyDescent="0.35">
      <c r="B15" s="16">
        <v>50396522.077823803</v>
      </c>
      <c r="C15" s="16">
        <v>245567733.77717599</v>
      </c>
      <c r="D15" s="16">
        <v>978383265.61704397</v>
      </c>
      <c r="E15" s="16">
        <v>1698776225.43519</v>
      </c>
      <c r="F15" s="16">
        <v>2239692798.9505</v>
      </c>
      <c r="G15" s="16">
        <v>2634734761.4009299</v>
      </c>
      <c r="H15" s="16">
        <v>2926377732.4990101</v>
      </c>
      <c r="I15" s="16">
        <v>3143906953.2098598</v>
      </c>
      <c r="J15" s="16">
        <v>3313150909.88868</v>
      </c>
      <c r="K15" s="16">
        <v>3443531013.0139899</v>
      </c>
      <c r="L15" s="16">
        <v>3545852415.0721598</v>
      </c>
      <c r="M15" s="15" t="s">
        <v>82</v>
      </c>
      <c r="O15" s="37" t="s">
        <v>155</v>
      </c>
      <c r="P15" s="37" t="s">
        <v>155</v>
      </c>
      <c r="Q15" s="37" t="s">
        <v>156</v>
      </c>
    </row>
    <row r="16" spans="1:25" x14ac:dyDescent="0.35">
      <c r="B16" s="16">
        <v>912983.85970785597</v>
      </c>
      <c r="C16" s="16">
        <v>2322226.5891535501</v>
      </c>
      <c r="D16" s="16">
        <v>9096668.7351095006</v>
      </c>
      <c r="E16" s="16">
        <v>22099356.8797048</v>
      </c>
      <c r="F16" s="16">
        <v>41666993.575386703</v>
      </c>
      <c r="G16" s="16">
        <v>68105439.963671997</v>
      </c>
      <c r="H16" s="16">
        <v>101908458.37417699</v>
      </c>
      <c r="I16" s="16">
        <v>143652425.51023901</v>
      </c>
      <c r="J16" s="16">
        <v>193900164.75194401</v>
      </c>
      <c r="K16" s="16">
        <v>253127698.530532</v>
      </c>
      <c r="L16" s="16">
        <v>321727556.95594299</v>
      </c>
      <c r="M16" s="15" t="s">
        <v>115</v>
      </c>
    </row>
    <row r="19" spans="1:25" x14ac:dyDescent="0.35">
      <c r="A19" s="15" t="s">
        <v>88</v>
      </c>
    </row>
    <row r="20" spans="1:25" x14ac:dyDescent="0.35">
      <c r="A20" s="15" t="s">
        <v>0</v>
      </c>
      <c r="B20" s="16">
        <v>3.2957063311207499E-6</v>
      </c>
      <c r="C20" s="16">
        <v>2.5310269067503102E-6</v>
      </c>
      <c r="D20" s="16">
        <v>9.1427839256567597E-7</v>
      </c>
      <c r="E20" s="16">
        <v>4.1225195737422499E-7</v>
      </c>
      <c r="F20" s="16">
        <v>2.1990033875243799E-7</v>
      </c>
      <c r="G20" s="16">
        <v>1.3068752931838499E-7</v>
      </c>
      <c r="H20" s="16">
        <v>8.3812198943539196E-8</v>
      </c>
      <c r="I20" s="16">
        <v>5.6921130846604599E-8</v>
      </c>
      <c r="J20" s="16">
        <v>4.04424181604998E-8</v>
      </c>
      <c r="K20" s="16">
        <v>2.9806225529905299E-8</v>
      </c>
      <c r="L20" s="16">
        <v>2.2644801180943199E-8</v>
      </c>
      <c r="O20" s="16">
        <v>3.29570633112075</v>
      </c>
      <c r="P20" s="16">
        <v>2.5310269067503102</v>
      </c>
      <c r="Q20" s="16">
        <v>0.914278392565676</v>
      </c>
      <c r="R20" s="16">
        <v>0.41225195737422499</v>
      </c>
      <c r="S20" s="16">
        <v>0.219900338752438</v>
      </c>
      <c r="T20" s="16">
        <v>0.13068752931838501</v>
      </c>
      <c r="U20" s="16">
        <v>8.3812198943539196E-2</v>
      </c>
      <c r="V20" s="16">
        <v>5.6921130846604599E-2</v>
      </c>
      <c r="W20" s="16">
        <v>4.0442418160499802E-2</v>
      </c>
      <c r="X20" s="16">
        <v>2.9806225529905299E-2</v>
      </c>
      <c r="Y20" s="16">
        <v>2.2644801180943201E-2</v>
      </c>
    </row>
    <row r="21" spans="1:25" x14ac:dyDescent="0.35">
      <c r="A21" s="15" t="s">
        <v>5</v>
      </c>
      <c r="B21" s="16">
        <v>6.4542385579664696E-6</v>
      </c>
      <c r="C21" s="16">
        <v>2.9483299113080701E-6</v>
      </c>
      <c r="D21" s="16">
        <v>9.306279066080509E-7</v>
      </c>
      <c r="E21" s="16">
        <v>4.1428468318570998E-7</v>
      </c>
      <c r="F21" s="16">
        <v>2.2041096359032299E-7</v>
      </c>
      <c r="G21" s="16">
        <v>1.30944700429838E-7</v>
      </c>
      <c r="H21" s="16">
        <v>8.4015293164686689E-8</v>
      </c>
      <c r="I21" s="16">
        <v>5.7109943527671402E-8</v>
      </c>
      <c r="J21" s="16">
        <v>4.0626243768538395E-8</v>
      </c>
      <c r="K21" s="16">
        <v>2.9987600304929997E-8</v>
      </c>
      <c r="L21" s="16">
        <v>2.2824565423958901E-8</v>
      </c>
      <c r="O21" s="16">
        <v>6.4542385579664696</v>
      </c>
      <c r="P21" s="16">
        <v>2.9483299113080701</v>
      </c>
      <c r="Q21" s="16">
        <v>0.93062790660805095</v>
      </c>
      <c r="R21" s="16">
        <v>0.41428468318570999</v>
      </c>
      <c r="S21" s="16">
        <v>0.220410963590323</v>
      </c>
      <c r="T21" s="16">
        <v>0.130944700429838</v>
      </c>
      <c r="U21" s="16">
        <v>8.40152931646867E-2</v>
      </c>
      <c r="V21" s="16">
        <v>5.7109943527671403E-2</v>
      </c>
      <c r="W21" s="16">
        <v>4.0626243768538399E-2</v>
      </c>
      <c r="X21" s="16">
        <v>2.9987600304930001E-2</v>
      </c>
      <c r="Y21" s="16">
        <v>2.2824565423958901E-2</v>
      </c>
    </row>
    <row r="22" spans="1:25" x14ac:dyDescent="0.35">
      <c r="A22" s="15" t="s">
        <v>10</v>
      </c>
      <c r="B22" s="16">
        <v>7.3629028278120594E-6</v>
      </c>
      <c r="C22" s="16">
        <v>3.0529899647327299E-6</v>
      </c>
      <c r="D22" s="16">
        <v>9.3827531735306897E-7</v>
      </c>
      <c r="E22" s="16">
        <v>4.15133197277953E-7</v>
      </c>
      <c r="F22" s="16">
        <v>2.2038621140641601E-7</v>
      </c>
      <c r="G22" s="16">
        <v>1.3089156539834399E-7</v>
      </c>
      <c r="H22" s="16">
        <v>8.4066649250326405E-8</v>
      </c>
      <c r="I22" s="16">
        <v>5.7260569204165702E-8</v>
      </c>
      <c r="J22" s="16">
        <v>4.0867475296443195E-8</v>
      </c>
      <c r="K22" s="16">
        <v>3.0291797321803496E-8</v>
      </c>
      <c r="L22" s="16">
        <v>2.3174934897482699E-8</v>
      </c>
      <c r="O22" s="16">
        <v>7.3629028278120598</v>
      </c>
      <c r="P22" s="16">
        <v>3.0529899647327299</v>
      </c>
      <c r="Q22" s="16">
        <v>0.93827531735306902</v>
      </c>
      <c r="R22" s="16">
        <v>0.415133197277953</v>
      </c>
      <c r="S22" s="16">
        <v>0.22038621140641601</v>
      </c>
      <c r="T22" s="16">
        <v>0.13089156539834401</v>
      </c>
      <c r="U22" s="16">
        <v>8.4066649250326406E-2</v>
      </c>
      <c r="V22" s="16">
        <v>5.7260569204165702E-2</v>
      </c>
      <c r="W22" s="16">
        <v>4.0867475296443197E-2</v>
      </c>
      <c r="X22" s="16">
        <v>3.0291797321803499E-2</v>
      </c>
      <c r="Y22" s="16">
        <v>2.31749348974827E-2</v>
      </c>
    </row>
    <row r="23" spans="1:25" x14ac:dyDescent="0.35">
      <c r="A23" s="15" t="s">
        <v>23</v>
      </c>
      <c r="B23" s="16">
        <v>1.9997379234998101E-6</v>
      </c>
      <c r="C23" s="16">
        <v>5.1026897288270003E-7</v>
      </c>
      <c r="D23" s="16">
        <v>1.1029006248271799E-7</v>
      </c>
      <c r="E23" s="16">
        <v>4.0169065680126599E-8</v>
      </c>
      <c r="F23" s="16">
        <v>1.8429068083821799E-8</v>
      </c>
      <c r="G23" s="16">
        <v>9.6432159322324806E-9</v>
      </c>
      <c r="H23" s="16">
        <v>5.5019270291263497E-9</v>
      </c>
      <c r="I23" s="16">
        <v>3.3442348125081595E-9</v>
      </c>
      <c r="J23" s="16">
        <v>2.1362792166021896E-9</v>
      </c>
      <c r="K23" s="16">
        <v>1.4214177260660401E-9</v>
      </c>
      <c r="L23" s="16">
        <v>9.79079780734301E-10</v>
      </c>
      <c r="O23" s="16">
        <v>1.9997379234998101</v>
      </c>
      <c r="P23" s="16">
        <v>0.51026897288270001</v>
      </c>
      <c r="Q23" s="16">
        <v>0.110290062482718</v>
      </c>
      <c r="R23" s="16">
        <v>4.0169065680126598E-2</v>
      </c>
      <c r="S23" s="16">
        <v>1.84290680838218E-2</v>
      </c>
      <c r="T23" s="16">
        <v>9.6432159322324806E-3</v>
      </c>
      <c r="U23" s="16">
        <v>5.50192702912635E-3</v>
      </c>
      <c r="V23" s="16">
        <v>3.3442348125081599E-3</v>
      </c>
      <c r="W23" s="16">
        <v>2.1362792166021898E-3</v>
      </c>
      <c r="X23" s="16">
        <v>1.4214177260660401E-3</v>
      </c>
      <c r="Y23" s="16">
        <v>9.790797807343011E-4</v>
      </c>
    </row>
    <row r="25" spans="1:25" x14ac:dyDescent="0.35">
      <c r="A25" s="15" t="s">
        <v>116</v>
      </c>
      <c r="B25" s="15" t="s">
        <v>117</v>
      </c>
      <c r="C25" s="37" t="s">
        <v>158</v>
      </c>
      <c r="D25" s="38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x14ac:dyDescent="0.35">
      <c r="A26" s="15" t="s">
        <v>0</v>
      </c>
      <c r="B26" s="16">
        <f>B20*B4</f>
        <v>2.6634773409101906</v>
      </c>
      <c r="C26" s="16">
        <f t="shared" ref="C26:L26" si="0">C20*C4</f>
        <v>11.241018144750864</v>
      </c>
      <c r="D26" s="16">
        <f t="shared" si="0"/>
        <v>49.471188819168354</v>
      </c>
      <c r="E26" s="16">
        <f t="shared" si="0"/>
        <v>95.976453438449013</v>
      </c>
      <c r="F26" s="16">
        <f t="shared" si="0"/>
        <v>122.57021194297111</v>
      </c>
      <c r="G26" s="16">
        <f t="shared" si="0"/>
        <v>119.33691954996833</v>
      </c>
      <c r="H26" s="16">
        <f t="shared" si="0"/>
        <v>99.139588621593361</v>
      </c>
      <c r="I26" s="16">
        <f t="shared" si="0"/>
        <v>76.84228634637644</v>
      </c>
      <c r="J26" s="16">
        <f t="shared" si="0"/>
        <v>58.480242381383157</v>
      </c>
      <c r="K26" s="16">
        <f t="shared" si="0"/>
        <v>44.741424291845227</v>
      </c>
      <c r="L26" s="16">
        <f t="shared" si="0"/>
        <v>34.73353940532639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x14ac:dyDescent="0.35">
      <c r="A27" s="15" t="s">
        <v>5</v>
      </c>
      <c r="B27" s="16">
        <f>B21*B8</f>
        <v>10.148253898665523</v>
      </c>
      <c r="C27" s="16">
        <f t="shared" ref="C27:L27" si="1">C21*C8</f>
        <v>33.545076125565686</v>
      </c>
      <c r="D27" s="16">
        <f t="shared" si="1"/>
        <v>85.856367022496855</v>
      </c>
      <c r="E27" s="16">
        <f t="shared" si="1"/>
        <v>130.99406859959791</v>
      </c>
      <c r="F27" s="16">
        <f t="shared" si="1"/>
        <v>155.80741644224875</v>
      </c>
      <c r="G27" s="16">
        <f t="shared" si="1"/>
        <v>152.15573418202976</v>
      </c>
      <c r="H27" s="16">
        <f t="shared" si="1"/>
        <v>129.17604980315892</v>
      </c>
      <c r="I27" s="16">
        <f t="shared" si="1"/>
        <v>101.73828869479628</v>
      </c>
      <c r="J27" s="16">
        <f t="shared" si="1"/>
        <v>78.000653766978871</v>
      </c>
      <c r="K27" s="16">
        <f t="shared" si="1"/>
        <v>59.786802794223533</v>
      </c>
      <c r="L27" s="16">
        <f t="shared" si="1"/>
        <v>46.377206718483926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x14ac:dyDescent="0.35">
      <c r="A28" s="15" t="s">
        <v>10</v>
      </c>
      <c r="B28" s="16">
        <f>B22*B12</f>
        <v>170.48600164673007</v>
      </c>
      <c r="C28" s="16">
        <f t="shared" ref="C28:L28" si="2">C22*C12</f>
        <v>612.51128080394039</v>
      </c>
      <c r="D28" s="16">
        <f t="shared" si="2"/>
        <v>1740.1135623909925</v>
      </c>
      <c r="E28" s="16">
        <f t="shared" si="2"/>
        <v>2733.8311318885262</v>
      </c>
      <c r="F28" s="16">
        <f t="shared" si="2"/>
        <v>3541.0800132570389</v>
      </c>
      <c r="G28" s="16">
        <f t="shared" si="2"/>
        <v>16476.981344471889</v>
      </c>
      <c r="H28" s="16">
        <f t="shared" si="2"/>
        <v>-990.04294040646926</v>
      </c>
      <c r="I28" s="16">
        <f t="shared" si="2"/>
        <v>1526.5149175579763</v>
      </c>
      <c r="J28" s="16">
        <f t="shared" si="2"/>
        <v>-640.64508044349429</v>
      </c>
      <c r="K28" s="16">
        <f t="shared" si="2"/>
        <v>5394.3340772704005</v>
      </c>
      <c r="L28" s="16">
        <f t="shared" si="2"/>
        <v>3430.682616148426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35">
      <c r="A29" s="15" t="s">
        <v>23</v>
      </c>
      <c r="B29" s="16">
        <f>B23*B16</f>
        <v>1.8257284478010298</v>
      </c>
      <c r="C29" s="16">
        <f t="shared" ref="C29:L29" si="3">C23*C16</f>
        <v>1.1849601764482778</v>
      </c>
      <c r="D29" s="16">
        <f t="shared" si="3"/>
        <v>1.003272163179814</v>
      </c>
      <c r="E29" s="16">
        <f t="shared" si="3"/>
        <v>0.88771051798941969</v>
      </c>
      <c r="F29" s="16">
        <f t="shared" si="3"/>
        <v>0.76788386144896703</v>
      </c>
      <c r="G29" s="16">
        <f t="shared" si="3"/>
        <v>0.65675546372938454</v>
      </c>
      <c r="H29" s="16">
        <f t="shared" si="3"/>
        <v>0.56069290162548191</v>
      </c>
      <c r="I29" s="16">
        <f t="shared" si="3"/>
        <v>0.48040744229257648</v>
      </c>
      <c r="J29" s="16">
        <f t="shared" si="3"/>
        <v>0.41422489205531843</v>
      </c>
      <c r="K29" s="16">
        <f t="shared" si="3"/>
        <v>0.35980019764959892</v>
      </c>
      <c r="L29" s="16">
        <f t="shared" si="3"/>
        <v>0.31499694592060701</v>
      </c>
    </row>
    <row r="30" spans="1:25" x14ac:dyDescent="0.35">
      <c r="P30" s="12" t="s">
        <v>125</v>
      </c>
      <c r="S30" s="12" t="s">
        <v>128</v>
      </c>
    </row>
    <row r="31" spans="1:25" x14ac:dyDescent="0.35">
      <c r="A31" s="15" t="s">
        <v>116</v>
      </c>
      <c r="B31" s="15" t="s">
        <v>118</v>
      </c>
      <c r="C31" s="37" t="s">
        <v>157</v>
      </c>
      <c r="P31" s="12">
        <f>4.263*0.00000001</f>
        <v>4.2629999999999999E-8</v>
      </c>
      <c r="Q31" s="16">
        <v>4.821E-8</v>
      </c>
      <c r="S31" s="16">
        <v>9.1399999999999998E-8</v>
      </c>
      <c r="T31" s="16">
        <v>9.0649999999999994E-8</v>
      </c>
    </row>
    <row r="32" spans="1:25" x14ac:dyDescent="0.35">
      <c r="A32" s="15" t="s">
        <v>0</v>
      </c>
      <c r="B32" s="16">
        <f>B20*B2</f>
        <v>15.225462880932184</v>
      </c>
      <c r="C32" s="16">
        <f t="shared" ref="C32:L32" si="4">C20*C2</f>
        <v>2129.5231155737424</v>
      </c>
      <c r="D32" s="16">
        <f t="shared" si="4"/>
        <v>13673.855884706993</v>
      </c>
      <c r="E32" s="16">
        <f t="shared" si="4"/>
        <v>9194.5279087074559</v>
      </c>
      <c r="F32" s="16">
        <f>F20*F2</f>
        <v>5800.0556817284487</v>
      </c>
      <c r="G32" s="16">
        <f t="shared" si="4"/>
        <v>3832.5001304388875</v>
      </c>
      <c r="H32" s="16">
        <f t="shared" si="4"/>
        <v>2658.0536018977455</v>
      </c>
      <c r="I32" s="16">
        <f t="shared" si="4"/>
        <v>1922.9979202273953</v>
      </c>
      <c r="J32" s="16">
        <f t="shared" si="4"/>
        <v>1441.5783180980814</v>
      </c>
      <c r="K32" s="16">
        <f t="shared" si="4"/>
        <v>1113.4933344158742</v>
      </c>
      <c r="L32" s="16">
        <f t="shared" si="4"/>
        <v>882.12663150391597</v>
      </c>
      <c r="P32" s="15">
        <v>0.98729999999999996</v>
      </c>
      <c r="Q32" s="15">
        <v>1.0129999999999999</v>
      </c>
      <c r="S32" s="15">
        <v>0.65310000000000001</v>
      </c>
      <c r="T32" s="12">
        <v>0.61219999999999997</v>
      </c>
    </row>
    <row r="33" spans="1:19" x14ac:dyDescent="0.35">
      <c r="A33" s="15" t="s">
        <v>5</v>
      </c>
      <c r="B33" s="16">
        <f>B21*B6</f>
        <v>3982.7544493406153</v>
      </c>
      <c r="C33" s="16">
        <f t="shared" ref="C33:L33" si="5">C21*C6</f>
        <v>30073.985715598403</v>
      </c>
      <c r="D33" s="16">
        <f t="shared" si="5"/>
        <v>133417.39660304118</v>
      </c>
      <c r="E33" s="16">
        <f t="shared" si="5"/>
        <v>206538.07855772003</v>
      </c>
      <c r="F33" s="16">
        <f t="shared" si="5"/>
        <v>187610.69670237708</v>
      </c>
      <c r="G33" s="16">
        <f t="shared" si="5"/>
        <v>140621.86436222066</v>
      </c>
      <c r="H33" s="16">
        <f t="shared" si="5"/>
        <v>101732.66229114849</v>
      </c>
      <c r="I33" s="16">
        <f t="shared" si="5"/>
        <v>74557.57815242729</v>
      </c>
      <c r="J33" s="16">
        <f t="shared" si="5"/>
        <v>56010.669578741159</v>
      </c>
      <c r="K33" s="16">
        <f t="shared" si="5"/>
        <v>43177.826891203171</v>
      </c>
      <c r="L33" s="16">
        <f t="shared" si="5"/>
        <v>34090.391528207416</v>
      </c>
    </row>
    <row r="34" spans="1:19" x14ac:dyDescent="0.35">
      <c r="A34" s="15" t="s">
        <v>10</v>
      </c>
      <c r="B34" s="16">
        <f>B22*B10</f>
        <v>6792.7906751414621</v>
      </c>
      <c r="C34" s="16">
        <f t="shared" ref="C34:L34" si="6">C22*C10</f>
        <v>6913.2153288748723</v>
      </c>
      <c r="D34" s="16">
        <f t="shared" si="6"/>
        <v>3840.8672226719268</v>
      </c>
      <c r="E34" s="16">
        <f t="shared" si="6"/>
        <v>2231.3384381814453</v>
      </c>
      <c r="F34" s="16">
        <f t="shared" si="6"/>
        <v>1375.2455495640736</v>
      </c>
      <c r="G34" s="16">
        <f t="shared" si="6"/>
        <v>1130.5761752885828</v>
      </c>
      <c r="H34" s="16">
        <f t="shared" si="6"/>
        <v>665.60269732150903</v>
      </c>
      <c r="I34" s="16">
        <f t="shared" si="6"/>
        <v>450.47587977039859</v>
      </c>
      <c r="J34" s="16">
        <f t="shared" si="6"/>
        <v>303.10315548666944</v>
      </c>
      <c r="K34" s="16">
        <f t="shared" si="6"/>
        <v>224.81683859674769</v>
      </c>
      <c r="L34" s="16">
        <f t="shared" si="6"/>
        <v>181.97703386645242</v>
      </c>
      <c r="O34" s="12" t="s">
        <v>126</v>
      </c>
      <c r="P34" s="16">
        <f>Q31-P31</f>
        <v>5.580000000000001E-9</v>
      </c>
      <c r="S34" s="16">
        <f>T31-S31</f>
        <v>-7.5000000000000341E-10</v>
      </c>
    </row>
    <row r="35" spans="1:19" x14ac:dyDescent="0.35">
      <c r="A35" s="15" t="s">
        <v>23</v>
      </c>
      <c r="B35" s="16">
        <f>B23*B14</f>
        <v>116.32613335104269</v>
      </c>
      <c r="C35" s="16">
        <f t="shared" ref="C35:L35" si="7">C23*C14</f>
        <v>140.78209766796107</v>
      </c>
      <c r="D35" s="16">
        <f t="shared" si="7"/>
        <v>118.23608703847582</v>
      </c>
      <c r="E35" s="16">
        <f t="shared" si="7"/>
        <v>75.169346329045425</v>
      </c>
      <c r="F35" s="16">
        <f t="shared" si="7"/>
        <v>46.608759524136332</v>
      </c>
      <c r="G35" s="16">
        <f t="shared" si="7"/>
        <v>29.456629642227988</v>
      </c>
      <c r="H35" s="16">
        <f t="shared" si="7"/>
        <v>19.057759470346074</v>
      </c>
      <c r="I35" s="16">
        <f t="shared" si="7"/>
        <v>12.651346727542499</v>
      </c>
      <c r="J35" s="16">
        <f t="shared" si="7"/>
        <v>8.6153916524513008</v>
      </c>
      <c r="K35" s="16">
        <f t="shared" si="7"/>
        <v>6.0128306664789664</v>
      </c>
      <c r="L35" s="16">
        <f t="shared" si="7"/>
        <v>4.2929992242874597</v>
      </c>
      <c r="O35" s="12" t="s">
        <v>127</v>
      </c>
      <c r="P35" s="15">
        <f>Q32-P32</f>
        <v>2.5699999999999945E-2</v>
      </c>
      <c r="S35" s="15">
        <f>T32-S32</f>
        <v>-4.0900000000000047E-2</v>
      </c>
    </row>
    <row r="37" spans="1:19" x14ac:dyDescent="0.35">
      <c r="O37" s="12" t="s">
        <v>25</v>
      </c>
      <c r="P37" s="16">
        <f>P34/P35</f>
        <v>2.1712062256809389E-7</v>
      </c>
      <c r="S37" s="16">
        <f>S34/S35</f>
        <v>1.8337408312958496E-8</v>
      </c>
    </row>
    <row r="38" spans="1:19" x14ac:dyDescent="0.35">
      <c r="A38" s="12" t="s">
        <v>121</v>
      </c>
    </row>
    <row r="39" spans="1:19" x14ac:dyDescent="0.35">
      <c r="B39" s="16">
        <v>4619787.4905178696</v>
      </c>
      <c r="C39" s="16">
        <v>841367237.10611403</v>
      </c>
      <c r="D39" s="16">
        <v>14955899642.7062</v>
      </c>
      <c r="E39" s="16">
        <v>22303175871.5485</v>
      </c>
      <c r="F39" s="16">
        <v>26375837866.526001</v>
      </c>
      <c r="G39" s="16">
        <v>29325675911.295502</v>
      </c>
      <c r="H39" s="16">
        <v>31714399996.6922</v>
      </c>
      <c r="I39" s="16">
        <v>33783550882.178299</v>
      </c>
      <c r="J39" s="16">
        <v>35645205793.012497</v>
      </c>
      <c r="K39" s="16">
        <v>37357743713.597</v>
      </c>
      <c r="L39" s="16">
        <v>38954929409.8582</v>
      </c>
    </row>
    <row r="40" spans="1:19" x14ac:dyDescent="0.35">
      <c r="B40" s="16">
        <v>617075804.30610204</v>
      </c>
      <c r="C40" s="16">
        <v>10200346168.9454</v>
      </c>
      <c r="D40" s="16">
        <v>143362772226.89401</v>
      </c>
      <c r="E40" s="16">
        <v>498541430422.94397</v>
      </c>
      <c r="F40" s="16">
        <v>851185865014.81104</v>
      </c>
      <c r="G40" s="16">
        <v>1073902677241.74</v>
      </c>
      <c r="H40" s="16">
        <v>1210882667417.8501</v>
      </c>
      <c r="I40" s="16">
        <v>1305509575864</v>
      </c>
      <c r="J40" s="16">
        <v>1378681964738.1899</v>
      </c>
      <c r="K40" s="16">
        <v>1439856022227.45</v>
      </c>
      <c r="L40" s="16">
        <v>1493583378039.8201</v>
      </c>
    </row>
    <row r="41" spans="1:19" x14ac:dyDescent="0.35">
      <c r="B41" s="16">
        <v>922569648.68297601</v>
      </c>
      <c r="C41" s="16">
        <v>2264408140.45718</v>
      </c>
      <c r="D41" s="16">
        <v>4093539659.02806</v>
      </c>
      <c r="E41" s="16">
        <v>5374993984.6112804</v>
      </c>
      <c r="F41" s="16">
        <v>6240161490.99261</v>
      </c>
      <c r="G41" s="16">
        <v>8637502132.7607002</v>
      </c>
      <c r="H41" s="16">
        <v>7917559499.0057802</v>
      </c>
      <c r="I41" s="16">
        <v>7867121931.0482597</v>
      </c>
      <c r="J41" s="16">
        <v>7416733069.22019</v>
      </c>
      <c r="K41" s="16">
        <v>7421706814.1720505</v>
      </c>
      <c r="L41" s="16">
        <v>7852321254.4695902</v>
      </c>
    </row>
    <row r="42" spans="1:19" x14ac:dyDescent="0.35">
      <c r="B42" s="16">
        <v>58170689.260848902</v>
      </c>
      <c r="C42" s="16">
        <v>275897820.85442197</v>
      </c>
      <c r="D42" s="16">
        <v>1072046604.897</v>
      </c>
      <c r="E42" s="16">
        <v>1871324240.5893199</v>
      </c>
      <c r="F42" s="16">
        <v>2529089333.8796902</v>
      </c>
      <c r="G42" s="16">
        <v>3054647935.8373699</v>
      </c>
      <c r="H42" s="16">
        <v>3463833556.7624302</v>
      </c>
      <c r="I42" s="16">
        <v>3783031825.46385</v>
      </c>
      <c r="J42" s="16">
        <v>4032895880.6023102</v>
      </c>
      <c r="K42" s="16">
        <v>4230164402.91642</v>
      </c>
      <c r="L42" s="16">
        <v>4384728710.3281298</v>
      </c>
    </row>
    <row r="44" spans="1:19" x14ac:dyDescent="0.35">
      <c r="B44" s="16"/>
    </row>
    <row r="45" spans="1:19" x14ac:dyDescent="0.35">
      <c r="A45" s="12" t="s">
        <v>162</v>
      </c>
    </row>
    <row r="46" spans="1:19" x14ac:dyDescent="0.35">
      <c r="B46" s="12" t="s">
        <v>25</v>
      </c>
      <c r="C46" s="12" t="s">
        <v>164</v>
      </c>
      <c r="D46" s="12" t="s">
        <v>165</v>
      </c>
      <c r="F46" s="12" t="s">
        <v>163</v>
      </c>
      <c r="G46" s="12" t="s">
        <v>152</v>
      </c>
    </row>
    <row r="47" spans="1:19" x14ac:dyDescent="0.35">
      <c r="A47" s="15" t="s">
        <v>10</v>
      </c>
      <c r="B47" s="16">
        <v>7.3629028278120594E-6</v>
      </c>
      <c r="C47" s="16">
        <f>B47*F47</f>
        <v>26.118561848962727</v>
      </c>
      <c r="D47" s="16">
        <f>B47*G47</f>
        <v>2416.3214698014986</v>
      </c>
      <c r="F47" s="16">
        <v>3547318.5589662399</v>
      </c>
      <c r="G47" s="16">
        <v>328175113.30915201</v>
      </c>
      <c r="H47" s="15" t="s">
        <v>81</v>
      </c>
    </row>
    <row r="48" spans="1:19" x14ac:dyDescent="0.35">
      <c r="F48" s="16">
        <v>3457324.70173964</v>
      </c>
      <c r="G48" s="16">
        <v>281391534.02315801</v>
      </c>
      <c r="H48" s="15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topLeftCell="A13" workbookViewId="0">
      <selection activeCell="F38" sqref="F38"/>
    </sheetView>
  </sheetViews>
  <sheetFormatPr defaultRowHeight="14.5" x14ac:dyDescent="0.35"/>
  <cols>
    <col min="2" max="6" width="8.81640625" bestFit="1" customWidth="1"/>
    <col min="7" max="7" width="11.81640625" bestFit="1" customWidth="1"/>
    <col min="8" max="11" width="10.81640625" bestFit="1" customWidth="1"/>
    <col min="12" max="12" width="11.81640625" bestFit="1" customWidth="1"/>
  </cols>
  <sheetData>
    <row r="1" spans="1:12" x14ac:dyDescent="0.35">
      <c r="A1" t="s">
        <v>37</v>
      </c>
    </row>
    <row r="2" spans="1:12" x14ac:dyDescent="0.35">
      <c r="A2" s="15" t="s">
        <v>0</v>
      </c>
      <c r="B2" s="1" t="s">
        <v>24</v>
      </c>
      <c r="C2">
        <v>1028351.77879593</v>
      </c>
      <c r="D2">
        <v>1030626.51801302</v>
      </c>
      <c r="E2">
        <v>1319187.6038364801</v>
      </c>
      <c r="F2">
        <v>1655597.0151985199</v>
      </c>
      <c r="G2">
        <v>2245418.8856854099</v>
      </c>
      <c r="H2">
        <v>2903032.1571743502</v>
      </c>
      <c r="I2">
        <v>3498578.2022185698</v>
      </c>
      <c r="J2">
        <v>4675633.4851744501</v>
      </c>
      <c r="K2">
        <v>5642481.6446947102</v>
      </c>
      <c r="L2">
        <v>7488596.9502193704</v>
      </c>
    </row>
    <row r="3" spans="1:12" x14ac:dyDescent="0.35">
      <c r="A3" s="15" t="s">
        <v>5</v>
      </c>
      <c r="B3" s="1">
        <v>455153.81945443299</v>
      </c>
      <c r="C3">
        <v>1260712.6065549699</v>
      </c>
      <c r="D3">
        <v>1131447.6455493399</v>
      </c>
      <c r="E3">
        <v>1262333.3916130001</v>
      </c>
      <c r="F3">
        <v>1810509.5995598601</v>
      </c>
      <c r="G3">
        <v>2332390.5558803999</v>
      </c>
      <c r="H3">
        <v>2987967.5494453399</v>
      </c>
      <c r="I3">
        <v>3782604.0297190002</v>
      </c>
      <c r="J3">
        <v>5150941.0671059303</v>
      </c>
      <c r="K3">
        <v>5894715.9956023097</v>
      </c>
      <c r="L3">
        <v>7228691.1074224403</v>
      </c>
    </row>
    <row r="4" spans="1:12" x14ac:dyDescent="0.35">
      <c r="A4" s="15" t="s">
        <v>10</v>
      </c>
      <c r="B4" s="1">
        <v>65230.544460697398</v>
      </c>
      <c r="C4" t="s">
        <v>24</v>
      </c>
      <c r="D4">
        <v>381529.663847822</v>
      </c>
      <c r="E4">
        <v>692785.93843991298</v>
      </c>
      <c r="F4">
        <v>892740.27557975496</v>
      </c>
      <c r="G4">
        <v>1674511.1884832899</v>
      </c>
      <c r="H4">
        <v>1920533.6695545099</v>
      </c>
      <c r="I4">
        <v>3277232.8523894101</v>
      </c>
      <c r="J4">
        <v>3242491.4320558701</v>
      </c>
      <c r="K4">
        <v>5592528.38912379</v>
      </c>
      <c r="L4">
        <v>6845660.3767382205</v>
      </c>
    </row>
    <row r="5" spans="1:12" x14ac:dyDescent="0.35">
      <c r="A5" s="15" t="s">
        <v>23</v>
      </c>
      <c r="B5" s="1">
        <v>223190.937467474</v>
      </c>
      <c r="C5">
        <v>549094.97450701601</v>
      </c>
      <c r="D5">
        <v>1819612.04516833</v>
      </c>
      <c r="E5">
        <v>2215793.2995738601</v>
      </c>
      <c r="F5">
        <v>8099660.10222016</v>
      </c>
      <c r="G5">
        <v>13651896.981528601</v>
      </c>
      <c r="H5">
        <v>21409984.895688899</v>
      </c>
      <c r="I5">
        <v>31595704.763684101</v>
      </c>
      <c r="J5">
        <v>44484016.933615804</v>
      </c>
      <c r="K5">
        <v>60308553.426474899</v>
      </c>
      <c r="L5">
        <v>79256312.967062995</v>
      </c>
    </row>
    <row r="7" spans="1:12" x14ac:dyDescent="0.35">
      <c r="A7" s="15" t="s">
        <v>0</v>
      </c>
      <c r="B7" s="1">
        <v>792484.02135799895</v>
      </c>
      <c r="C7" s="1">
        <v>1028351.77879593</v>
      </c>
      <c r="D7" s="1">
        <v>1030626.51801302</v>
      </c>
      <c r="E7" s="1">
        <v>1319187.6038364801</v>
      </c>
      <c r="F7" s="1">
        <v>1655597.0151985199</v>
      </c>
      <c r="G7" s="1">
        <v>2245418.8856854099</v>
      </c>
      <c r="H7" s="1">
        <v>2903032.1571743502</v>
      </c>
      <c r="I7" s="1">
        <v>3498578.2022185698</v>
      </c>
      <c r="J7" s="1">
        <v>4675633.4851744501</v>
      </c>
      <c r="K7" s="1">
        <v>5642481.6446947102</v>
      </c>
      <c r="L7" s="1">
        <v>7488596.9502193704</v>
      </c>
    </row>
    <row r="8" spans="1:12" x14ac:dyDescent="0.35">
      <c r="A8" s="15" t="s">
        <v>5</v>
      </c>
      <c r="B8" s="1">
        <v>1354440.6373463499</v>
      </c>
      <c r="C8" s="1">
        <v>1260712.6065549699</v>
      </c>
      <c r="D8" s="1">
        <v>1131447.6455493399</v>
      </c>
      <c r="E8" s="1">
        <v>1262333.3916130001</v>
      </c>
      <c r="F8" s="1">
        <v>1810509.5995598601</v>
      </c>
      <c r="G8" s="1">
        <v>2332390.5558803999</v>
      </c>
      <c r="H8" s="1">
        <v>2987967.5494453399</v>
      </c>
      <c r="I8" s="1">
        <v>3782604.0297190002</v>
      </c>
      <c r="J8" s="1">
        <v>5150941.0671059303</v>
      </c>
      <c r="K8" s="1">
        <v>5894715.9956023097</v>
      </c>
      <c r="L8" s="1">
        <v>7228691.1074224403</v>
      </c>
    </row>
    <row r="9" spans="1:12" x14ac:dyDescent="0.35">
      <c r="A9" s="15" t="s">
        <v>10</v>
      </c>
      <c r="B9" s="1">
        <v>97412.818622331004</v>
      </c>
      <c r="C9" s="1">
        <v>169069.190084317</v>
      </c>
      <c r="D9" s="1">
        <v>381529.663847822</v>
      </c>
      <c r="E9" s="1">
        <v>692785.93843991298</v>
      </c>
      <c r="F9" s="1">
        <v>892740.27557975496</v>
      </c>
      <c r="G9" s="1">
        <v>1674511.1884832899</v>
      </c>
      <c r="H9" s="1">
        <v>1920533.6695545099</v>
      </c>
      <c r="I9" s="1">
        <v>3277232.8523894101</v>
      </c>
      <c r="J9" s="1">
        <v>3242491.4320558701</v>
      </c>
      <c r="K9" s="1">
        <v>5592528.38912379</v>
      </c>
      <c r="L9" s="1">
        <v>6845660.3767382205</v>
      </c>
    </row>
    <row r="10" spans="1:12" x14ac:dyDescent="0.35">
      <c r="A10" s="15" t="s">
        <v>23</v>
      </c>
      <c r="B10" s="1">
        <v>223190.937467474</v>
      </c>
      <c r="C10" s="1">
        <v>549094.97450701601</v>
      </c>
      <c r="D10" s="1">
        <v>1819612.04516833</v>
      </c>
      <c r="E10" s="1">
        <v>2945726.5721752299</v>
      </c>
      <c r="F10" s="1">
        <v>8099660.10222016</v>
      </c>
      <c r="G10" s="1">
        <v>13651896.981528601</v>
      </c>
      <c r="H10" s="1">
        <v>21409984.895688899</v>
      </c>
      <c r="I10" s="1">
        <v>31595704.763684101</v>
      </c>
      <c r="J10" s="1">
        <v>44484016.933615804</v>
      </c>
      <c r="K10" s="1">
        <v>60308553.426474899</v>
      </c>
      <c r="L10" s="1">
        <v>79256312.967062995</v>
      </c>
    </row>
    <row r="12" spans="1:12" x14ac:dyDescent="0.35">
      <c r="A12" s="15" t="s">
        <v>119</v>
      </c>
    </row>
    <row r="13" spans="1:12" x14ac:dyDescent="0.35">
      <c r="A13" s="15" t="s">
        <v>0</v>
      </c>
      <c r="B13" s="1">
        <v>656155.217564016</v>
      </c>
      <c r="C13" s="1">
        <v>940939.04623289697</v>
      </c>
      <c r="D13" s="1">
        <v>794050.33064273605</v>
      </c>
      <c r="E13" s="1">
        <v>1091484.78371411</v>
      </c>
      <c r="F13" s="1">
        <v>1463890.49578878</v>
      </c>
      <c r="G13" s="1">
        <v>2004857.6836579901</v>
      </c>
      <c r="H13" s="1">
        <v>2703757.8262622398</v>
      </c>
      <c r="I13" s="1">
        <v>3498578.2022185698</v>
      </c>
      <c r="J13" s="1">
        <v>4546046.5314397197</v>
      </c>
      <c r="K13" s="1">
        <v>5648451.2570530996</v>
      </c>
      <c r="L13" s="1">
        <v>7463936.2576252297</v>
      </c>
    </row>
    <row r="14" spans="1:12" x14ac:dyDescent="0.35">
      <c r="A14" s="15" t="s">
        <v>5</v>
      </c>
      <c r="B14" s="1">
        <v>1151138.03241456</v>
      </c>
      <c r="C14" s="1">
        <v>1102635.0968989099</v>
      </c>
      <c r="D14" s="1">
        <v>780459.03758278396</v>
      </c>
      <c r="E14" s="1">
        <v>901427.28871508304</v>
      </c>
      <c r="F14" s="1">
        <v>1519590.19674934</v>
      </c>
      <c r="G14" s="1">
        <v>2069713.21971571</v>
      </c>
      <c r="H14" s="1">
        <v>2752921.2657669499</v>
      </c>
      <c r="I14" s="1">
        <v>3579849.3235098599</v>
      </c>
      <c r="J14" s="1">
        <v>5103680.28523253</v>
      </c>
      <c r="K14" s="1">
        <v>5688226.0239152201</v>
      </c>
      <c r="L14" s="1">
        <v>7150322.64156006</v>
      </c>
    </row>
    <row r="15" spans="1:12" x14ac:dyDescent="0.35">
      <c r="A15" s="15" t="s">
        <v>10</v>
      </c>
      <c r="B15" s="1">
        <v>97251.593079173996</v>
      </c>
      <c r="C15" s="1">
        <v>169101.996851114</v>
      </c>
      <c r="D15" s="1">
        <v>380965.93711653998</v>
      </c>
      <c r="E15" s="1">
        <v>691855.06782293005</v>
      </c>
      <c r="F15" s="1">
        <v>892740.27557975496</v>
      </c>
      <c r="G15" s="1">
        <v>1673078.1952531899</v>
      </c>
      <c r="H15" s="1">
        <v>1534042.66531233</v>
      </c>
      <c r="I15" s="1">
        <v>3275052.4646061999</v>
      </c>
      <c r="J15" s="1">
        <v>2376574.36234084</v>
      </c>
      <c r="K15" s="1">
        <v>5495046.0953829903</v>
      </c>
      <c r="L15" s="1">
        <v>5191859.1501939101</v>
      </c>
    </row>
    <row r="16" spans="1:12" x14ac:dyDescent="0.35">
      <c r="A16" s="15" t="s">
        <v>23</v>
      </c>
      <c r="B16" s="1">
        <v>223175.20444585301</v>
      </c>
      <c r="C16" s="1">
        <v>547338.11852492602</v>
      </c>
      <c r="D16" s="1">
        <v>1814638.3283351201</v>
      </c>
      <c r="E16" s="1">
        <v>2962542.4894852899</v>
      </c>
      <c r="F16" s="1">
        <v>8135947.6761499699</v>
      </c>
      <c r="G16" s="1">
        <v>13520128.218304999</v>
      </c>
      <c r="H16" s="1">
        <v>21187451.6002963</v>
      </c>
      <c r="I16" s="1">
        <v>31244190.382357799</v>
      </c>
      <c r="J16" s="1">
        <v>43955208.189771697</v>
      </c>
      <c r="K16" s="1">
        <v>59543629.810998298</v>
      </c>
      <c r="L16" s="1">
        <v>78186311.900627896</v>
      </c>
    </row>
    <row r="18" spans="1:12" x14ac:dyDescent="0.35">
      <c r="A18" t="s">
        <v>120</v>
      </c>
    </row>
    <row r="19" spans="1:12" x14ac:dyDescent="0.35">
      <c r="A19" s="15" t="s">
        <v>0</v>
      </c>
      <c r="B19" s="1">
        <v>213152.457387022</v>
      </c>
      <c r="C19" s="1">
        <v>299327.36122546199</v>
      </c>
      <c r="D19" s="1">
        <v>494539.02313878498</v>
      </c>
      <c r="E19" s="1">
        <v>779410.20325639797</v>
      </c>
      <c r="F19" s="1">
        <v>1099272.59909563</v>
      </c>
      <c r="G19" s="1">
        <v>1713279.5462609199</v>
      </c>
      <c r="H19" s="1">
        <v>2388032.0491371299</v>
      </c>
      <c r="I19" s="1">
        <v>3106160.4266199199</v>
      </c>
      <c r="J19" s="1">
        <v>4217383.5120045403</v>
      </c>
      <c r="K19" s="1">
        <v>5261909.5574189099</v>
      </c>
      <c r="L19" s="1">
        <v>6997589.7378312601</v>
      </c>
    </row>
    <row r="20" spans="1:12" x14ac:dyDescent="0.35">
      <c r="A20" s="15" t="s">
        <v>5</v>
      </c>
      <c r="B20" s="1">
        <v>143887.48733836401</v>
      </c>
      <c r="C20" s="1">
        <v>213921.77570329999</v>
      </c>
      <c r="D20" s="1">
        <v>421229.65978797799</v>
      </c>
      <c r="E20" s="1">
        <v>680260</v>
      </c>
      <c r="F20" s="1">
        <v>1141744.26618015</v>
      </c>
      <c r="G20" s="1">
        <v>1684452.52640532</v>
      </c>
      <c r="H20" s="1">
        <v>2368996.63942145</v>
      </c>
      <c r="I20" s="1">
        <v>3202390.1162322802</v>
      </c>
      <c r="J20" s="1">
        <v>4388864.87869706</v>
      </c>
      <c r="K20" s="1">
        <v>5400700.9578932496</v>
      </c>
      <c r="L20" s="1">
        <v>6774651.6486966005</v>
      </c>
    </row>
    <row r="21" spans="1:12" x14ac:dyDescent="0.35">
      <c r="A21" s="15" t="s">
        <v>10</v>
      </c>
      <c r="B21" s="1">
        <v>79859.454693006905</v>
      </c>
      <c r="C21" s="1">
        <v>163288.87446005299</v>
      </c>
      <c r="D21" s="1">
        <v>370444.04779420601</v>
      </c>
      <c r="E21" s="1">
        <v>636178.40113558399</v>
      </c>
      <c r="F21" s="1">
        <v>957707.28974285303</v>
      </c>
      <c r="G21" s="1">
        <v>1383080.73411707</v>
      </c>
      <c r="H21" s="1">
        <v>1858733.57814726</v>
      </c>
      <c r="I21" s="1">
        <v>2483321.57705739</v>
      </c>
      <c r="J21" s="1">
        <v>3160796.7023938699</v>
      </c>
      <c r="K21" s="1">
        <v>3985946.4051901302</v>
      </c>
      <c r="L21" s="1">
        <v>4942799.4144880297</v>
      </c>
    </row>
    <row r="22" spans="1:12" x14ac:dyDescent="0.35">
      <c r="A22" s="15" t="s">
        <v>23</v>
      </c>
      <c r="B22" s="1">
        <v>186560.14979071199</v>
      </c>
      <c r="C22" s="1">
        <v>423943.53624730202</v>
      </c>
      <c r="D22" s="1">
        <v>1158864.5603710201</v>
      </c>
      <c r="E22" s="1">
        <v>2352486.12491831</v>
      </c>
      <c r="F22" s="1">
        <v>4127181.6081453501</v>
      </c>
      <c r="G22" s="1">
        <v>6702238.4594414104</v>
      </c>
      <c r="H22" s="1">
        <v>10101342.3333953</v>
      </c>
      <c r="I22" s="1">
        <v>14439426.2606571</v>
      </c>
      <c r="J22" s="1">
        <v>19768470.967742</v>
      </c>
      <c r="K22" s="1">
        <v>26105562.666561902</v>
      </c>
      <c r="L22" s="1">
        <v>33434844.6091258</v>
      </c>
    </row>
    <row r="23" spans="1:12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B24" s="1">
        <v>213152.457387022</v>
      </c>
      <c r="C24" s="1">
        <v>299327.36122546199</v>
      </c>
      <c r="D24" s="1">
        <v>494539.02313878498</v>
      </c>
      <c r="E24" s="1">
        <v>779410.20325639797</v>
      </c>
      <c r="F24" s="1">
        <v>1099272.59909563</v>
      </c>
      <c r="G24" s="1">
        <v>1713279.5462609199</v>
      </c>
      <c r="H24" s="1">
        <v>2388032.0491371299</v>
      </c>
      <c r="I24" s="1">
        <v>3167663.4954820499</v>
      </c>
      <c r="J24" s="1">
        <v>4217383.5120045403</v>
      </c>
      <c r="K24" s="1">
        <v>5261909.5574189099</v>
      </c>
      <c r="L24" s="1">
        <v>6997589.7378312601</v>
      </c>
    </row>
    <row r="25" spans="1:12" x14ac:dyDescent="0.35">
      <c r="B25" s="1">
        <v>143887.48733836401</v>
      </c>
      <c r="C25" s="1">
        <v>213921.77570329999</v>
      </c>
      <c r="D25" s="1">
        <v>421229.65978797799</v>
      </c>
      <c r="E25" s="1">
        <v>369623.11534860497</v>
      </c>
      <c r="F25" s="1">
        <v>1141744.26618015</v>
      </c>
      <c r="G25" s="1">
        <v>1684452.52640532</v>
      </c>
      <c r="H25" s="1">
        <v>2368996.63942145</v>
      </c>
      <c r="I25" s="1">
        <v>3202390.1162322802</v>
      </c>
      <c r="J25" s="1">
        <v>4388864.87869706</v>
      </c>
      <c r="K25" s="1">
        <v>5400700.9578932496</v>
      </c>
      <c r="L25" s="1">
        <v>6774651.6486966005</v>
      </c>
    </row>
    <row r="26" spans="1:12" x14ac:dyDescent="0.35">
      <c r="B26" s="1">
        <v>79859.454693006905</v>
      </c>
      <c r="C26" s="1">
        <v>163288.87446005299</v>
      </c>
      <c r="D26" s="1">
        <v>370444.04779420601</v>
      </c>
      <c r="E26" s="1">
        <v>636178.40113558399</v>
      </c>
      <c r="F26" s="1">
        <v>948550.18563589198</v>
      </c>
      <c r="G26" s="1">
        <v>1383080.73411707</v>
      </c>
      <c r="H26" s="1">
        <v>1858733.57814726</v>
      </c>
      <c r="I26" s="1">
        <v>2483321.57705739</v>
      </c>
      <c r="J26" s="1">
        <v>3160796.7023938699</v>
      </c>
      <c r="K26" s="1">
        <v>3985946.4051901302</v>
      </c>
      <c r="L26" s="1">
        <v>4942799.4144880297</v>
      </c>
    </row>
    <row r="27" spans="1:12" x14ac:dyDescent="0.35">
      <c r="B27" s="1">
        <v>186560.14979071199</v>
      </c>
      <c r="C27" s="1">
        <v>423943.53624730202</v>
      </c>
      <c r="D27" s="1">
        <v>1158864.5603710201</v>
      </c>
      <c r="E27" s="1">
        <v>2352486.12491831</v>
      </c>
      <c r="F27" s="1">
        <v>4127181.6081453501</v>
      </c>
      <c r="G27" s="1">
        <v>6702238.4594414104</v>
      </c>
      <c r="H27" s="1">
        <v>10101342.3333953</v>
      </c>
      <c r="I27" s="1">
        <v>14439426.2606571</v>
      </c>
      <c r="J27" s="1">
        <v>19768470.967742</v>
      </c>
      <c r="K27" s="1">
        <v>26105562.666561902</v>
      </c>
      <c r="L27" s="1">
        <v>33434844.6091258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"/>
  <sheetViews>
    <sheetView tabSelected="1" topLeftCell="A19" workbookViewId="0">
      <selection activeCell="F25" sqref="F25:V26"/>
    </sheetView>
  </sheetViews>
  <sheetFormatPr defaultRowHeight="14.5" x14ac:dyDescent="0.35"/>
  <cols>
    <col min="2" max="2" width="11.90625" bestFit="1" customWidth="1"/>
    <col min="3" max="12" width="11.81640625" bestFit="1" customWidth="1"/>
    <col min="13" max="13" width="12.36328125" customWidth="1"/>
    <col min="14" max="14" width="10.08984375" customWidth="1"/>
    <col min="17" max="17" width="10.1796875" customWidth="1"/>
  </cols>
  <sheetData>
    <row r="1" spans="1:26" x14ac:dyDescent="0.35">
      <c r="A1" t="s">
        <v>23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35">
      <c r="B2" s="1">
        <v>1.304835826E-17</v>
      </c>
      <c r="C2" s="1">
        <v>3.635313936E-47</v>
      </c>
      <c r="D2" s="1">
        <v>1.304835826E-17</v>
      </c>
      <c r="E2" s="1">
        <v>1.6336270220000001E-27</v>
      </c>
      <c r="F2" s="1">
        <v>3.1915925160000001E-38</v>
      </c>
      <c r="G2" s="1">
        <v>3.635313936E-47</v>
      </c>
      <c r="H2" s="1">
        <v>1.4242724839999999E-17</v>
      </c>
      <c r="I2" s="1">
        <v>2.85665549E-38</v>
      </c>
      <c r="J2" s="1">
        <v>1.495691869E-27</v>
      </c>
      <c r="K2" s="1">
        <v>1.4242724839999999E-17</v>
      </c>
      <c r="L2" s="1">
        <v>1.304835826E-17</v>
      </c>
      <c r="M2" s="1">
        <v>2.85665549E-38</v>
      </c>
      <c r="N2" s="1">
        <v>1.4374310939999999E-17</v>
      </c>
      <c r="O2" s="1">
        <v>1.325952683E-18</v>
      </c>
      <c r="P2" s="1">
        <v>2.5079760489999999E-29</v>
      </c>
      <c r="Q2" s="1">
        <v>1.6336270220000001E-27</v>
      </c>
      <c r="R2" s="1">
        <v>1.495691869E-27</v>
      </c>
      <c r="S2" s="1">
        <v>1.325952683E-18</v>
      </c>
      <c r="T2" s="1">
        <v>2.689739726E-18</v>
      </c>
      <c r="U2" s="1">
        <v>1.3637870389999999E-18</v>
      </c>
      <c r="V2" s="1">
        <v>3.1915925160000001E-38</v>
      </c>
      <c r="W2" s="1">
        <v>1.4242724839999999E-17</v>
      </c>
      <c r="X2" s="1">
        <v>2.5079760489999999E-29</v>
      </c>
      <c r="Y2" s="1">
        <v>1.3637870389999999E-18</v>
      </c>
      <c r="Z2" s="1">
        <v>1.5606511879999999E-17</v>
      </c>
    </row>
    <row r="3" spans="1:26" x14ac:dyDescent="0.35">
      <c r="A3" s="1"/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96</v>
      </c>
      <c r="J3" s="1" t="s">
        <v>97</v>
      </c>
      <c r="K3" s="1" t="s">
        <v>98</v>
      </c>
      <c r="L3" s="1" t="s">
        <v>99</v>
      </c>
      <c r="M3" s="1" t="s">
        <v>100</v>
      </c>
      <c r="N3" s="14" t="s">
        <v>101</v>
      </c>
      <c r="O3" s="1" t="s">
        <v>102</v>
      </c>
      <c r="P3" s="1" t="s">
        <v>103</v>
      </c>
      <c r="Q3" s="1" t="s">
        <v>104</v>
      </c>
      <c r="R3" s="1" t="s">
        <v>105</v>
      </c>
      <c r="S3" s="1" t="s">
        <v>106</v>
      </c>
      <c r="T3" s="14" t="s">
        <v>107</v>
      </c>
      <c r="U3" s="1" t="s">
        <v>108</v>
      </c>
      <c r="V3" s="1" t="s">
        <v>109</v>
      </c>
      <c r="W3" s="1" t="s">
        <v>110</v>
      </c>
      <c r="X3" s="1" t="s">
        <v>111</v>
      </c>
      <c r="Y3" s="1" t="s">
        <v>112</v>
      </c>
      <c r="Z3" s="6" t="s">
        <v>113</v>
      </c>
    </row>
    <row r="4" spans="1:26" x14ac:dyDescent="0.35">
      <c r="B4" s="1">
        <v>1.306470733E-17</v>
      </c>
      <c r="C4" s="1">
        <v>2.9148761559999998E-47</v>
      </c>
      <c r="D4" s="1">
        <v>1.306470732E-17</v>
      </c>
      <c r="E4" s="1">
        <v>1.389564706E-27</v>
      </c>
      <c r="F4" s="1">
        <v>2.82579222E-38</v>
      </c>
      <c r="G4" s="1">
        <v>2.9148761559999998E-47</v>
      </c>
      <c r="H4" s="1">
        <v>1.306973434E-17</v>
      </c>
      <c r="I4" s="1">
        <v>2.8210603830000001E-38</v>
      </c>
      <c r="J4" s="1">
        <v>1.3872378569999999E-27</v>
      </c>
      <c r="K4" s="1">
        <v>1.306973433E-17</v>
      </c>
      <c r="L4" s="1">
        <v>1.306470732E-17</v>
      </c>
      <c r="M4" s="1">
        <v>2.8210603830000001E-38</v>
      </c>
      <c r="N4" s="14">
        <v>1.447102562E-17</v>
      </c>
      <c r="O4" s="1">
        <v>1.406318294E-18</v>
      </c>
      <c r="P4" s="1">
        <v>2.734843627E-29</v>
      </c>
      <c r="Q4" s="1">
        <v>1.389564706E-27</v>
      </c>
      <c r="R4" s="1">
        <v>1.3872378569999999E-27</v>
      </c>
      <c r="S4" s="1">
        <v>1.406318294E-18</v>
      </c>
      <c r="T4" s="14">
        <v>2.8126365909999998E-18</v>
      </c>
      <c r="U4" s="1">
        <v>1.406318294E-18</v>
      </c>
      <c r="V4" s="1">
        <v>2.82579222E-38</v>
      </c>
      <c r="W4" s="1">
        <v>1.306973433E-17</v>
      </c>
      <c r="X4" s="1">
        <v>2.734843627E-29</v>
      </c>
      <c r="Y4" s="1">
        <v>1.406318294E-18</v>
      </c>
      <c r="Z4" s="14">
        <v>1.4476052629999999E-17</v>
      </c>
    </row>
    <row r="5" spans="1:26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t="s">
        <v>10</v>
      </c>
      <c r="B6" t="s">
        <v>89</v>
      </c>
      <c r="C6" t="s">
        <v>90</v>
      </c>
      <c r="D6" t="s">
        <v>92</v>
      </c>
      <c r="E6" t="s">
        <v>93</v>
      </c>
      <c r="F6" t="s">
        <v>94</v>
      </c>
      <c r="G6" t="s">
        <v>95</v>
      </c>
      <c r="H6" t="s">
        <v>97</v>
      </c>
      <c r="I6" t="s">
        <v>98</v>
      </c>
      <c r="J6" t="s">
        <v>104</v>
      </c>
      <c r="K6" t="s">
        <v>105</v>
      </c>
      <c r="L6" s="6" t="s">
        <v>107</v>
      </c>
      <c r="M6" t="s">
        <v>108</v>
      </c>
      <c r="N6" t="s">
        <v>109</v>
      </c>
      <c r="O6" t="s">
        <v>110</v>
      </c>
      <c r="P6" t="s">
        <v>112</v>
      </c>
      <c r="Q6" s="6" t="s">
        <v>113</v>
      </c>
    </row>
    <row r="7" spans="1:26" x14ac:dyDescent="0.35">
      <c r="B7" s="1">
        <v>1.306470733E-17</v>
      </c>
      <c r="C7" s="1">
        <v>3.2997447650000001E-53</v>
      </c>
      <c r="D7" s="1">
        <v>1.306470733E-17</v>
      </c>
      <c r="E7" s="1">
        <v>6.6671407039999993E-36</v>
      </c>
      <c r="F7" s="1">
        <v>3.2997447650000001E-53</v>
      </c>
      <c r="G7" s="1">
        <v>1.306973434E-17</v>
      </c>
      <c r="H7" s="1">
        <v>6.6559764629999995E-36</v>
      </c>
      <c r="I7" s="1">
        <v>1.306973434E-17</v>
      </c>
      <c r="J7" s="1">
        <v>1.306470733E-17</v>
      </c>
      <c r="K7" s="1">
        <v>6.6559764629999995E-36</v>
      </c>
      <c r="L7" s="14">
        <v>1.447102562E-17</v>
      </c>
      <c r="M7" s="1">
        <v>1.406318296E-18</v>
      </c>
      <c r="N7" s="1">
        <v>6.6671407039999993E-36</v>
      </c>
      <c r="O7" s="1">
        <v>1.306973434E-17</v>
      </c>
      <c r="P7" s="1">
        <v>1.406318296E-18</v>
      </c>
      <c r="Q7" s="14">
        <v>1.4476052629999999E-17</v>
      </c>
    </row>
    <row r="9" spans="1:26" x14ac:dyDescent="0.35">
      <c r="A9" t="s">
        <v>0</v>
      </c>
      <c r="B9" t="s">
        <v>89</v>
      </c>
      <c r="C9" t="s">
        <v>90</v>
      </c>
      <c r="D9" t="s">
        <v>92</v>
      </c>
      <c r="E9" t="s">
        <v>94</v>
      </c>
      <c r="F9" t="s">
        <v>95</v>
      </c>
      <c r="G9" t="s">
        <v>97</v>
      </c>
      <c r="H9" t="s">
        <v>104</v>
      </c>
      <c r="I9" t="s">
        <v>105</v>
      </c>
      <c r="J9" s="6" t="s">
        <v>107</v>
      </c>
    </row>
    <row r="10" spans="1:26" x14ac:dyDescent="0.35">
      <c r="B10" s="1">
        <v>1.306803468E-17</v>
      </c>
      <c r="C10" s="1">
        <v>1.1531306020000001E-36</v>
      </c>
      <c r="D10" s="1">
        <v>1.306803468E-17</v>
      </c>
      <c r="E10" s="1">
        <v>1.1531306020000001E-36</v>
      </c>
      <c r="F10" s="1">
        <v>4.7159231820000004E-19</v>
      </c>
      <c r="G10" s="1">
        <v>4.7159231820000004E-19</v>
      </c>
      <c r="H10" s="1">
        <v>1.306803468E-17</v>
      </c>
      <c r="I10" s="1">
        <v>4.7159231820000004E-19</v>
      </c>
      <c r="J10" s="14">
        <v>1.3539627000000001E-17</v>
      </c>
    </row>
    <row r="12" spans="1:26" x14ac:dyDescent="0.35">
      <c r="A12" t="s">
        <v>5</v>
      </c>
      <c r="B12" t="s">
        <v>89</v>
      </c>
      <c r="C12" t="s">
        <v>90</v>
      </c>
      <c r="D12" t="s">
        <v>92</v>
      </c>
      <c r="E12" t="s">
        <v>94</v>
      </c>
      <c r="F12" t="s">
        <v>95</v>
      </c>
      <c r="G12" t="s">
        <v>97</v>
      </c>
      <c r="H12" t="s">
        <v>104</v>
      </c>
      <c r="I12" t="s">
        <v>105</v>
      </c>
      <c r="J12" s="6" t="s">
        <v>107</v>
      </c>
    </row>
    <row r="13" spans="1:26" x14ac:dyDescent="0.35">
      <c r="B13" s="1">
        <v>1.306803468E-17</v>
      </c>
      <c r="C13" s="1">
        <v>3.435811042E-36</v>
      </c>
      <c r="D13" s="1">
        <v>1.306803468E-17</v>
      </c>
      <c r="E13" s="1">
        <v>3.435811042E-36</v>
      </c>
      <c r="F13" s="1">
        <v>1.4053872420000001E-18</v>
      </c>
      <c r="G13" s="1">
        <v>1.4053872420000001E-18</v>
      </c>
      <c r="H13" s="1">
        <v>1.306803468E-17</v>
      </c>
      <c r="I13" s="1">
        <v>1.4053872420000001E-18</v>
      </c>
      <c r="J13" s="14">
        <v>1.4473421920000001E-17</v>
      </c>
    </row>
    <row r="15" spans="1:26" x14ac:dyDescent="0.35">
      <c r="A15" t="s">
        <v>129</v>
      </c>
      <c r="F15" t="s">
        <v>130</v>
      </c>
    </row>
    <row r="16" spans="1:26" x14ac:dyDescent="0.35">
      <c r="A16" t="s">
        <v>10</v>
      </c>
      <c r="B16" t="s">
        <v>89</v>
      </c>
      <c r="C16" t="s">
        <v>90</v>
      </c>
      <c r="D16" t="s">
        <v>92</v>
      </c>
      <c r="E16" t="s">
        <v>93</v>
      </c>
      <c r="F16" t="s">
        <v>94</v>
      </c>
      <c r="G16" t="s">
        <v>95</v>
      </c>
      <c r="H16" t="s">
        <v>97</v>
      </c>
      <c r="I16" t="s">
        <v>98</v>
      </c>
      <c r="J16" t="s">
        <v>104</v>
      </c>
      <c r="K16" t="s">
        <v>105</v>
      </c>
      <c r="L16" s="6" t="s">
        <v>107</v>
      </c>
      <c r="M16" t="s">
        <v>108</v>
      </c>
      <c r="N16" t="s">
        <v>109</v>
      </c>
      <c r="O16" t="s">
        <v>110</v>
      </c>
      <c r="P16" t="s">
        <v>112</v>
      </c>
      <c r="Q16" s="6" t="s">
        <v>113</v>
      </c>
    </row>
    <row r="17" spans="1:22" x14ac:dyDescent="0.35">
      <c r="B17" s="28">
        <v>1.306470733E-17</v>
      </c>
      <c r="C17" s="28">
        <v>1.433371144E-36</v>
      </c>
      <c r="D17" s="28">
        <v>1.306470732E-17</v>
      </c>
      <c r="E17" s="28">
        <v>1.389564705E-27</v>
      </c>
      <c r="F17" s="28">
        <v>1.433371144E-36</v>
      </c>
      <c r="G17" s="28">
        <v>1.306973434E-17</v>
      </c>
      <c r="H17" s="28">
        <v>1.3872378550000001E-27</v>
      </c>
      <c r="I17" s="28">
        <v>1.306973433E-17</v>
      </c>
      <c r="J17" s="28">
        <v>1.306470732E-17</v>
      </c>
      <c r="K17" s="28">
        <v>1.3872378550000001E-27</v>
      </c>
      <c r="L17" s="14">
        <v>1.447102562E-17</v>
      </c>
      <c r="M17" s="1">
        <v>1.4063182929999999E-18</v>
      </c>
      <c r="N17" s="1">
        <v>1.389564705E-27</v>
      </c>
      <c r="O17" s="1">
        <v>1.306973433E-17</v>
      </c>
      <c r="P17" s="1">
        <v>1.4063182929999999E-18</v>
      </c>
      <c r="Q17" s="14">
        <v>1.4476052629999999E-17</v>
      </c>
    </row>
    <row r="18" spans="1:22" x14ac:dyDescent="0.3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22" x14ac:dyDescent="0.35">
      <c r="A19" t="s">
        <v>0</v>
      </c>
      <c r="B19" s="13" t="s">
        <v>89</v>
      </c>
      <c r="C19" s="13" t="s">
        <v>90</v>
      </c>
      <c r="D19" s="13" t="s">
        <v>92</v>
      </c>
      <c r="E19" s="13" t="s">
        <v>94</v>
      </c>
      <c r="F19" s="13" t="s">
        <v>95</v>
      </c>
      <c r="G19" s="13" t="s">
        <v>97</v>
      </c>
      <c r="H19" s="13" t="s">
        <v>104</v>
      </c>
      <c r="I19" s="13" t="s">
        <v>105</v>
      </c>
      <c r="J19" s="29" t="s">
        <v>107</v>
      </c>
      <c r="K19" s="13"/>
      <c r="L19" s="13"/>
    </row>
    <row r="20" spans="1:22" x14ac:dyDescent="0.35">
      <c r="B20" s="28">
        <v>1.306803468E-17</v>
      </c>
      <c r="C20" s="28">
        <v>1.0558051120000001E-27</v>
      </c>
      <c r="D20" s="28">
        <v>1.306803468E-17</v>
      </c>
      <c r="E20" s="28">
        <v>1.0558051120000001E-27</v>
      </c>
      <c r="F20" s="28">
        <v>1.411006963E-18</v>
      </c>
      <c r="G20" s="28">
        <v>1.411006962E-18</v>
      </c>
      <c r="H20" s="28">
        <v>1.306803468E-17</v>
      </c>
      <c r="I20" s="28">
        <v>1.411006962E-18</v>
      </c>
      <c r="J20" s="30">
        <v>1.447904164E-17</v>
      </c>
      <c r="L20" s="13"/>
    </row>
    <row r="22" spans="1:22" x14ac:dyDescent="0.35">
      <c r="A22" t="s">
        <v>5</v>
      </c>
      <c r="B22" s="5" t="s">
        <v>89</v>
      </c>
      <c r="C22" s="5" t="s">
        <v>90</v>
      </c>
      <c r="D22" s="5" t="s">
        <v>92</v>
      </c>
      <c r="E22" s="5" t="s">
        <v>94</v>
      </c>
      <c r="F22" s="5" t="s">
        <v>95</v>
      </c>
      <c r="G22" s="5" t="s">
        <v>97</v>
      </c>
      <c r="H22" s="5" t="s">
        <v>104</v>
      </c>
      <c r="I22" s="5" t="s">
        <v>105</v>
      </c>
      <c r="J22" s="31" t="s">
        <v>107</v>
      </c>
      <c r="L22" s="5"/>
    </row>
    <row r="23" spans="1:22" x14ac:dyDescent="0.35">
      <c r="B23" s="1">
        <v>1.306803468E-17</v>
      </c>
      <c r="C23" s="1">
        <v>1.051508198E-27</v>
      </c>
      <c r="D23" s="1">
        <v>1.306803468E-17</v>
      </c>
      <c r="E23" s="1">
        <v>1.051508198E-27</v>
      </c>
      <c r="F23" s="1">
        <v>1.405389756E-18</v>
      </c>
      <c r="G23" s="1">
        <v>1.405389755E-18</v>
      </c>
      <c r="H23" s="1">
        <v>1.306803468E-17</v>
      </c>
      <c r="I23" s="1">
        <v>1.405389755E-18</v>
      </c>
      <c r="J23" s="14">
        <v>1.4473424440000001E-17</v>
      </c>
      <c r="L23" s="5"/>
    </row>
    <row r="24" spans="1:22" x14ac:dyDescent="0.3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22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22" x14ac:dyDescent="0.3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4"/>
  <sheetViews>
    <sheetView topLeftCell="A7" workbookViewId="0">
      <selection activeCell="K10" sqref="K10"/>
    </sheetView>
  </sheetViews>
  <sheetFormatPr defaultRowHeight="14.5" x14ac:dyDescent="0.35"/>
  <cols>
    <col min="2" max="2" width="11.81640625" bestFit="1" customWidth="1"/>
  </cols>
  <sheetData>
    <row r="1" spans="1:24" x14ac:dyDescent="0.35">
      <c r="A1" t="s">
        <v>67</v>
      </c>
    </row>
    <row r="2" spans="1:24" x14ac:dyDescent="0.35">
      <c r="A2" s="5" t="s">
        <v>55</v>
      </c>
      <c r="B2" s="45">
        <v>6.9775580017366501</v>
      </c>
      <c r="C2" s="45">
        <v>3.0088203940924001</v>
      </c>
      <c r="D2" s="45">
        <v>0.93520617508391801</v>
      </c>
      <c r="E2" s="45">
        <v>0.41493930470274099</v>
      </c>
      <c r="F2" s="45">
        <v>0.22047094694066199</v>
      </c>
      <c r="G2" s="45">
        <v>0.13085191378431399</v>
      </c>
      <c r="H2" s="45">
        <v>8.3882508063936406E-2</v>
      </c>
      <c r="I2" s="45">
        <v>5.6968767911873698E-2</v>
      </c>
      <c r="J2" s="45">
        <v>4.0487453325754298E-2</v>
      </c>
      <c r="K2" s="45">
        <v>2.9855442992183401E-2</v>
      </c>
      <c r="L2" s="45">
        <v>2.2700628865758601E-2</v>
      </c>
    </row>
    <row r="3" spans="1:24" x14ac:dyDescent="0.35">
      <c r="A3" s="5" t="s">
        <v>56</v>
      </c>
      <c r="B3" s="45">
        <v>6.7409258975862496</v>
      </c>
      <c r="C3" s="45">
        <v>2.9816801934965</v>
      </c>
      <c r="D3" s="45">
        <v>0.93326568826416001</v>
      </c>
      <c r="E3" s="45">
        <v>0.41479684005947898</v>
      </c>
      <c r="F3" s="45">
        <v>0.22060462212641699</v>
      </c>
      <c r="G3" s="45">
        <v>0.13104837708042399</v>
      </c>
      <c r="H3" s="45">
        <v>8.4065326839403098E-2</v>
      </c>
      <c r="I3" s="45">
        <v>5.7182592153081802E-2</v>
      </c>
      <c r="J3" s="45">
        <v>4.0699132493950199E-2</v>
      </c>
      <c r="K3" s="45">
        <v>3.0062831181355099E-2</v>
      </c>
      <c r="L3" s="45">
        <v>2.29027464189006E-2</v>
      </c>
    </row>
    <row r="4" spans="1:24" x14ac:dyDescent="0.35">
      <c r="A4" s="5" t="s">
        <v>57</v>
      </c>
      <c r="B4" s="45">
        <v>7.7053875550353803</v>
      </c>
      <c r="C4" s="45">
        <v>3.2482178666713999</v>
      </c>
      <c r="D4" s="45">
        <v>1.0120105476058801</v>
      </c>
      <c r="E4" s="45">
        <v>0.45165293791516697</v>
      </c>
      <c r="F4" s="45">
        <v>0.24140557904313401</v>
      </c>
      <c r="G4" s="45">
        <v>0.144113580510638</v>
      </c>
      <c r="H4" s="45">
        <v>9.2896865975237997E-2</v>
      </c>
      <c r="I4" s="45">
        <v>6.2146457631464799E-2</v>
      </c>
      <c r="J4" s="45">
        <v>4.5324638962104598E-2</v>
      </c>
      <c r="K4" s="45">
        <v>3.3608552753197601E-2</v>
      </c>
      <c r="L4" s="45">
        <v>2.5703932691052901E-2</v>
      </c>
    </row>
    <row r="5" spans="1:24" x14ac:dyDescent="0.35">
      <c r="A5" s="5" t="s">
        <v>58</v>
      </c>
      <c r="B5" s="3">
        <v>1.9997379234998101</v>
      </c>
      <c r="C5" s="3">
        <v>0.51026897288270001</v>
      </c>
      <c r="D5" s="3">
        <v>0.110290062482718</v>
      </c>
      <c r="E5" s="3">
        <v>4.0169065680126598E-2</v>
      </c>
      <c r="F5" s="3">
        <v>1.84290680838218E-2</v>
      </c>
      <c r="G5" s="3">
        <v>9.6432159322324806E-3</v>
      </c>
      <c r="H5" s="3">
        <v>5.50192702912635E-3</v>
      </c>
      <c r="I5" s="3">
        <v>3.3442348125081599E-3</v>
      </c>
      <c r="J5" s="3">
        <v>2.1362792166021898E-3</v>
      </c>
      <c r="K5" s="3">
        <v>1.4214177260660401E-3</v>
      </c>
      <c r="L5" s="3">
        <v>9.790797807343011E-4</v>
      </c>
    </row>
    <row r="6" spans="1:24" x14ac:dyDescent="0.35">
      <c r="F6" s="1"/>
      <c r="G6" s="1"/>
      <c r="H6" s="1"/>
      <c r="I6" s="1"/>
      <c r="J6" s="1"/>
      <c r="K6" s="1"/>
      <c r="L6" s="1"/>
    </row>
    <row r="7" spans="1:24" x14ac:dyDescent="0.35">
      <c r="A7" t="s">
        <v>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24" x14ac:dyDescent="0.35">
      <c r="A8" t="s">
        <v>55</v>
      </c>
      <c r="B8" s="1">
        <v>245903757.15304601</v>
      </c>
      <c r="C8" s="1">
        <v>1535032951.3802299</v>
      </c>
      <c r="D8" s="1">
        <v>4234729345.3031502</v>
      </c>
      <c r="E8" s="1">
        <v>6287872927.0637102</v>
      </c>
      <c r="F8" s="1">
        <v>7879571711.1212997</v>
      </c>
      <c r="G8" s="1">
        <v>9200811034.6269093</v>
      </c>
      <c r="H8" s="1">
        <v>10341238119.5569</v>
      </c>
      <c r="I8" s="1">
        <v>11355348811.5585</v>
      </c>
      <c r="J8" s="1">
        <v>12275868685.1026</v>
      </c>
      <c r="K8" s="1">
        <v>13123653428.1933</v>
      </c>
      <c r="L8" s="1">
        <v>13912782540.303101</v>
      </c>
      <c r="N8" s="1">
        <v>245903757.15304601</v>
      </c>
      <c r="O8" s="1">
        <v>1535032951.3802299</v>
      </c>
      <c r="P8" s="1">
        <v>4234729345.3031502</v>
      </c>
      <c r="Q8" s="1">
        <v>6287872927.0637102</v>
      </c>
      <c r="R8" s="1">
        <v>7879571711.1212997</v>
      </c>
      <c r="S8" s="1">
        <v>9200811034.6269093</v>
      </c>
      <c r="T8" s="1">
        <v>10341238119.5569</v>
      </c>
      <c r="U8" s="1">
        <v>11355348811.5585</v>
      </c>
      <c r="V8" s="1">
        <v>12275868685.1026</v>
      </c>
      <c r="W8" s="1">
        <v>13123653428.1933</v>
      </c>
      <c r="X8" s="1">
        <v>13912782540.303101</v>
      </c>
    </row>
    <row r="9" spans="1:24" x14ac:dyDescent="0.35">
      <c r="A9" t="s">
        <v>56</v>
      </c>
      <c r="B9" s="1">
        <v>652779145.90032899</v>
      </c>
      <c r="C9" s="1">
        <v>10089043719.8473</v>
      </c>
      <c r="D9" s="1">
        <v>126559107711.146</v>
      </c>
      <c r="E9" s="1">
        <v>381847666603.08197</v>
      </c>
      <c r="F9" s="1">
        <v>610775679988.61499</v>
      </c>
      <c r="G9" s="1">
        <v>760697008583.25598</v>
      </c>
      <c r="H9" s="1">
        <v>863386803482.42896</v>
      </c>
      <c r="I9" s="1">
        <v>941543544092.297</v>
      </c>
      <c r="J9" s="1">
        <v>1005717367132.26</v>
      </c>
      <c r="K9" s="1">
        <v>1061187650665.51</v>
      </c>
      <c r="L9" s="1">
        <v>1110878371801.8201</v>
      </c>
      <c r="N9" s="1">
        <v>652779145.90032899</v>
      </c>
      <c r="O9" s="1">
        <v>10089043719.8473</v>
      </c>
      <c r="P9" s="1">
        <v>126559107711.146</v>
      </c>
      <c r="Q9" s="1">
        <v>381847666603.08197</v>
      </c>
      <c r="R9" s="1">
        <v>610775679988.61499</v>
      </c>
      <c r="S9" s="1">
        <v>760697008583.25598</v>
      </c>
      <c r="T9" s="1">
        <v>863386803482.42896</v>
      </c>
      <c r="U9" s="1">
        <v>941543544092.297</v>
      </c>
      <c r="V9" s="1">
        <v>1005717367132.26</v>
      </c>
      <c r="W9" s="1">
        <v>1061187650665.51</v>
      </c>
      <c r="X9" s="1">
        <v>1110878371801.8201</v>
      </c>
    </row>
    <row r="10" spans="1:24" x14ac:dyDescent="0.35">
      <c r="A10" t="s">
        <v>57</v>
      </c>
      <c r="B10" s="1">
        <v>917578520.93324494</v>
      </c>
      <c r="C10" s="1">
        <v>2040575962.89974</v>
      </c>
      <c r="D10" s="1">
        <v>2670102521.6555099</v>
      </c>
      <c r="E10" s="1">
        <v>4394435474.32862</v>
      </c>
      <c r="F10" s="1">
        <v>5050155003.6925297</v>
      </c>
      <c r="G10" s="1">
        <v>6340681811.7240696</v>
      </c>
      <c r="H10" s="1">
        <v>6256719725.9030199</v>
      </c>
      <c r="I10" s="1">
        <v>7981608110.3171997</v>
      </c>
      <c r="J10" s="1">
        <v>6091193407.1635904</v>
      </c>
      <c r="K10" s="1">
        <v>5984686432.2464304</v>
      </c>
      <c r="L10" s="1">
        <v>6050078118.6989002</v>
      </c>
      <c r="N10" s="1">
        <v>917578520.93324494</v>
      </c>
      <c r="O10" s="1">
        <v>2040575962.89974</v>
      </c>
      <c r="P10" s="1">
        <v>2670102521.6555099</v>
      </c>
      <c r="Q10" s="1">
        <v>4394435474.32862</v>
      </c>
      <c r="R10" s="1">
        <v>5050155003.6925297</v>
      </c>
      <c r="S10" s="1">
        <v>6340681811.7240696</v>
      </c>
      <c r="T10" s="1">
        <v>6256719725.9030199</v>
      </c>
      <c r="U10" s="1">
        <v>7981608110.3171997</v>
      </c>
      <c r="V10" s="1">
        <v>6091193407.1635904</v>
      </c>
      <c r="W10" s="1">
        <v>5984686432.2464304</v>
      </c>
      <c r="X10" s="1">
        <v>6050078118.6989002</v>
      </c>
    </row>
    <row r="11" spans="1:24" x14ac:dyDescent="0.35">
      <c r="A11" t="s">
        <v>58</v>
      </c>
      <c r="B11" s="1">
        <v>58170689.260848902</v>
      </c>
      <c r="C11" s="1">
        <v>275897820.85442197</v>
      </c>
      <c r="D11" s="1">
        <v>1072046604.897</v>
      </c>
      <c r="E11" s="1">
        <v>1871324240.5893199</v>
      </c>
      <c r="F11" s="1">
        <v>2529089333.8796902</v>
      </c>
      <c r="G11" s="1">
        <v>3054647935.8373699</v>
      </c>
      <c r="H11" s="1">
        <v>3463833556.7624302</v>
      </c>
      <c r="I11" s="1">
        <v>3783031825.46385</v>
      </c>
      <c r="J11" s="1">
        <v>4032895880.6023102</v>
      </c>
      <c r="K11" s="1">
        <v>4230164402.91642</v>
      </c>
      <c r="L11" s="1">
        <v>4384728710.3281298</v>
      </c>
      <c r="N11" s="1">
        <v>58170689.260848902</v>
      </c>
      <c r="O11" s="1">
        <v>275897820.85442197</v>
      </c>
      <c r="P11" s="1">
        <v>1072046604.897</v>
      </c>
      <c r="Q11" s="1">
        <v>1871324240.5893199</v>
      </c>
      <c r="R11" s="1">
        <v>2529089333.8796902</v>
      </c>
      <c r="S11" s="1">
        <v>3054647935.8373699</v>
      </c>
      <c r="T11" s="1">
        <v>3463833556.7624302</v>
      </c>
      <c r="U11" s="1">
        <v>3783031825.46385</v>
      </c>
      <c r="V11" s="1">
        <v>4032895880.6023102</v>
      </c>
      <c r="W11" s="1">
        <v>4230164402.91642</v>
      </c>
      <c r="X11" s="1">
        <v>4384728710.3281298</v>
      </c>
    </row>
    <row r="12" spans="1:24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4" x14ac:dyDescent="0.35">
      <c r="A13" s="10"/>
      <c r="B13" s="8"/>
      <c r="C13" s="8"/>
      <c r="D13" s="8"/>
      <c r="E13" s="8"/>
      <c r="F13" s="1"/>
      <c r="G13" s="1"/>
      <c r="H13" s="1"/>
      <c r="I13" s="1"/>
      <c r="J13" s="1"/>
      <c r="K13" s="1"/>
      <c r="L13" s="1"/>
    </row>
    <row r="14" spans="1:24" x14ac:dyDescent="0.35">
      <c r="A14" t="s">
        <v>66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4" x14ac:dyDescent="0.35">
      <c r="A15" t="s">
        <v>55</v>
      </c>
      <c r="B15" s="1">
        <v>5712235.2256464399</v>
      </c>
      <c r="C15" s="1">
        <v>5200762.8093423704</v>
      </c>
      <c r="D15" s="1">
        <v>40469365.516603999</v>
      </c>
      <c r="E15" s="1">
        <v>42855015.680774003</v>
      </c>
      <c r="F15" s="1">
        <v>426993036.400042</v>
      </c>
      <c r="G15" s="1">
        <v>672282439.873505</v>
      </c>
      <c r="H15" s="1">
        <v>759377651.16180503</v>
      </c>
      <c r="I15" s="1">
        <v>712874255.48826396</v>
      </c>
      <c r="J15" s="1">
        <v>615020905.47160697</v>
      </c>
      <c r="K15" s="1">
        <v>514133884.05577201</v>
      </c>
      <c r="L15" s="1">
        <v>426583902.90815198</v>
      </c>
    </row>
    <row r="16" spans="1:24" x14ac:dyDescent="0.35">
      <c r="A16" t="s">
        <v>56</v>
      </c>
      <c r="B16" s="1">
        <v>5842197.3475714698</v>
      </c>
      <c r="C16" s="1">
        <v>28209549.647539701</v>
      </c>
      <c r="D16" s="1">
        <v>184879664.14287901</v>
      </c>
      <c r="E16" s="1">
        <v>82137529.399330899</v>
      </c>
      <c r="F16" s="1">
        <v>850100268.25398898</v>
      </c>
      <c r="G16" s="1">
        <v>1090206034.61812</v>
      </c>
      <c r="H16" s="1">
        <v>1129521027.2891099</v>
      </c>
      <c r="I16" s="1">
        <v>1024623590.3563499</v>
      </c>
      <c r="J16" s="1">
        <v>868968050.38883805</v>
      </c>
      <c r="K16" s="1">
        <v>717515426.85990298</v>
      </c>
      <c r="L16" s="1">
        <v>589066686.64161694</v>
      </c>
    </row>
    <row r="17" spans="1:12" x14ac:dyDescent="0.35">
      <c r="A17" t="s">
        <v>57</v>
      </c>
      <c r="B17" s="1" t="s">
        <v>24</v>
      </c>
      <c r="C17" s="1" t="s">
        <v>24</v>
      </c>
      <c r="D17" s="1">
        <v>2328260414.8419299</v>
      </c>
      <c r="E17" s="1">
        <v>246467918.94690299</v>
      </c>
      <c r="F17" s="1">
        <v>52404290923.4888</v>
      </c>
      <c r="G17" s="1">
        <v>506077776842.78497</v>
      </c>
      <c r="H17" s="1">
        <v>131620466746.86</v>
      </c>
      <c r="I17" s="1">
        <v>-13386187328.267</v>
      </c>
      <c r="J17" s="1">
        <v>-148022446602.04099</v>
      </c>
      <c r="K17" s="1">
        <v>-5262941381.1320696</v>
      </c>
      <c r="L17" s="1">
        <v>8615745577.9556293</v>
      </c>
    </row>
    <row r="18" spans="1:12" x14ac:dyDescent="0.35">
      <c r="A18" t="s">
        <v>58</v>
      </c>
      <c r="B18" s="1">
        <v>661211157.86951101</v>
      </c>
      <c r="C18" s="1">
        <v>1297394916.3362701</v>
      </c>
      <c r="D18" s="1">
        <v>1374446429.7790401</v>
      </c>
      <c r="E18" s="1">
        <v>1541284994.8352699</v>
      </c>
      <c r="F18" s="1">
        <v>722374562.56905305</v>
      </c>
      <c r="G18" s="1">
        <v>553075696.11319304</v>
      </c>
      <c r="H18" s="1">
        <v>417658595.38560599</v>
      </c>
      <c r="I18" s="1">
        <v>340540871.76860201</v>
      </c>
      <c r="J18" s="1">
        <v>278295658.43648601</v>
      </c>
      <c r="K18" s="1">
        <v>236078943.25658101</v>
      </c>
      <c r="L18" s="1">
        <v>210629429.809569</v>
      </c>
    </row>
    <row r="20" spans="1:12" x14ac:dyDescent="0.35">
      <c r="A20" t="s">
        <v>60</v>
      </c>
    </row>
    <row r="21" spans="1:12" x14ac:dyDescent="0.35">
      <c r="B21" s="1">
        <f>B2*B8*10^(-6)</f>
        <v>1715.8077283803423</v>
      </c>
      <c r="C21" s="1">
        <f t="shared" ref="C21:L21" si="0">C2*C8*10^(-6)</f>
        <v>4618.6384497166828</v>
      </c>
      <c r="D21" s="1">
        <f t="shared" si="0"/>
        <v>3960.3450335365833</v>
      </c>
      <c r="E21" s="1">
        <f t="shared" si="0"/>
        <v>2609.0856204150045</v>
      </c>
      <c r="F21" s="1">
        <f t="shared" si="0"/>
        <v>1737.2166366377653</v>
      </c>
      <c r="G21" s="1">
        <f t="shared" si="0"/>
        <v>1203.9437322487652</v>
      </c>
      <c r="H21" s="1">
        <f t="shared" si="0"/>
        <v>867.44898995481822</v>
      </c>
      <c r="I21" s="1">
        <f t="shared" si="0"/>
        <v>646.90023100404699</v>
      </c>
      <c r="J21" s="1">
        <f t="shared" si="0"/>
        <v>497.0186604211803</v>
      </c>
      <c r="K21" s="1">
        <f t="shared" si="0"/>
        <v>391.81248677459735</v>
      </c>
      <c r="L21" s="1">
        <f t="shared" si="0"/>
        <v>315.82891293742688</v>
      </c>
    </row>
    <row r="22" spans="1:12" x14ac:dyDescent="0.35">
      <c r="B22" s="1">
        <f t="shared" ref="B22:L23" si="1">B3*B9*10^(-6)</f>
        <v>4400.3358500037602</v>
      </c>
      <c r="C22" s="1">
        <f t="shared" si="1"/>
        <v>30082.301830788943</v>
      </c>
      <c r="D22" s="1">
        <f t="shared" si="1"/>
        <v>118113.27276414062</v>
      </c>
      <c r="E22" s="1">
        <f t="shared" si="1"/>
        <v>158389.20549104386</v>
      </c>
      <c r="F22" s="1">
        <f t="shared" si="1"/>
        <v>134739.9380878938</v>
      </c>
      <c r="G22" s="1">
        <f t="shared" si="1"/>
        <v>99688.10842476906</v>
      </c>
      <c r="H22" s="1">
        <f t="shared" si="1"/>
        <v>72580.893823577877</v>
      </c>
      <c r="I22" s="1">
        <f t="shared" si="1"/>
        <v>53839.900476197014</v>
      </c>
      <c r="J22" s="1">
        <f t="shared" si="1"/>
        <v>40931.824376382603</v>
      </c>
      <c r="K22" s="1">
        <f t="shared" si="1"/>
        <v>31902.305193696055</v>
      </c>
      <c r="L22" s="1">
        <f t="shared" si="1"/>
        <v>25442.165651618263</v>
      </c>
    </row>
    <row r="23" spans="1:12" x14ac:dyDescent="0.35">
      <c r="B23" s="1">
        <f t="shared" si="1"/>
        <v>7070.2981159667961</v>
      </c>
      <c r="C23" s="1">
        <f t="shared" si="1"/>
        <v>6628.2353009911303</v>
      </c>
      <c r="D23" s="1">
        <f t="shared" si="1"/>
        <v>2702.171915104434</v>
      </c>
      <c r="E23" s="1">
        <f t="shared" si="1"/>
        <v>1984.7596924591514</v>
      </c>
      <c r="F23" s="1">
        <f t="shared" si="1"/>
        <v>1219.1355929239758</v>
      </c>
      <c r="G23" s="1">
        <f t="shared" si="1"/>
        <v>913.77835876623465</v>
      </c>
      <c r="H23" s="1">
        <f t="shared" si="1"/>
        <v>581.22965382184066</v>
      </c>
      <c r="I23" s="1">
        <f t="shared" si="1"/>
        <v>496.02867025878368</v>
      </c>
      <c r="J23" s="1">
        <f t="shared" si="1"/>
        <v>276.08114202804154</v>
      </c>
      <c r="K23" s="1">
        <f t="shared" si="1"/>
        <v>201.13664966950012</v>
      </c>
      <c r="L23" s="1">
        <f t="shared" si="1"/>
        <v>155.5108007386485</v>
      </c>
    </row>
    <row r="24" spans="1:12" x14ac:dyDescent="0.35">
      <c r="B24" s="1">
        <f>B5*B11*10^(-6)</f>
        <v>116.32613335104269</v>
      </c>
      <c r="C24" s="1">
        <f t="shared" ref="C24:L24" si="2">C5*C11*10^(-6)</f>
        <v>140.78209766796107</v>
      </c>
      <c r="D24" s="1">
        <f t="shared" si="2"/>
        <v>118.23608703847582</v>
      </c>
      <c r="E24" s="1">
        <f t="shared" si="2"/>
        <v>75.16934632904541</v>
      </c>
      <c r="F24" s="1">
        <f t="shared" si="2"/>
        <v>46.608759524136332</v>
      </c>
      <c r="G24" s="1">
        <f t="shared" si="2"/>
        <v>29.456629642227984</v>
      </c>
      <c r="H24" s="1">
        <f t="shared" si="2"/>
        <v>19.057759470346074</v>
      </c>
      <c r="I24" s="1">
        <f t="shared" si="2"/>
        <v>12.651346727542501</v>
      </c>
      <c r="J24" s="1">
        <f t="shared" si="2"/>
        <v>8.6153916524513008</v>
      </c>
      <c r="K24" s="1">
        <f t="shared" si="2"/>
        <v>6.0128306664789664</v>
      </c>
      <c r="L24" s="1">
        <f t="shared" si="2"/>
        <v>4.2929992242874606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Resistencia</vt:lpstr>
      <vt:lpstr>Tabela</vt:lpstr>
      <vt:lpstr>Vsup</vt:lpstr>
      <vt:lpstr>Valores</vt:lpstr>
      <vt:lpstr>graficoall</vt:lpstr>
      <vt:lpstr>Vsup novo</vt:lpstr>
      <vt:lpstr>Ron</vt:lpstr>
      <vt:lpstr>Cap</vt:lpstr>
      <vt:lpstr>VsupNew_arq</vt:lpstr>
      <vt:lpstr>New_arq</vt:lpstr>
      <vt:lpstr>Vsup = 1.6V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becahp</dc:creator>
  <cp:lastModifiedBy>becahp</cp:lastModifiedBy>
  <dcterms:created xsi:type="dcterms:W3CDTF">2017-08-25T18:32:20Z</dcterms:created>
  <dcterms:modified xsi:type="dcterms:W3CDTF">2018-08-28T23:54:25Z</dcterms:modified>
</cp:coreProperties>
</file>