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uggles/cost-of-unmet-demand/input spreadsheets/"/>
    </mc:Choice>
  </mc:AlternateContent>
  <xr:revisionPtr revIDLastSave="0" documentId="13_ncr:1_{629D44E2-099A-FA4F-94A9-2A9AAA3AFA3E}" xr6:coauthVersionLast="45" xr6:coauthVersionMax="45" xr10:uidLastSave="{00000000-0000-0000-0000-000000000000}"/>
  <bookViews>
    <workbookView xWindow="16900" yWindow="-27920" windowWidth="22500" windowHeight="21600" xr2:uid="{9402D557-0539-F249-9981-FEF30EBBF85E}"/>
  </bookViews>
  <sheets>
    <sheet name="Tyler's costs" sheetId="1" r:id="rId1"/>
    <sheet name="2020 EIA storage" sheetId="2" r:id="rId2"/>
  </sheets>
  <externalReferences>
    <externalReference r:id="rId3"/>
  </externalReferences>
  <definedNames>
    <definedName name="BTU_PER_KWH">'Tyler''s costs'!$E$11</definedName>
    <definedName name="DISCOUNT_RATE">'Tyler''s costs'!$B$11</definedName>
    <definedName name="HOURS_PER_YEAR">'Tyler''s costs'!$B$12</definedName>
    <definedName name="MWh_per_MMBtu">'Tyler''s costs'!#REF!</definedName>
    <definedName name="TB2CostFactor">[1]Scenario!$R$7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2" i="1"/>
  <c r="D17" i="1"/>
  <c r="D18" i="1" s="1"/>
  <c r="D19" i="1" s="1"/>
  <c r="D24" i="1" l="1"/>
  <c r="K10" i="1"/>
  <c r="B10" i="2" l="1"/>
  <c r="B11" i="2"/>
  <c r="B13" i="2"/>
  <c r="B4" i="2"/>
  <c r="F1" i="2"/>
  <c r="B14" i="2" l="1"/>
  <c r="B15" i="2" s="1"/>
  <c r="K13" i="1"/>
  <c r="K12" i="1"/>
  <c r="K11" i="1"/>
  <c r="K8" i="1"/>
  <c r="K9" i="1"/>
  <c r="B8" i="1" l="1"/>
  <c r="F5" i="1" l="1"/>
  <c r="F14" i="1"/>
  <c r="F15" i="1" s="1"/>
  <c r="E22" i="1" l="1"/>
  <c r="E24" i="1" s="1"/>
  <c r="F17" i="1"/>
  <c r="F18" i="1" s="1"/>
  <c r="F19" i="1" s="1"/>
  <c r="G17" i="1"/>
  <c r="G18" i="1" s="1"/>
  <c r="G19" i="1" s="1"/>
  <c r="C17" i="1"/>
  <c r="C18" i="1" s="1"/>
  <c r="C19" i="1" s="1"/>
  <c r="E17" i="1"/>
  <c r="E18" i="1" s="1"/>
  <c r="E19" i="1" s="1"/>
  <c r="B17" i="1"/>
  <c r="B18" i="1" s="1"/>
  <c r="B19" i="1" s="1"/>
</calcChain>
</file>

<file path=xl/sharedStrings.xml><?xml version="1.0" encoding="utf-8"?>
<sst xmlns="http://schemas.openxmlformats.org/spreadsheetml/2006/main" count="86" uniqueCount="60">
  <si>
    <t>Combined-cycle with 90% CCS</t>
  </si>
  <si>
    <t>All costs in 2019 $</t>
  </si>
  <si>
    <t>Total overnight cost ($/kW)</t>
  </si>
  <si>
    <t>Variable O&amp;M ($/MWh)</t>
  </si>
  <si>
    <t>Fixed O&amp;M ($/kW-yr)</t>
  </si>
  <si>
    <t>Wind</t>
  </si>
  <si>
    <t>Solar</t>
  </si>
  <si>
    <t>Assumed Lifetime</t>
  </si>
  <si>
    <t>ACC</t>
  </si>
  <si>
    <t>Discount Rate</t>
  </si>
  <si>
    <t>Old Wind</t>
  </si>
  <si>
    <t>Old NG</t>
  </si>
  <si>
    <t>FHC</t>
  </si>
  <si>
    <t>Hours per year</t>
  </si>
  <si>
    <t>Battery</t>
  </si>
  <si>
    <t>Values from:</t>
  </si>
  <si>
    <t>EIA_AEO_2020</t>
  </si>
  <si>
    <t>EIA_AEO_2018</t>
  </si>
  <si>
    <t>EIA_Nuclear_LT</t>
  </si>
  <si>
    <t>lazardStorage2019</t>
  </si>
  <si>
    <t>See tab:elec_tech_table in Latex project fuels_paper_II</t>
  </si>
  <si>
    <t>Heat Rate (Btu/kWh)</t>
  </si>
  <si>
    <t>Btu / kWh</t>
  </si>
  <si>
    <t>Efficiency</t>
  </si>
  <si>
    <t>Fuel Cost ($/MWh)</t>
  </si>
  <si>
    <t>Notes</t>
  </si>
  <si>
    <t>Variable Cost ($/MWh)</t>
  </si>
  <si>
    <t>Electric Power System</t>
  </si>
  <si>
    <t>USD2005_to_USD2019</t>
  </si>
  <si>
    <t>USD2010_to_USD2019</t>
  </si>
  <si>
    <t>USD2015_to_USD2019</t>
  </si>
  <si>
    <t>USD2016_to_USD2019</t>
  </si>
  <si>
    <t>https://www.usinflationcalculator.com/ 3 June 2020 (2019 values didn't change compared to 3 Feb 2020 values for 2020)</t>
  </si>
  <si>
    <t>Capital recovery factor (% per year)</t>
  </si>
  <si>
    <t>USD2012_to_USD2019</t>
  </si>
  <si>
    <t>Green cells indicate those that align exactly with the values used in SEM / MEM</t>
  </si>
  <si>
    <t>MWh/MMBtu</t>
  </si>
  <si>
    <t>https://www.eia.gov/totalenergy/data/monthly/pdf/sec13_18.pdf</t>
  </si>
  <si>
    <t>References</t>
  </si>
  <si>
    <t>EIA AEO2020</t>
  </si>
  <si>
    <t>Lazard 2019</t>
  </si>
  <si>
    <t>Gen techs AEO2020, Storage Lazard 2019 11.7 for battery is 0.25$/ kWh annual O&amp;M + annual cost of augmentation of 2.5% of initial FCI + warranty of 0.8% of FCI where FCI is based on the nameplate value</t>
  </si>
  <si>
    <t>EIA 2014, NRC 2018</t>
  </si>
  <si>
    <t>Gen techs AEO2020</t>
  </si>
  <si>
    <t>Gen techs AEO2020, Storage Lazard 2019 - Capital Cost Comparison—Nameplate Energy ($/kWh), take middle of 1:4 P/E battery and assume 90% efficicy split between input and output</t>
  </si>
  <si>
    <r>
      <t xml:space="preserve">Gen techs AEO2020, </t>
    </r>
    <r>
      <rPr>
        <b/>
        <sz val="12"/>
        <color theme="1"/>
        <rFont val="Calibri"/>
        <family val="2"/>
        <scheme val="minor"/>
      </rPr>
      <t>Storage, I think this essentially factored into the annual O&amp;M the way I calculated it</t>
    </r>
  </si>
  <si>
    <t>Eff not actually used for nuclear</t>
  </si>
  <si>
    <t>EPA2018</t>
  </si>
  <si>
    <t>Henry Hub Gas</t>
  </si>
  <si>
    <t>Nuclear EPA2018, natgas take some ~ average of Henry Hub gas prices over last few years --&gt; $3/MMBtu.</t>
  </si>
  <si>
    <t>SOURCE</t>
  </si>
  <si>
    <t>2019 dollars</t>
  </si>
  <si>
    <r>
      <rPr>
        <b/>
        <u/>
        <sz val="12"/>
        <color theme="1"/>
        <rFont val="Calibri (Body)"/>
      </rPr>
      <t>Table 3</t>
    </r>
    <r>
      <rPr>
        <sz val="12"/>
        <color theme="1"/>
        <rFont val="Calibri"/>
        <family val="2"/>
        <scheme val="minor"/>
      </rPr>
      <t xml:space="preserve"> in: https://www.eia.gov/outlooks/aeo/assumptions/pdf/electricity.pdf</t>
    </r>
  </si>
  <si>
    <t>LI storage</t>
  </si>
  <si>
    <t>Total overnight cost ($/kWh)</t>
  </si>
  <si>
    <r>
      <t xml:space="preserve">Green cells indicate those that </t>
    </r>
    <r>
      <rPr>
        <b/>
        <sz val="12"/>
        <color theme="1"/>
        <rFont val="Calibri"/>
        <family val="2"/>
        <scheme val="minor"/>
      </rPr>
      <t>should</t>
    </r>
    <r>
      <rPr>
        <sz val="12"/>
        <color theme="1"/>
        <rFont val="Calibri"/>
        <family val="2"/>
        <scheme val="minor"/>
      </rPr>
      <t xml:space="preserve"> align exactly with the values used in SEM / MEM</t>
    </r>
  </si>
  <si>
    <t>Dave F. and Tyler R. - Updated 5 October 2020</t>
  </si>
  <si>
    <r>
      <t>To do:</t>
    </r>
    <r>
      <rPr>
        <sz val="18"/>
        <color theme="1"/>
        <rFont val="Calibri"/>
        <family val="2"/>
        <scheme val="minor"/>
      </rPr>
      <t xml:space="preserve"> Update storage costs to EIA values</t>
    </r>
  </si>
  <si>
    <t>Combined-cycle  Multi shaft</t>
  </si>
  <si>
    <r>
      <t xml:space="preserve">Wind, solar, CCw/CCS AEO2018, </t>
    </r>
    <r>
      <rPr>
        <b/>
        <sz val="12"/>
        <color theme="1"/>
        <rFont val="Calibri"/>
        <family val="2"/>
        <scheme val="minor"/>
      </rPr>
      <t>Storage Lazard 2019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</si>
</sst>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rgb="FF0563C1"/>
      <name val="Calibri"/>
      <family val="2"/>
    </font>
    <font>
      <b/>
      <u/>
      <sz val="12"/>
      <color theme="1"/>
      <name val="Calibri (Body)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horizontal="right"/>
    </xf>
    <xf numFmtId="0" fontId="0" fillId="0" borderId="0" xfId="0" applyAlignment="1"/>
    <xf numFmtId="0" fontId="4" fillId="0" borderId="0" xfId="0" applyFont="1" applyAlignment="1"/>
    <xf numFmtId="0" fontId="2" fillId="0" borderId="0" xfId="1" applyAlignment="1"/>
    <xf numFmtId="10" fontId="0" fillId="0" borderId="0" xfId="2" applyNumberFormat="1" applyFont="1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ont="1" applyFill="1" applyAlignment="1"/>
    <xf numFmtId="0" fontId="0" fillId="0" borderId="0" xfId="0" applyFont="1" applyFill="1" applyAlignment="1"/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right"/>
    </xf>
    <xf numFmtId="0" fontId="5" fillId="0" borderId="0" xfId="0" applyFont="1" applyAlignment="1">
      <alignment horizontal="left"/>
    </xf>
    <xf numFmtId="0" fontId="0" fillId="4" borderId="0" xfId="0" applyFill="1" applyAlignment="1">
      <alignment wrapText="1"/>
    </xf>
    <xf numFmtId="0" fontId="2" fillId="0" borderId="0" xfId="1" applyAlignment="1">
      <alignment wrapText="1"/>
    </xf>
    <xf numFmtId="0" fontId="2" fillId="0" borderId="0" xfId="1" applyFill="1" applyAlignment="1">
      <alignment wrapText="1"/>
    </xf>
    <xf numFmtId="0" fontId="0" fillId="0" borderId="0" xfId="0" applyFill="1" applyAlignment="1">
      <alignment horizontal="right" wrapText="1"/>
    </xf>
    <xf numFmtId="0" fontId="7" fillId="0" borderId="0" xfId="0" applyFont="1" applyAlignme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uggles/IDrive-Sync/Carnegie_References/Fuels/H2A_NREL_Hydrogen_Delivery_Scenario_Analysis_Model_(HDSAM)_V3.1%20(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COPYRIGHT"/>
      <sheetName val="Scenario"/>
      <sheetName val="Results Summary"/>
      <sheetName val="Energy and GHG Results"/>
      <sheetName val="Cash Flow Results"/>
      <sheetName val="Refueling Station - Gaseous H2"/>
      <sheetName val="Refueling Station - Liquid H2"/>
      <sheetName val="Compressed Gas H2 Terminal"/>
      <sheetName val="Compressed H2 Truck"/>
      <sheetName val="H2 Liquefier"/>
      <sheetName val="Liquid H2 Terminal"/>
      <sheetName val="Truck - LH2 Delivery"/>
      <sheetName val="H2 Compressor"/>
      <sheetName val="Gaseous H2 Geologic Storage"/>
      <sheetName val="H2 Pipeline"/>
      <sheetName val="Scenario Parameters"/>
      <sheetName val="Feedstock &amp; Utility Prices"/>
      <sheetName val="Financial Inputs"/>
      <sheetName val="MACRS_Depr. Table"/>
      <sheetName val="Physical Property Data"/>
      <sheetName val="GREET Data"/>
      <sheetName val="Cost Data"/>
      <sheetName val="Design Data"/>
      <sheetName val="Population"/>
    </sheetNames>
    <sheetDataSet>
      <sheetData sheetId="0"/>
      <sheetData sheetId="1"/>
      <sheetData sheetId="2">
        <row r="7">
          <cell r="R7">
            <v>0.55176806294656444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dnav/ng/hist/rngwhhdd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sinflationcalculator.com/%203%20June%202020%20(2019%20values%20didn't%20change%20compared%20to%203%20Feb%202020%20values%20for%20202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9738-6C80-4948-ACFD-8AF97CD34964}">
  <dimension ref="A1:L24"/>
  <sheetViews>
    <sheetView tabSelected="1" topLeftCell="A5" workbookViewId="0">
      <selection activeCell="C21" sqref="C21"/>
    </sheetView>
  </sheetViews>
  <sheetFormatPr baseColWidth="10" defaultRowHeight="16" x14ac:dyDescent="0.2"/>
  <cols>
    <col min="1" max="1" width="10.83203125" style="1"/>
    <col min="2" max="2" width="15.83203125" style="1" customWidth="1"/>
    <col min="3" max="3" width="15.6640625" style="1" customWidth="1"/>
    <col min="4" max="4" width="14.1640625" style="1" bestFit="1" customWidth="1"/>
    <col min="5" max="5" width="13.6640625" style="1" customWidth="1"/>
    <col min="6" max="6" width="15" style="1" customWidth="1"/>
    <col min="7" max="8" width="0" style="1" hidden="1" customWidth="1"/>
    <col min="9" max="9" width="17.83203125" style="1" bestFit="1" customWidth="1"/>
    <col min="10" max="16384" width="10.83203125" style="1"/>
  </cols>
  <sheetData>
    <row r="1" spans="1:12" ht="24" x14ac:dyDescent="0.3">
      <c r="A1" s="19" t="s">
        <v>56</v>
      </c>
    </row>
    <row r="2" spans="1:12" ht="24" x14ac:dyDescent="0.3">
      <c r="A2" s="19" t="s">
        <v>57</v>
      </c>
    </row>
    <row r="3" spans="1:12" ht="24" x14ac:dyDescent="0.3">
      <c r="A3" s="19"/>
    </row>
    <row r="5" spans="1:12" ht="34" x14ac:dyDescent="0.2">
      <c r="A5" s="2" t="s">
        <v>15</v>
      </c>
      <c r="B5" s="1" t="s">
        <v>16</v>
      </c>
      <c r="C5" s="1" t="s">
        <v>17</v>
      </c>
      <c r="D5" s="1" t="s">
        <v>18</v>
      </c>
      <c r="E5" s="1" t="s">
        <v>19</v>
      </c>
      <c r="F5" s="1" t="str">
        <f>HYPERLINK("https://www.eia.gov/electricity/annual/html/epa_08_04.html","EIA, EPA2018, Table 8.4")</f>
        <v>EIA, EPA2018, Table 8.4</v>
      </c>
    </row>
    <row r="6" spans="1:12" x14ac:dyDescent="0.2">
      <c r="A6" s="4" t="s">
        <v>20</v>
      </c>
    </row>
    <row r="7" spans="1:12" ht="17" x14ac:dyDescent="0.2">
      <c r="A7" s="10" t="s">
        <v>55</v>
      </c>
      <c r="B7" s="9"/>
      <c r="C7" s="9"/>
      <c r="D7" s="9"/>
      <c r="E7" s="9"/>
      <c r="F7" s="9"/>
      <c r="J7" s="2" t="s">
        <v>38</v>
      </c>
    </row>
    <row r="8" spans="1:12" s="8" customFormat="1" ht="102" x14ac:dyDescent="0.2">
      <c r="A8" s="12" t="s">
        <v>36</v>
      </c>
      <c r="B8" s="13">
        <f>1055.05585262/3600</f>
        <v>0.29307107017222223</v>
      </c>
      <c r="C8" s="14" t="s">
        <v>37</v>
      </c>
      <c r="J8" s="8" t="s">
        <v>39</v>
      </c>
      <c r="K8" s="17" t="str">
        <f>HYPERLINK("https://www.eia.gov/outlooks/aeo/assumptions/pdf/electricity.pdf","EIA, AEO2020, Electricity Market Module, Table 2")</f>
        <v>EIA, AEO2020, Electricity Market Module, Table 2</v>
      </c>
    </row>
    <row r="9" spans="1:12" s="8" customFormat="1" ht="34" x14ac:dyDescent="0.2">
      <c r="A9" s="11"/>
      <c r="J9" s="8" t="s">
        <v>40</v>
      </c>
      <c r="K9" s="16" t="str">
        <f>HYPERLINK("https://www.lazard.com/media/451087/lazards-levelized-cost-of-storage-version-50-vf.pdf","Lazard 2019")</f>
        <v>Lazard 2019</v>
      </c>
    </row>
    <row r="10" spans="1:12" ht="104" x14ac:dyDescent="0.3">
      <c r="A10" s="5" t="s">
        <v>27</v>
      </c>
      <c r="J10" s="1" t="s">
        <v>39</v>
      </c>
      <c r="K10" s="16" t="str">
        <f>HYPERLINK("https://www.eia.gov/outlooks/aeo/assumptions/pdf/commercial.pdf","EIA, AEO2020, Commercial Demand Module, Table 3")</f>
        <v>EIA, AEO2020, Commercial Demand Module, Table 3</v>
      </c>
    </row>
    <row r="11" spans="1:12" ht="34" x14ac:dyDescent="0.2">
      <c r="A11" s="2" t="s">
        <v>9</v>
      </c>
      <c r="B11" s="1">
        <v>7.0000000000000007E-2</v>
      </c>
      <c r="D11" s="2" t="s">
        <v>22</v>
      </c>
      <c r="E11" s="1">
        <v>3412.141633127942</v>
      </c>
      <c r="J11" s="1" t="s">
        <v>42</v>
      </c>
      <c r="K11" s="16" t="str">
        <f>HYPERLINK("https://www.eia.gov/todayinenergy/detail.php?id=19091","EIA, 2014; NRC, 2018")</f>
        <v>EIA, 2014; NRC, 2018</v>
      </c>
    </row>
    <row r="12" spans="1:12" ht="51" x14ac:dyDescent="0.2">
      <c r="A12" s="2" t="s">
        <v>13</v>
      </c>
      <c r="B12" s="1">
        <v>8760</v>
      </c>
      <c r="J12" s="1" t="s">
        <v>47</v>
      </c>
      <c r="K12" s="16" t="str">
        <f>HYPERLINK("https://www.eia.gov/electricity/annual/html/epa_08_04.html","EIA, EPA2018, Table 8.4")</f>
        <v>EIA, EPA2018, Table 8.4</v>
      </c>
    </row>
    <row r="13" spans="1:12" ht="51" x14ac:dyDescent="0.2">
      <c r="A13" s="1" t="s">
        <v>1</v>
      </c>
      <c r="B13" s="15" t="s">
        <v>5</v>
      </c>
      <c r="C13" s="15" t="s">
        <v>6</v>
      </c>
      <c r="D13" s="15" t="s">
        <v>58</v>
      </c>
      <c r="E13" s="15" t="s">
        <v>0</v>
      </c>
      <c r="F13" s="15" t="s">
        <v>14</v>
      </c>
      <c r="G13" s="2" t="s">
        <v>10</v>
      </c>
      <c r="H13" s="1" t="s">
        <v>11</v>
      </c>
      <c r="I13" s="1" t="s">
        <v>25</v>
      </c>
      <c r="J13" s="1" t="s">
        <v>48</v>
      </c>
      <c r="K13" s="16" t="str">
        <f>HYPERLINK("https://www.eia.gov/dnav/ng/hist/rngwhhdd.htm","Henry Hub")</f>
        <v>Henry Hub</v>
      </c>
    </row>
    <row r="14" spans="1:12" ht="68" x14ac:dyDescent="0.2">
      <c r="A14" s="2" t="s">
        <v>2</v>
      </c>
      <c r="B14" s="1">
        <v>1319</v>
      </c>
      <c r="C14" s="1">
        <v>1331</v>
      </c>
      <c r="D14" s="1">
        <v>954</v>
      </c>
      <c r="E14" s="1">
        <v>2569</v>
      </c>
      <c r="F14" s="8">
        <f>347/SQRT(0.9)</f>
        <v>365.77011602614255</v>
      </c>
      <c r="G14" s="3">
        <v>1657</v>
      </c>
      <c r="I14" s="4" t="s">
        <v>44</v>
      </c>
    </row>
    <row r="15" spans="1:12" ht="34" x14ac:dyDescent="0.2">
      <c r="A15" s="1" t="s">
        <v>4</v>
      </c>
      <c r="B15" s="1">
        <v>26.22</v>
      </c>
      <c r="C15" s="1">
        <v>15.19</v>
      </c>
      <c r="D15" s="1">
        <v>12.15</v>
      </c>
      <c r="E15" s="1">
        <v>27.48</v>
      </c>
      <c r="F15" s="8">
        <f>(0.025+0.008)*F14+0.25</f>
        <v>12.320413828862705</v>
      </c>
      <c r="G15" s="3">
        <v>47.47</v>
      </c>
      <c r="I15" s="4" t="s">
        <v>41</v>
      </c>
      <c r="L15" s="4"/>
    </row>
    <row r="16" spans="1:12" ht="34" x14ac:dyDescent="0.2">
      <c r="A16" s="1" t="s">
        <v>7</v>
      </c>
      <c r="B16" s="1">
        <v>25</v>
      </c>
      <c r="C16" s="1">
        <v>25</v>
      </c>
      <c r="D16" s="1">
        <v>30</v>
      </c>
      <c r="E16" s="1">
        <v>30</v>
      </c>
      <c r="F16" s="1">
        <v>10</v>
      </c>
      <c r="G16" s="1">
        <v>30</v>
      </c>
      <c r="I16" s="4" t="s">
        <v>59</v>
      </c>
    </row>
    <row r="17" spans="1:9" ht="68" x14ac:dyDescent="0.2">
      <c r="A17" s="1" t="s">
        <v>33</v>
      </c>
      <c r="B17" s="7">
        <f t="shared" ref="B17:G17" si="0">DISCOUNT_RATE*(1+DISCOUNT_RATE)^B16/((1+DISCOUNT_RATE)^B16-1)</f>
        <v>8.5810517220665614E-2</v>
      </c>
      <c r="C17" s="7">
        <f t="shared" si="0"/>
        <v>8.5810517220665614E-2</v>
      </c>
      <c r="D17" s="7">
        <f t="shared" ref="D17" si="1">DISCOUNT_RATE*(1+DISCOUNT_RATE)^D16/((1+DISCOUNT_RATE)^D16-1)</f>
        <v>8.0586403511111196E-2</v>
      </c>
      <c r="E17" s="7">
        <f t="shared" si="0"/>
        <v>8.0586403511111196E-2</v>
      </c>
      <c r="F17" s="7">
        <f t="shared" si="0"/>
        <v>0.14237750272736471</v>
      </c>
      <c r="G17" s="1">
        <f t="shared" si="0"/>
        <v>8.0586403511111196E-2</v>
      </c>
      <c r="I17" s="4"/>
    </row>
    <row r="18" spans="1:9" ht="17" x14ac:dyDescent="0.2">
      <c r="A18" s="1" t="s">
        <v>8</v>
      </c>
      <c r="B18" s="1">
        <f>B14*B17+B15</f>
        <v>139.40407221405795</v>
      </c>
      <c r="C18" s="1">
        <f t="shared" ref="C18:G18" si="2">C14*C17+C15</f>
        <v>129.40379842070593</v>
      </c>
      <c r="D18" s="1">
        <f t="shared" ref="D18" si="3">D14*D17+D15</f>
        <v>89.029428949600089</v>
      </c>
      <c r="E18" s="1">
        <f t="shared" si="2"/>
        <v>234.50647062004464</v>
      </c>
      <c r="F18" s="1">
        <f t="shared" si="2"/>
        <v>64.397849520963319</v>
      </c>
      <c r="G18" s="1">
        <f t="shared" si="2"/>
        <v>181.00167061791126</v>
      </c>
      <c r="I18" s="4"/>
    </row>
    <row r="19" spans="1:9" ht="17" x14ac:dyDescent="0.2">
      <c r="A19" s="1" t="s">
        <v>12</v>
      </c>
      <c r="B19" s="9">
        <f t="shared" ref="B19:G19" si="4">B18/HOURS_PER_YEAR*1000</f>
        <v>15.913706873750908</v>
      </c>
      <c r="C19" s="9">
        <f t="shared" si="4"/>
        <v>14.772123107386522</v>
      </c>
      <c r="D19" s="9">
        <f t="shared" ref="D19" si="5">D18/HOURS_PER_YEAR*1000</f>
        <v>10.163176820730605</v>
      </c>
      <c r="E19" s="9">
        <f t="shared" si="4"/>
        <v>26.770145047950301</v>
      </c>
      <c r="F19" s="9">
        <f t="shared" si="4"/>
        <v>7.3513526850414754</v>
      </c>
      <c r="G19" s="1">
        <f t="shared" si="4"/>
        <v>20.662291166428226</v>
      </c>
      <c r="I19" s="4"/>
    </row>
    <row r="20" spans="1:9" ht="51" x14ac:dyDescent="0.2">
      <c r="A20" s="1" t="s">
        <v>3</v>
      </c>
      <c r="B20" s="1">
        <v>0</v>
      </c>
      <c r="C20" s="1">
        <v>0</v>
      </c>
      <c r="D20" s="1">
        <v>1.86</v>
      </c>
      <c r="E20" s="1">
        <v>5.82</v>
      </c>
      <c r="I20" s="4" t="s">
        <v>45</v>
      </c>
    </row>
    <row r="21" spans="1:9" ht="34" x14ac:dyDescent="0.2">
      <c r="A21" s="1" t="s">
        <v>21</v>
      </c>
      <c r="D21" s="1">
        <v>6370</v>
      </c>
      <c r="E21" s="1">
        <v>7124</v>
      </c>
      <c r="I21" s="4" t="s">
        <v>43</v>
      </c>
    </row>
    <row r="22" spans="1:9" ht="17" x14ac:dyDescent="0.2">
      <c r="A22" s="1" t="s">
        <v>23</v>
      </c>
      <c r="D22" s="1">
        <f>BTU_PER_KWH/D21</f>
        <v>0.53565802717864086</v>
      </c>
      <c r="E22" s="1">
        <f>BTU_PER_KWH/E21</f>
        <v>0.47896429437506205</v>
      </c>
      <c r="I22" s="4" t="s">
        <v>46</v>
      </c>
    </row>
    <row r="23" spans="1:9" ht="102" x14ac:dyDescent="0.2">
      <c r="A23" s="1" t="s">
        <v>24</v>
      </c>
      <c r="D23" s="8">
        <f>3/B8/D22</f>
        <v>19.11</v>
      </c>
      <c r="E23" s="8">
        <f>3/B8/E22</f>
        <v>21.372</v>
      </c>
      <c r="I23" s="1" t="s">
        <v>49</v>
      </c>
    </row>
    <row r="24" spans="1:9" ht="51" x14ac:dyDescent="0.2">
      <c r="A24" s="1" t="s">
        <v>26</v>
      </c>
      <c r="D24" s="9">
        <f>D20+D23</f>
        <v>20.97</v>
      </c>
      <c r="E24" s="9">
        <f>E20+E23</f>
        <v>27.192</v>
      </c>
    </row>
  </sheetData>
  <hyperlinks>
    <hyperlink ref="K13" r:id="rId1" display="https://www.eia.gov/dnav/ng/hist/rngwhhdd.htm" xr:uid="{4DB904BA-9B67-3F41-A5AF-FED0E0C680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7E836-CE3B-9F4F-A56A-BC45437D1246}">
  <dimension ref="A1:K30"/>
  <sheetViews>
    <sheetView topLeftCell="A3" workbookViewId="0">
      <selection activeCell="B10" sqref="B10"/>
    </sheetView>
  </sheetViews>
  <sheetFormatPr baseColWidth="10" defaultRowHeight="16" x14ac:dyDescent="0.2"/>
  <cols>
    <col min="1" max="1" width="12.83203125" customWidth="1"/>
    <col min="2" max="2" width="20" customWidth="1"/>
    <col min="3" max="3" width="26.83203125" customWidth="1"/>
    <col min="4" max="4" width="11.6640625" bestFit="1" customWidth="1"/>
    <col min="6" max="6" width="11.6640625" bestFit="1" customWidth="1"/>
    <col min="7" max="7" width="25.83203125" customWidth="1"/>
  </cols>
  <sheetData>
    <row r="1" spans="1:11" ht="51" x14ac:dyDescent="0.2">
      <c r="A1" s="2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tr">
        <f>HYPERLINK("https://www.eia.gov/electricity/annual/html/epa_08_04.html","EIA, EPA2018, Table 8.4")</f>
        <v>EIA, EPA2018, Table 8.4</v>
      </c>
      <c r="G1" s="1"/>
      <c r="H1" s="1"/>
      <c r="I1" s="1"/>
      <c r="J1" s="1"/>
      <c r="K1" s="1"/>
    </row>
    <row r="2" spans="1:11" x14ac:dyDescent="0.2">
      <c r="A2" s="4" t="s">
        <v>20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0" t="s">
        <v>35</v>
      </c>
      <c r="B3" s="9"/>
      <c r="C3" s="9"/>
      <c r="D3" s="9"/>
      <c r="E3" s="9"/>
      <c r="F3" s="9"/>
      <c r="G3" s="1"/>
      <c r="H3" s="1"/>
      <c r="I3" s="1"/>
      <c r="J3" s="2"/>
      <c r="K3" s="1"/>
    </row>
    <row r="4" spans="1:11" x14ac:dyDescent="0.2">
      <c r="A4" s="12" t="s">
        <v>36</v>
      </c>
      <c r="B4" s="13">
        <f>1055.05585262/3600</f>
        <v>0.29307107017222223</v>
      </c>
      <c r="C4" s="14" t="s">
        <v>37</v>
      </c>
      <c r="D4" s="8"/>
      <c r="E4" s="8"/>
      <c r="F4" s="8"/>
      <c r="G4" s="8"/>
      <c r="H4" s="8"/>
      <c r="I4" s="8"/>
      <c r="J4" s="8"/>
      <c r="K4" s="17"/>
    </row>
    <row r="5" spans="1:11" x14ac:dyDescent="0.2">
      <c r="A5" s="11"/>
      <c r="B5" s="8"/>
      <c r="C5" s="8"/>
      <c r="D5" s="8"/>
      <c r="E5" s="8"/>
      <c r="F5" s="8"/>
      <c r="G5" s="8"/>
      <c r="H5" s="8"/>
      <c r="I5" s="8"/>
      <c r="J5" s="8"/>
      <c r="K5" s="16"/>
    </row>
    <row r="6" spans="1:11" ht="26" x14ac:dyDescent="0.3">
      <c r="A6" s="5" t="s">
        <v>53</v>
      </c>
      <c r="B6" s="1"/>
      <c r="C6" s="1"/>
      <c r="D6" s="1"/>
      <c r="E6" s="1"/>
      <c r="F6" s="1"/>
      <c r="G6" s="1"/>
      <c r="H6" s="1"/>
      <c r="I6" s="1"/>
      <c r="J6" s="1"/>
      <c r="K6" s="16"/>
    </row>
    <row r="7" spans="1:11" ht="17" x14ac:dyDescent="0.2">
      <c r="A7" s="2" t="s">
        <v>9</v>
      </c>
      <c r="B7" s="1">
        <v>7.0000000000000007E-2</v>
      </c>
      <c r="C7" s="1"/>
      <c r="D7" s="2" t="s">
        <v>22</v>
      </c>
      <c r="E7" s="1">
        <v>3412.141633127942</v>
      </c>
      <c r="F7" s="1"/>
      <c r="G7" s="1"/>
      <c r="H7" s="1"/>
      <c r="I7" s="1"/>
      <c r="J7" s="1"/>
      <c r="K7" s="16"/>
    </row>
    <row r="8" spans="1:11" ht="34" x14ac:dyDescent="0.2">
      <c r="A8" s="2" t="s">
        <v>13</v>
      </c>
      <c r="B8" s="1">
        <v>8760</v>
      </c>
      <c r="C8" s="1"/>
      <c r="D8" s="1"/>
      <c r="E8" s="1"/>
      <c r="F8" s="1"/>
      <c r="G8" s="1"/>
      <c r="H8" s="1"/>
      <c r="I8" s="1"/>
      <c r="J8" s="1"/>
      <c r="K8" s="16"/>
    </row>
    <row r="9" spans="1:11" ht="34" x14ac:dyDescent="0.2">
      <c r="A9" s="1" t="s">
        <v>1</v>
      </c>
      <c r="B9" s="15" t="s">
        <v>14</v>
      </c>
      <c r="C9" s="2" t="s">
        <v>50</v>
      </c>
      <c r="D9" s="1" t="s">
        <v>25</v>
      </c>
      <c r="E9" s="1"/>
      <c r="F9" s="1"/>
      <c r="G9" s="16"/>
    </row>
    <row r="10" spans="1:11" ht="68" x14ac:dyDescent="0.2">
      <c r="A10" s="2" t="s">
        <v>54</v>
      </c>
      <c r="B10" s="8">
        <f>1383/4/SQRT(0.9)</f>
        <v>364.45250033440573</v>
      </c>
      <c r="C10" s="18" t="s">
        <v>52</v>
      </c>
      <c r="D10" s="1" t="s">
        <v>51</v>
      </c>
      <c r="E10" s="4"/>
      <c r="F10" s="1"/>
      <c r="G10" s="1"/>
    </row>
    <row r="11" spans="1:11" ht="68" x14ac:dyDescent="0.2">
      <c r="A11" s="1" t="s">
        <v>4</v>
      </c>
      <c r="B11" s="8">
        <f>24.7/SQRT(0.9)</f>
        <v>26.036086068719655</v>
      </c>
      <c r="C11" s="18" t="s">
        <v>52</v>
      </c>
      <c r="D11" s="1" t="s">
        <v>51</v>
      </c>
      <c r="E11" s="4"/>
      <c r="F11" s="1"/>
      <c r="G11" s="1"/>
    </row>
    <row r="12" spans="1:11" ht="68" x14ac:dyDescent="0.2">
      <c r="A12" s="1" t="s">
        <v>7</v>
      </c>
      <c r="B12" s="1">
        <v>10</v>
      </c>
      <c r="C12" s="18" t="s">
        <v>52</v>
      </c>
      <c r="D12" s="1"/>
      <c r="E12" s="4"/>
      <c r="F12" s="1"/>
      <c r="G12" s="1"/>
    </row>
    <row r="13" spans="1:11" ht="68" x14ac:dyDescent="0.2">
      <c r="A13" s="1" t="s">
        <v>33</v>
      </c>
      <c r="B13" s="7">
        <f t="shared" ref="B13" si="0">DISCOUNT_RATE*(1+DISCOUNT_RATE)^B12/((1+DISCOUNT_RATE)^B12-1)</f>
        <v>0.14237750272736471</v>
      </c>
      <c r="C13" s="1"/>
      <c r="D13" s="1"/>
      <c r="E13" s="4"/>
      <c r="F13" s="1"/>
      <c r="G13" s="1"/>
    </row>
    <row r="14" spans="1:11" ht="17" x14ac:dyDescent="0.2">
      <c r="A14" s="1" t="s">
        <v>8</v>
      </c>
      <c r="B14" s="1">
        <f>B10*B13+B11</f>
        <v>77.925922929076393</v>
      </c>
      <c r="C14" s="1"/>
      <c r="D14" s="1"/>
      <c r="E14" s="4"/>
      <c r="F14" s="1"/>
      <c r="G14" s="1"/>
    </row>
    <row r="15" spans="1:11" ht="17" x14ac:dyDescent="0.2">
      <c r="A15" s="1" t="s">
        <v>12</v>
      </c>
      <c r="B15" s="9">
        <f t="shared" ref="B15" si="1">B14/HOURS_PER_YEAR*1000</f>
        <v>8.8956533024059805</v>
      </c>
      <c r="C15" s="1"/>
      <c r="D15" s="1"/>
      <c r="E15" s="4"/>
      <c r="F15" s="1"/>
      <c r="G15" s="1"/>
    </row>
    <row r="16" spans="1:11" ht="34" x14ac:dyDescent="0.2">
      <c r="A16" s="1" t="s">
        <v>3</v>
      </c>
      <c r="B16" s="1"/>
      <c r="C16" s="1"/>
      <c r="D16" s="1"/>
      <c r="E16" s="4"/>
      <c r="F16" s="1"/>
      <c r="G16" s="1"/>
    </row>
    <row r="17" spans="1:11" ht="34" x14ac:dyDescent="0.2">
      <c r="A17" s="1" t="s">
        <v>21</v>
      </c>
      <c r="B17" s="1"/>
      <c r="C17" s="1"/>
      <c r="D17" s="1"/>
      <c r="E17" s="4"/>
      <c r="F17" s="1"/>
      <c r="G17" s="1"/>
    </row>
    <row r="18" spans="1:11" ht="17" x14ac:dyDescent="0.2">
      <c r="A18" s="1" t="s">
        <v>23</v>
      </c>
      <c r="B18" s="1"/>
      <c r="C18" s="1"/>
      <c r="D18" s="1"/>
      <c r="E18" s="4"/>
      <c r="F18" s="1"/>
      <c r="G18" s="1"/>
    </row>
    <row r="19" spans="1:11" x14ac:dyDescent="0.2">
      <c r="A19" s="1"/>
      <c r="B19" s="1"/>
      <c r="C19" s="1"/>
      <c r="D19" s="1"/>
      <c r="E19" s="1"/>
      <c r="F19" s="1"/>
      <c r="G19" s="1"/>
    </row>
    <row r="20" spans="1:11" x14ac:dyDescent="0.2">
      <c r="A20" s="1"/>
      <c r="B20" s="1"/>
      <c r="C20" s="1"/>
      <c r="D20" s="1"/>
      <c r="E20" s="1"/>
      <c r="F20" s="1"/>
      <c r="G20" s="1"/>
    </row>
    <row r="21" spans="1:1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">
      <c r="A25" s="6" t="s">
        <v>32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">
      <c r="A26" s="4" t="s">
        <v>28</v>
      </c>
      <c r="B26" s="4"/>
      <c r="C26" s="1">
        <v>1.31</v>
      </c>
      <c r="D26" s="1"/>
      <c r="E26" s="1"/>
      <c r="F26" s="1"/>
      <c r="G26" s="1"/>
      <c r="H26" s="1"/>
      <c r="I26" s="1"/>
      <c r="J26" s="1"/>
      <c r="K26" s="1"/>
    </row>
    <row r="27" spans="1:11" x14ac:dyDescent="0.2">
      <c r="A27" s="4" t="s">
        <v>29</v>
      </c>
      <c r="B27" s="4"/>
      <c r="C27" s="1">
        <v>1.17</v>
      </c>
      <c r="D27" s="1"/>
      <c r="E27" s="1"/>
      <c r="F27" s="1"/>
      <c r="G27" s="1"/>
      <c r="H27" s="1"/>
      <c r="I27" s="1"/>
      <c r="J27" s="1"/>
      <c r="K27" s="1"/>
    </row>
    <row r="28" spans="1:11" x14ac:dyDescent="0.2">
      <c r="A28" s="4" t="s">
        <v>34</v>
      </c>
      <c r="B28" s="4"/>
      <c r="C28" s="1">
        <v>1.1100000000000001</v>
      </c>
      <c r="D28" s="1"/>
      <c r="E28" s="1"/>
      <c r="F28" s="1"/>
      <c r="G28" s="1"/>
      <c r="H28" s="1"/>
      <c r="I28" s="1"/>
      <c r="J28" s="1"/>
      <c r="K28" s="1"/>
    </row>
    <row r="29" spans="1:11" x14ac:dyDescent="0.2">
      <c r="A29" s="4" t="s">
        <v>30</v>
      </c>
      <c r="B29" s="4"/>
      <c r="C29" s="1">
        <v>1.08</v>
      </c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s="4" t="s">
        <v>31</v>
      </c>
      <c r="B30" s="4"/>
      <c r="C30" s="1">
        <v>1.07</v>
      </c>
      <c r="D30" s="1"/>
      <c r="E30" s="1"/>
      <c r="F30" s="1"/>
      <c r="G30" s="1"/>
      <c r="H30" s="1"/>
      <c r="I30" s="1"/>
      <c r="J30" s="1"/>
      <c r="K30" s="1"/>
    </row>
  </sheetData>
  <hyperlinks>
    <hyperlink ref="A25" r:id="rId1" xr:uid="{11B857A7-8FB2-1C48-AE54-A2FC0C368F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Tyler's costs</vt:lpstr>
      <vt:lpstr>2020 EIA storage</vt:lpstr>
      <vt:lpstr>BTU_PER_KWH</vt:lpstr>
      <vt:lpstr>DISCOUNT_RATE</vt:lpstr>
      <vt:lpstr>HOURS_PER_YEAR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Ruggles</dc:creator>
  <cp:lastModifiedBy>Tyler Ruggles</cp:lastModifiedBy>
  <dcterms:created xsi:type="dcterms:W3CDTF">2020-05-05T04:59:04Z</dcterms:created>
  <dcterms:modified xsi:type="dcterms:W3CDTF">2020-10-27T20:47:21Z</dcterms:modified>
</cp:coreProperties>
</file>