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defaultThemeVersion="124226"/>
  <mc:AlternateContent xmlns:mc="http://schemas.openxmlformats.org/markup-compatibility/2006">
    <mc:Choice Requires="x15">
      <x15ac:absPath xmlns:x15ac="http://schemas.microsoft.com/office/spreadsheetml/2010/11/ac" url="D:\GitHub\"/>
    </mc:Choice>
  </mc:AlternateContent>
  <xr:revisionPtr revIDLastSave="0" documentId="13_ncr:1_{3708E9D0-DDDB-4CF5-948B-645169A4690F}" xr6:coauthVersionLast="43" xr6:coauthVersionMax="43" xr10:uidLastSave="{00000000-0000-0000-0000-000000000000}"/>
  <bookViews>
    <workbookView xWindow="15" yWindow="1470" windowWidth="28785" windowHeight="14730" xr2:uid="{00000000-000D-0000-FFFF-FFFF00000000}"/>
  </bookViews>
  <sheets>
    <sheet name="KINGAIR WEIGHT AND BALANCE" sheetId="1" r:id="rId1"/>
    <sheet name="GRAPH" sheetId="2" r:id="rId2"/>
  </sheets>
  <definedNames>
    <definedName name="_xlnm.Print_Area" localSheetId="0">'KINGAIR WEIGHT AND BALANCE'!$A$1:$J$64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5" i="1" l="1"/>
  <c r="N61" i="1" l="1"/>
  <c r="M61" i="1"/>
  <c r="J27" i="1" l="1"/>
  <c r="J28" i="1"/>
  <c r="J29" i="1"/>
  <c r="J30" i="1"/>
  <c r="J31" i="1"/>
  <c r="J32" i="1"/>
  <c r="J33" i="1"/>
  <c r="J26" i="1"/>
  <c r="K26" i="1"/>
  <c r="G18" i="1"/>
  <c r="G15" i="1"/>
  <c r="K27" i="1"/>
  <c r="K28" i="1"/>
  <c r="K29" i="1"/>
  <c r="K30" i="1"/>
  <c r="K31" i="1"/>
  <c r="K32" i="1"/>
  <c r="K33" i="1"/>
  <c r="G10" i="1"/>
  <c r="G11" i="1"/>
  <c r="G12" i="1"/>
  <c r="G13" i="1"/>
  <c r="G14" i="1"/>
  <c r="G16" i="1"/>
  <c r="G9" i="1"/>
  <c r="G8" i="1"/>
  <c r="G19" i="1" l="1"/>
  <c r="O59" i="1" l="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C37" i="1" l="1"/>
  <c r="G17" i="1" l="1"/>
  <c r="H16" i="1" l="1"/>
  <c r="J16" i="1" s="1"/>
  <c r="H15" i="1" l="1"/>
  <c r="J15" i="1" s="1"/>
  <c r="H17" i="1"/>
  <c r="J17" i="1" s="1"/>
  <c r="O9" i="1" l="1"/>
  <c r="Q9" i="1"/>
  <c r="H35" i="1" l="1"/>
  <c r="R9" i="1" s="1"/>
  <c r="O6" i="1" l="1"/>
  <c r="Q26" i="1"/>
  <c r="Q19" i="1"/>
  <c r="H5" i="1"/>
  <c r="H9" i="1"/>
  <c r="J9" i="1" s="1"/>
  <c r="H10" i="1"/>
  <c r="J10" i="1" s="1"/>
  <c r="H11" i="1"/>
  <c r="J11" i="1" s="1"/>
  <c r="H12" i="1"/>
  <c r="H18" i="1"/>
  <c r="J18" i="1" s="1"/>
  <c r="H14" i="1"/>
  <c r="J14" i="1" s="1"/>
  <c r="H19" i="1"/>
  <c r="J19" i="1" s="1"/>
  <c r="H8" i="1"/>
  <c r="H13" i="1"/>
  <c r="J13" i="1" s="1"/>
  <c r="C35" i="1"/>
  <c r="H49" i="1"/>
  <c r="J49" i="1" s="1"/>
  <c r="I5" i="1"/>
  <c r="H20" i="1"/>
  <c r="J20" i="1" s="1"/>
  <c r="H21" i="1"/>
  <c r="J21" i="1" s="1"/>
  <c r="H22" i="1"/>
  <c r="J22" i="1" s="1"/>
  <c r="H23" i="1"/>
  <c r="J23" i="1" s="1"/>
  <c r="H24" i="1"/>
  <c r="J24" i="1" s="1"/>
  <c r="H25" i="1"/>
  <c r="J25" i="1" s="1"/>
  <c r="A5" i="1"/>
  <c r="C49" i="1" s="1"/>
  <c r="B49" i="1"/>
  <c r="E49" i="1"/>
  <c r="J12" i="1" l="1"/>
  <c r="J8" i="1"/>
  <c r="J5" i="1"/>
  <c r="B50" i="1"/>
  <c r="H34" i="1"/>
  <c r="H36" i="1" s="1"/>
  <c r="R10" i="1"/>
  <c r="R11" i="1" s="1"/>
  <c r="O7" i="1"/>
  <c r="F49" i="1"/>
  <c r="H37" i="1"/>
  <c r="R19" i="1" s="1"/>
  <c r="R20" i="1" l="1"/>
  <c r="R21" i="1" s="1"/>
  <c r="C53" i="1"/>
  <c r="U19" i="1" s="1"/>
  <c r="J34" i="1"/>
  <c r="I34" i="1" s="1"/>
  <c r="F53" i="1" s="1"/>
  <c r="O8" i="1"/>
  <c r="H38" i="1"/>
  <c r="D34" i="1" s="1"/>
  <c r="H39" i="1"/>
  <c r="R26" i="1" s="1"/>
  <c r="T19" i="1" l="1"/>
  <c r="E53" i="1"/>
  <c r="D53" i="1"/>
  <c r="R27" i="1"/>
  <c r="R28" i="1" s="1"/>
  <c r="C55" i="1"/>
  <c r="D57" i="1"/>
  <c r="C39" i="1"/>
  <c r="H40" i="1"/>
  <c r="C57" i="1" s="1"/>
  <c r="G53" i="1" l="1"/>
  <c r="J53" i="1"/>
  <c r="E57" i="1"/>
  <c r="U20" i="1"/>
  <c r="E55" i="1"/>
  <c r="U21" i="1"/>
  <c r="D55" i="1"/>
  <c r="H53" i="1"/>
  <c r="O10" i="1"/>
  <c r="O11" i="1" l="1"/>
  <c r="O12" i="1" l="1"/>
  <c r="O13" i="1" l="1"/>
  <c r="O14" i="1" l="1"/>
  <c r="R22" i="1" l="1"/>
  <c r="R23" i="1" s="1"/>
  <c r="R12" i="1" l="1"/>
  <c r="R13" i="1" s="1"/>
  <c r="R29" i="1" l="1"/>
  <c r="R30" i="1" s="1"/>
  <c r="R24" i="1" l="1"/>
  <c r="J37" i="1" s="1"/>
  <c r="I37" i="1" s="1"/>
  <c r="R14" i="1"/>
  <c r="J35" i="1" l="1"/>
  <c r="J36" i="1" s="1"/>
  <c r="I36" i="1" s="1"/>
  <c r="J38" i="1"/>
  <c r="I38" i="1" s="1"/>
  <c r="F55" i="1" s="1"/>
  <c r="T21" i="1" s="1"/>
  <c r="R31" i="1"/>
  <c r="J39" i="1" s="1"/>
  <c r="I35" i="1" l="1"/>
  <c r="H55" i="1"/>
  <c r="J55" i="1"/>
  <c r="G55" i="1"/>
  <c r="I39" i="1"/>
  <c r="J40" i="1"/>
  <c r="I40" i="1" s="1"/>
  <c r="F57" i="1" s="1"/>
  <c r="T20" i="1" s="1"/>
  <c r="G57" i="1" l="1"/>
  <c r="J57" i="1"/>
  <c r="H57" i="1"/>
</calcChain>
</file>

<file path=xl/sharedStrings.xml><?xml version="1.0" encoding="utf-8"?>
<sst xmlns="http://schemas.openxmlformats.org/spreadsheetml/2006/main" count="157" uniqueCount="133">
  <si>
    <t>Aircraft Captain</t>
  </si>
  <si>
    <t>Date</t>
  </si>
  <si>
    <t>Route</t>
  </si>
  <si>
    <t>Aircraft Basic Weight</t>
  </si>
  <si>
    <t xml:space="preserve">NZ </t>
  </si>
  <si>
    <t>Male</t>
  </si>
  <si>
    <t>Female</t>
  </si>
  <si>
    <t>Child</t>
  </si>
  <si>
    <t>Infant</t>
  </si>
  <si>
    <t>Bags</t>
  </si>
  <si>
    <t>Weight</t>
  </si>
  <si>
    <t>Arm</t>
  </si>
  <si>
    <t>Moment</t>
  </si>
  <si>
    <t>Load</t>
  </si>
  <si>
    <t>Freight</t>
  </si>
  <si>
    <t>lb</t>
  </si>
  <si>
    <t>in</t>
  </si>
  <si>
    <t>in-lb/100</t>
  </si>
  <si>
    <t>Cockpit</t>
  </si>
  <si>
    <t>1A</t>
  </si>
  <si>
    <t>2A</t>
  </si>
  <si>
    <t>2B</t>
  </si>
  <si>
    <t>3A</t>
  </si>
  <si>
    <t>3B</t>
  </si>
  <si>
    <t>Aft Cargo</t>
  </si>
  <si>
    <t>Chart Cab</t>
  </si>
  <si>
    <t>Rations</t>
  </si>
  <si>
    <t>Aft Cab</t>
  </si>
  <si>
    <t>Additional</t>
  </si>
  <si>
    <t>Additional Payload Available</t>
  </si>
  <si>
    <t>Zero Fuel Weight</t>
  </si>
  <si>
    <t>Ramp Fuel</t>
  </si>
  <si>
    <t>Ramp Weight</t>
  </si>
  <si>
    <t>SUTTO</t>
  </si>
  <si>
    <t>Takeoff Fuel</t>
  </si>
  <si>
    <t>Takeoff Weight</t>
  </si>
  <si>
    <t>Route Fuel</t>
  </si>
  <si>
    <t>Landing Fuel</t>
  </si>
  <si>
    <t>Landing Weight</t>
  </si>
  <si>
    <t>WEIGHT AND BALANCE DATA CARD</t>
  </si>
  <si>
    <t>POB</t>
  </si>
  <si>
    <t>Weights</t>
  </si>
  <si>
    <t>Min</t>
  </si>
  <si>
    <t>C of G</t>
  </si>
  <si>
    <t>Percent</t>
  </si>
  <si>
    <t>Max</t>
  </si>
  <si>
    <t>Aircraft</t>
  </si>
  <si>
    <t>Flight No</t>
  </si>
  <si>
    <t>Crew</t>
  </si>
  <si>
    <t>Pax</t>
  </si>
  <si>
    <t>Total</t>
  </si>
  <si>
    <t>Rank Initials Name</t>
  </si>
  <si>
    <t xml:space="preserve">distributed as shown </t>
  </si>
  <si>
    <t xml:space="preserve">Certified correct </t>
  </si>
  <si>
    <t xml:space="preserve">and that the payload is </t>
  </si>
  <si>
    <t xml:space="preserve">Accepted </t>
  </si>
  <si>
    <t xml:space="preserve">by </t>
  </si>
  <si>
    <t xml:space="preserve">Aircraft </t>
  </si>
  <si>
    <t>Signature</t>
  </si>
  <si>
    <t>Aircraft Number</t>
  </si>
  <si>
    <t>Aircraft Weight (lb)</t>
  </si>
  <si>
    <t>Moment Arm (in)</t>
  </si>
  <si>
    <t>Additional Pax</t>
  </si>
  <si>
    <t xml:space="preserve">          Jerry Can</t>
  </si>
  <si>
    <t xml:space="preserve">          Overnight Kit</t>
  </si>
  <si>
    <t xml:space="preserve">and is safely secured </t>
  </si>
  <si>
    <t xml:space="preserve">Captain </t>
  </si>
  <si>
    <t>Remarks</t>
  </si>
  <si>
    <t>Std</t>
  </si>
  <si>
    <t>Wt</t>
  </si>
  <si>
    <t xml:space="preserve">          Ladder</t>
  </si>
  <si>
    <t xml:space="preserve">          QDIS</t>
  </si>
  <si>
    <t xml:space="preserve">          Mk15 LSV</t>
  </si>
  <si>
    <t>10 lb each</t>
  </si>
  <si>
    <t xml:space="preserve">  8 lb each</t>
  </si>
  <si>
    <t>11 lb</t>
  </si>
  <si>
    <t>22 lb total</t>
  </si>
  <si>
    <t>55 lb</t>
  </si>
  <si>
    <t>37 lb</t>
  </si>
  <si>
    <t>(Enter Wt in Additional Load)</t>
  </si>
  <si>
    <t>Standard weights are:</t>
  </si>
  <si>
    <t>20 lb</t>
  </si>
  <si>
    <t>24 lb</t>
  </si>
  <si>
    <t xml:space="preserve">          Full Slam Box (large)</t>
  </si>
  <si>
    <t>30 lb</t>
  </si>
  <si>
    <t xml:space="preserve">  3x LSVs</t>
  </si>
  <si>
    <t xml:space="preserve">          Full Slam Box (small)</t>
  </si>
  <si>
    <t xml:space="preserve">  Flight bags</t>
  </si>
  <si>
    <r>
      <t xml:space="preserve">     </t>
    </r>
    <r>
      <rPr>
        <b/>
        <sz val="10"/>
        <rFont val="Times New Roman"/>
        <family val="1"/>
      </rPr>
      <t>Weights</t>
    </r>
  </si>
  <si>
    <t>% MAC</t>
  </si>
  <si>
    <t>Inches</t>
  </si>
  <si>
    <t>Pounds</t>
  </si>
  <si>
    <t>Range</t>
  </si>
  <si>
    <t>1B</t>
  </si>
  <si>
    <t xml:space="preserve">          Avtur</t>
  </si>
  <si>
    <t xml:space="preserve">1.76 lb/litre or 6.7 lb/US Gal        </t>
  </si>
  <si>
    <t>FUEL LOOKUP</t>
  </si>
  <si>
    <t>Fuel</t>
  </si>
  <si>
    <t>Interpolate</t>
  </si>
  <si>
    <t>Low Fuel</t>
  </si>
  <si>
    <t>High Fuel</t>
  </si>
  <si>
    <t>Low Moment</t>
  </si>
  <si>
    <t>High Moment</t>
  </si>
  <si>
    <t>GRAPH</t>
  </si>
  <si>
    <t>Flight</t>
  </si>
  <si>
    <t>Next up</t>
  </si>
  <si>
    <t>ZFW</t>
  </si>
  <si>
    <t>LDG</t>
  </si>
  <si>
    <t>T/O</t>
  </si>
  <si>
    <t>Load (Not</t>
  </si>
  <si>
    <t>aft cargo)</t>
  </si>
  <si>
    <t>4A</t>
  </si>
  <si>
    <t>4B</t>
  </si>
  <si>
    <t>Toilet</t>
  </si>
  <si>
    <t>Version Draft</t>
  </si>
  <si>
    <t>Mid Cab</t>
  </si>
  <si>
    <t>Wing Locker</t>
  </si>
  <si>
    <t>Freight   15 lb</t>
  </si>
  <si>
    <t xml:space="preserve">  Pilot's Bags</t>
  </si>
  <si>
    <t>RNZAF 6300A</t>
  </si>
  <si>
    <t>KA350 WEIGHT AND BALANCE CLEARANCE</t>
  </si>
  <si>
    <t xml:space="preserve">      NO 42 SQUADRON RNZAF</t>
  </si>
  <si>
    <t>Envelop Limit</t>
  </si>
  <si>
    <t>RH Fwd Cab</t>
  </si>
  <si>
    <t>LH Fwd Cab</t>
  </si>
  <si>
    <t>57 lb</t>
  </si>
  <si>
    <r>
      <t xml:space="preserve">         </t>
    </r>
    <r>
      <rPr>
        <strike/>
        <sz val="10"/>
        <rFont val="Times New Roman"/>
        <family val="1"/>
      </rPr>
      <t xml:space="preserve"> Seat (light weight)</t>
    </r>
  </si>
  <si>
    <r>
      <t xml:space="preserve">          </t>
    </r>
    <r>
      <rPr>
        <strike/>
        <sz val="10"/>
        <rFont val="Times New Roman"/>
        <family val="1"/>
      </rPr>
      <t>Observer Seat</t>
    </r>
  </si>
  <si>
    <r>
      <t xml:space="preserve">          </t>
    </r>
    <r>
      <rPr>
        <strike/>
        <sz val="10"/>
        <rFont val="Times New Roman"/>
        <family val="1"/>
      </rPr>
      <t>Pax Lifevests</t>
    </r>
  </si>
  <si>
    <t xml:space="preserve">          Liferaft (Aerolite4)</t>
  </si>
  <si>
    <t xml:space="preserve">          Seat (NZ2351 &amp; NZ2353)</t>
  </si>
  <si>
    <t xml:space="preserve">Cabinets individually placarded with max wt </t>
  </si>
  <si>
    <t>cockpit can have any weight without check should be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</si>
</sst>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 mmm\ yy"/>
  </numFmts>
  <fonts count="15" x14ac:knownFonts="1">
    <font>
      <sz val="10"/>
      <name val="Times New Roman"/>
    </font>
    <font>
      <b/>
      <sz val="10"/>
      <name val="Times New Roman"/>
    </font>
    <font>
      <sz val="10"/>
      <name val="Times New Roman"/>
    </font>
    <font>
      <b/>
      <sz val="16"/>
      <name val="Times New Roman"/>
    </font>
    <font>
      <b/>
      <sz val="10"/>
      <name val="Times New Roman"/>
      <family val="1"/>
    </font>
    <font>
      <b/>
      <sz val="20"/>
      <name val="Times New Roman"/>
      <family val="1"/>
    </font>
    <font>
      <sz val="9"/>
      <name val="Times New Roman"/>
      <family val="1"/>
    </font>
    <font>
      <b/>
      <sz val="10"/>
      <color indexed="10"/>
      <name val="Times New Roman"/>
    </font>
    <font>
      <b/>
      <sz val="10"/>
      <color indexed="16"/>
      <name val="Times New Roman"/>
    </font>
    <font>
      <b/>
      <sz val="10"/>
      <color indexed="10"/>
      <name val="Times New Roman"/>
      <family val="1"/>
    </font>
    <font>
      <sz val="8"/>
      <name val="Times New Roman"/>
    </font>
    <font>
      <sz val="8"/>
      <color indexed="16"/>
      <name val="Times New Roman"/>
      <family val="1"/>
    </font>
    <font>
      <sz val="10"/>
      <name val="Times New Roman"/>
      <family val="1"/>
    </font>
    <font>
      <sz val="10"/>
      <color rgb="FFFF0000"/>
      <name val="Times New Roman"/>
      <family val="1"/>
    </font>
    <font>
      <strike/>
      <sz val="10"/>
      <name val="Times New Roman"/>
      <family val="1"/>
    </font>
  </fonts>
  <fills count="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rgb="FFE3E3E3"/>
        <bgColor indexed="64"/>
      </patternFill>
    </fill>
  </fills>
  <borders count="54">
    <border>
      <left/>
      <right/>
      <top/>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xf numFmtId="0" fontId="2" fillId="0" borderId="0"/>
  </cellStyleXfs>
  <cellXfs count="239">
    <xf numFmtId="0" fontId="0" fillId="0" borderId="0" xfId="0"/>
    <xf numFmtId="0" fontId="0" fillId="0" borderId="0" xfId="0" applyProtection="1"/>
    <xf numFmtId="0" fontId="3" fillId="0" borderId="1" xfId="0" applyFont="1" applyFill="1" applyBorder="1" applyAlignment="1" applyProtection="1">
      <alignment horizontal="center"/>
    </xf>
    <xf numFmtId="0" fontId="1" fillId="0" borderId="0" xfId="0" applyFont="1" applyFill="1" applyBorder="1" applyProtection="1"/>
    <xf numFmtId="0" fontId="0" fillId="0" borderId="0" xfId="0" applyFill="1" applyBorder="1" applyProtection="1"/>
    <xf numFmtId="0" fontId="0" fillId="0" borderId="0" xfId="0" applyFill="1" applyBorder="1"/>
    <xf numFmtId="1" fontId="0" fillId="0" borderId="6" xfId="0" applyNumberFormat="1" applyFill="1" applyBorder="1" applyAlignment="1" applyProtection="1">
      <alignment horizontal="right"/>
      <protection locked="0"/>
    </xf>
    <xf numFmtId="1" fontId="0" fillId="0" borderId="7" xfId="0" applyNumberFormat="1" applyFill="1" applyBorder="1" applyAlignment="1" applyProtection="1">
      <alignment horizontal="right"/>
      <protection locked="0"/>
    </xf>
    <xf numFmtId="165" fontId="1" fillId="2" borderId="8" xfId="0" applyNumberFormat="1" applyFont="1" applyFill="1" applyBorder="1" applyAlignment="1" applyProtection="1">
      <alignment horizontal="center"/>
      <protection locked="0"/>
    </xf>
    <xf numFmtId="0" fontId="1" fillId="3" borderId="9" xfId="0" applyFont="1" applyFill="1" applyBorder="1" applyProtection="1"/>
    <xf numFmtId="0" fontId="1" fillId="3" borderId="10" xfId="0" applyFont="1" applyFill="1" applyBorder="1" applyProtection="1"/>
    <xf numFmtId="0" fontId="1" fillId="3" borderId="11" xfId="0" applyFont="1" applyFill="1" applyBorder="1" applyAlignment="1" applyProtection="1">
      <alignment horizontal="center"/>
    </xf>
    <xf numFmtId="0" fontId="1" fillId="3" borderId="1" xfId="0" applyFont="1" applyFill="1" applyBorder="1" applyAlignment="1" applyProtection="1">
      <alignment horizontal="center"/>
    </xf>
    <xf numFmtId="0" fontId="0" fillId="3" borderId="12" xfId="0" applyFill="1" applyBorder="1" applyProtection="1"/>
    <xf numFmtId="0" fontId="0" fillId="3" borderId="12" xfId="0" applyFill="1" applyBorder="1" applyAlignment="1" applyProtection="1">
      <alignment horizontal="right"/>
    </xf>
    <xf numFmtId="0" fontId="0" fillId="3" borderId="13" xfId="0" applyFill="1" applyBorder="1" applyAlignment="1" applyProtection="1">
      <alignment horizontal="right"/>
    </xf>
    <xf numFmtId="0" fontId="0" fillId="3" borderId="14" xfId="0" applyFill="1" applyBorder="1" applyAlignment="1" applyProtection="1">
      <alignment horizontal="right"/>
    </xf>
    <xf numFmtId="0" fontId="0" fillId="3" borderId="15" xfId="0" applyFill="1" applyBorder="1" applyProtection="1"/>
    <xf numFmtId="0" fontId="0" fillId="3" borderId="16" xfId="0" applyFill="1" applyBorder="1" applyAlignment="1" applyProtection="1">
      <alignment horizontal="right"/>
    </xf>
    <xf numFmtId="1" fontId="0" fillId="3" borderId="18" xfId="0" applyNumberFormat="1" applyFill="1" applyBorder="1" applyAlignment="1" applyProtection="1">
      <alignment horizontal="right"/>
    </xf>
    <xf numFmtId="164" fontId="0" fillId="3" borderId="4" xfId="0" applyNumberFormat="1" applyFill="1" applyBorder="1" applyAlignment="1" applyProtection="1">
      <alignment horizontal="right"/>
    </xf>
    <xf numFmtId="0" fontId="0" fillId="3" borderId="19" xfId="0" applyFill="1" applyBorder="1" applyAlignment="1" applyProtection="1">
      <alignment horizontal="right"/>
    </xf>
    <xf numFmtId="1" fontId="0" fillId="3" borderId="13" xfId="0" applyNumberFormat="1" applyFill="1" applyBorder="1" applyAlignment="1" applyProtection="1">
      <alignment horizontal="right"/>
    </xf>
    <xf numFmtId="164" fontId="0" fillId="3" borderId="3" xfId="0" applyNumberFormat="1" applyFill="1" applyBorder="1" applyAlignment="1" applyProtection="1">
      <alignment horizontal="right"/>
    </xf>
    <xf numFmtId="0" fontId="0" fillId="3" borderId="20" xfId="0" applyFill="1" applyBorder="1" applyAlignment="1" applyProtection="1">
      <alignment horizontal="right"/>
    </xf>
    <xf numFmtId="0" fontId="0" fillId="3" borderId="17" xfId="0" applyFill="1" applyBorder="1" applyAlignment="1" applyProtection="1">
      <alignment horizontal="right"/>
    </xf>
    <xf numFmtId="0" fontId="0" fillId="3" borderId="21" xfId="0" applyFill="1" applyBorder="1" applyAlignment="1" applyProtection="1">
      <alignment horizontal="right"/>
    </xf>
    <xf numFmtId="1" fontId="0" fillId="3" borderId="22" xfId="0" applyNumberFormat="1" applyFill="1" applyBorder="1" applyAlignment="1" applyProtection="1">
      <alignment horizontal="right"/>
    </xf>
    <xf numFmtId="164" fontId="0" fillId="3" borderId="23" xfId="0" applyNumberFormat="1" applyFill="1" applyBorder="1" applyAlignment="1" applyProtection="1">
      <alignment horizontal="right"/>
    </xf>
    <xf numFmtId="0" fontId="0" fillId="3" borderId="17" xfId="0" applyFill="1" applyBorder="1" applyProtection="1"/>
    <xf numFmtId="0" fontId="0" fillId="3" borderId="24" xfId="0" applyFill="1" applyBorder="1" applyProtection="1"/>
    <xf numFmtId="1" fontId="1" fillId="3" borderId="25" xfId="0" applyNumberFormat="1" applyFont="1" applyFill="1" applyBorder="1" applyAlignment="1" applyProtection="1">
      <alignment horizontal="right"/>
    </xf>
    <xf numFmtId="164" fontId="0" fillId="3" borderId="25" xfId="0" applyNumberFormat="1" applyFill="1" applyBorder="1" applyAlignment="1" applyProtection="1">
      <alignment horizontal="right"/>
    </xf>
    <xf numFmtId="1" fontId="0" fillId="3" borderId="24" xfId="0" applyNumberFormat="1" applyFill="1" applyBorder="1" applyProtection="1"/>
    <xf numFmtId="0" fontId="0" fillId="3" borderId="27" xfId="0" applyFill="1" applyBorder="1" applyAlignment="1" applyProtection="1">
      <alignment horizontal="right"/>
    </xf>
    <xf numFmtId="1" fontId="2" fillId="3" borderId="28" xfId="0" applyNumberFormat="1" applyFont="1" applyFill="1" applyBorder="1" applyAlignment="1" applyProtection="1">
      <alignment horizontal="right"/>
    </xf>
    <xf numFmtId="0" fontId="0" fillId="3" borderId="29" xfId="0" applyFill="1" applyBorder="1" applyProtection="1"/>
    <xf numFmtId="0" fontId="1" fillId="3" borderId="10" xfId="0" applyFont="1" applyFill="1" applyBorder="1" applyAlignment="1" applyProtection="1">
      <alignment horizontal="center"/>
    </xf>
    <xf numFmtId="1" fontId="1" fillId="2" borderId="26" xfId="0" applyNumberFormat="1" applyFont="1" applyFill="1" applyBorder="1" applyAlignment="1" applyProtection="1">
      <alignment horizontal="center"/>
      <protection locked="0"/>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30" xfId="0" applyFont="1" applyFill="1" applyBorder="1" applyProtection="1"/>
    <xf numFmtId="0" fontId="1" fillId="0" borderId="31" xfId="0" applyFont="1" applyFill="1" applyBorder="1" applyProtection="1"/>
    <xf numFmtId="0" fontId="1" fillId="0" borderId="0" xfId="0" applyFont="1" applyFill="1" applyBorder="1" applyAlignment="1" applyProtection="1">
      <alignment horizontal="right"/>
    </xf>
    <xf numFmtId="1" fontId="3" fillId="0" borderId="0" xfId="0" applyNumberFormat="1" applyFont="1" applyFill="1" applyBorder="1" applyProtection="1"/>
    <xf numFmtId="0" fontId="4" fillId="0" borderId="0" xfId="0" applyFont="1" applyFill="1" applyBorder="1" applyProtection="1"/>
    <xf numFmtId="9" fontId="4" fillId="0" borderId="0" xfId="0" applyNumberFormat="1" applyFont="1" applyFill="1" applyBorder="1" applyAlignment="1" applyProtection="1">
      <alignment horizontal="center"/>
    </xf>
    <xf numFmtId="0" fontId="4" fillId="0" borderId="30" xfId="0" applyFont="1" applyFill="1" applyBorder="1" applyProtection="1"/>
    <xf numFmtId="1" fontId="4" fillId="0" borderId="0" xfId="0" applyNumberFormat="1" applyFont="1" applyFill="1" applyBorder="1" applyProtection="1"/>
    <xf numFmtId="164" fontId="4" fillId="0" borderId="0" xfId="0" applyNumberFormat="1" applyFont="1" applyFill="1" applyBorder="1" applyAlignment="1" applyProtection="1">
      <alignment horizontal="center"/>
    </xf>
    <xf numFmtId="0" fontId="4" fillId="0" borderId="31" xfId="0" applyFont="1" applyFill="1" applyBorder="1" applyProtection="1"/>
    <xf numFmtId="0" fontId="1" fillId="0" borderId="9" xfId="0" applyFont="1" applyFill="1" applyBorder="1" applyProtection="1"/>
    <xf numFmtId="0" fontId="1" fillId="0" borderId="1" xfId="0" applyFont="1" applyFill="1" applyBorder="1" applyProtection="1"/>
    <xf numFmtId="0" fontId="3" fillId="0" borderId="30" xfId="0" applyFont="1" applyFill="1" applyBorder="1" applyAlignment="1" applyProtection="1">
      <alignment horizontal="right"/>
    </xf>
    <xf numFmtId="0" fontId="0" fillId="0" borderId="1" xfId="0" applyFill="1" applyBorder="1" applyProtection="1"/>
    <xf numFmtId="0" fontId="1" fillId="0" borderId="10" xfId="0" applyFont="1" applyFill="1" applyBorder="1" applyProtection="1"/>
    <xf numFmtId="0" fontId="0" fillId="0" borderId="0" xfId="0" applyFill="1" applyBorder="1" applyAlignment="1" applyProtection="1">
      <alignment horizontal="right"/>
    </xf>
    <xf numFmtId="0" fontId="0" fillId="0" borderId="32" xfId="0" applyFill="1" applyBorder="1" applyProtection="1"/>
    <xf numFmtId="0" fontId="0" fillId="0" borderId="33" xfId="0" applyFill="1" applyBorder="1" applyProtection="1"/>
    <xf numFmtId="0" fontId="0" fillId="0" borderId="30" xfId="0" applyFill="1" applyBorder="1" applyProtection="1"/>
    <xf numFmtId="0" fontId="0" fillId="0" borderId="5" xfId="0" applyFill="1" applyBorder="1" applyProtection="1"/>
    <xf numFmtId="0" fontId="0" fillId="0" borderId="3" xfId="0" applyFill="1" applyBorder="1" applyProtection="1"/>
    <xf numFmtId="0" fontId="0" fillId="0" borderId="31" xfId="0" applyFill="1" applyBorder="1" applyProtection="1"/>
    <xf numFmtId="0" fontId="0" fillId="0" borderId="32" xfId="0" applyFill="1" applyBorder="1" applyAlignment="1" applyProtection="1">
      <alignment horizontal="right"/>
    </xf>
    <xf numFmtId="0" fontId="0" fillId="0" borderId="34" xfId="0" applyFill="1" applyBorder="1" applyAlignment="1" applyProtection="1">
      <alignment horizontal="left"/>
    </xf>
    <xf numFmtId="0" fontId="0" fillId="0" borderId="28" xfId="0" applyFill="1" applyBorder="1" applyProtection="1"/>
    <xf numFmtId="0" fontId="0" fillId="0" borderId="0" xfId="0" applyFill="1" applyBorder="1" applyAlignment="1" applyProtection="1">
      <alignment horizontal="left"/>
    </xf>
    <xf numFmtId="0" fontId="0" fillId="0" borderId="15" xfId="0" applyFill="1" applyBorder="1" applyProtection="1"/>
    <xf numFmtId="0" fontId="0" fillId="0" borderId="17" xfId="0" applyFill="1" applyBorder="1" applyAlignment="1" applyProtection="1">
      <alignment vertical="top"/>
    </xf>
    <xf numFmtId="0" fontId="0" fillId="0" borderId="24" xfId="0" applyFill="1" applyBorder="1" applyProtection="1"/>
    <xf numFmtId="0" fontId="5" fillId="3" borderId="17" xfId="0" applyFont="1" applyFill="1" applyBorder="1" applyAlignment="1" applyProtection="1">
      <alignment horizontal="center" vertical="center"/>
    </xf>
    <xf numFmtId="1" fontId="4" fillId="0" borderId="8" xfId="0" applyNumberFormat="1" applyFont="1" applyBorder="1" applyAlignment="1" applyProtection="1">
      <alignment horizontal="center"/>
      <protection locked="0"/>
    </xf>
    <xf numFmtId="1" fontId="1" fillId="0" borderId="0" xfId="0" applyNumberFormat="1" applyFont="1" applyFill="1" applyBorder="1" applyAlignment="1" applyProtection="1">
      <alignment horizontal="right"/>
    </xf>
    <xf numFmtId="164" fontId="0" fillId="0" borderId="0" xfId="0" applyNumberFormat="1" applyFill="1" applyBorder="1" applyAlignment="1" applyProtection="1">
      <alignment horizontal="right"/>
    </xf>
    <xf numFmtId="0" fontId="2" fillId="0" borderId="0" xfId="0" applyFont="1" applyFill="1" applyBorder="1" applyAlignment="1" applyProtection="1">
      <alignment horizontal="right"/>
    </xf>
    <xf numFmtId="0" fontId="1" fillId="3" borderId="17" xfId="0" applyFont="1" applyFill="1" applyBorder="1" applyAlignment="1" applyProtection="1">
      <alignment horizontal="right"/>
    </xf>
    <xf numFmtId="0" fontId="0" fillId="3" borderId="15" xfId="0" applyFill="1" applyBorder="1"/>
    <xf numFmtId="1" fontId="0" fillId="3" borderId="24" xfId="0" applyNumberFormat="1" applyFill="1" applyBorder="1" applyAlignment="1" applyProtection="1">
      <alignment horizontal="right"/>
    </xf>
    <xf numFmtId="1" fontId="1" fillId="3" borderId="4" xfId="0" applyNumberFormat="1" applyFont="1" applyFill="1" applyBorder="1" applyAlignment="1" applyProtection="1">
      <alignment horizontal="right"/>
    </xf>
    <xf numFmtId="1" fontId="0" fillId="0" borderId="1" xfId="0" applyNumberFormat="1" applyBorder="1" applyAlignment="1" applyProtection="1">
      <alignment horizontal="right"/>
      <protection locked="0"/>
    </xf>
    <xf numFmtId="1" fontId="0" fillId="0" borderId="0" xfId="0" applyNumberFormat="1" applyBorder="1" applyAlignment="1" applyProtection="1">
      <alignment horizontal="right"/>
      <protection locked="0"/>
    </xf>
    <xf numFmtId="1" fontId="0" fillId="0" borderId="17" xfId="0" applyNumberFormat="1" applyBorder="1" applyAlignment="1" applyProtection="1">
      <alignment horizontal="right"/>
      <protection locked="0"/>
    </xf>
    <xf numFmtId="0" fontId="0" fillId="3" borderId="4" xfId="0" applyFill="1" applyBorder="1" applyAlignment="1" applyProtection="1">
      <alignment horizontal="right"/>
    </xf>
    <xf numFmtId="0" fontId="0" fillId="3" borderId="37" xfId="0" applyFill="1" applyBorder="1" applyAlignment="1" applyProtection="1">
      <alignment horizontal="right"/>
    </xf>
    <xf numFmtId="0" fontId="0" fillId="3" borderId="25" xfId="0" applyFill="1" applyBorder="1" applyAlignment="1" applyProtection="1">
      <alignment horizontal="right"/>
    </xf>
    <xf numFmtId="0" fontId="0" fillId="3" borderId="0" xfId="0" applyFill="1" applyBorder="1" applyAlignment="1" applyProtection="1">
      <alignment horizontal="left"/>
    </xf>
    <xf numFmtId="0" fontId="0" fillId="3" borderId="9" xfId="0" applyFill="1" applyBorder="1" applyAlignment="1" applyProtection="1">
      <alignment horizontal="right"/>
    </xf>
    <xf numFmtId="0" fontId="0" fillId="3" borderId="10" xfId="0" applyFill="1" applyBorder="1" applyAlignment="1" applyProtection="1">
      <alignment horizontal="right"/>
    </xf>
    <xf numFmtId="0" fontId="0" fillId="3" borderId="24" xfId="0" applyFill="1" applyBorder="1" applyAlignment="1" applyProtection="1">
      <alignment horizontal="right"/>
    </xf>
    <xf numFmtId="0" fontId="6" fillId="3" borderId="1" xfId="0" applyFont="1" applyFill="1" applyBorder="1" applyAlignment="1" applyProtection="1">
      <alignment horizontal="left"/>
    </xf>
    <xf numFmtId="0" fontId="2" fillId="3" borderId="37" xfId="0" applyFont="1" applyFill="1" applyBorder="1" applyAlignment="1" applyProtection="1">
      <alignment horizontal="right"/>
    </xf>
    <xf numFmtId="0" fontId="8" fillId="0" borderId="0" xfId="0" applyFont="1" applyFill="1" applyBorder="1" applyAlignment="1" applyProtection="1">
      <alignment horizontal="center"/>
    </xf>
    <xf numFmtId="164" fontId="8" fillId="0" borderId="0" xfId="0" applyNumberFormat="1" applyFont="1" applyFill="1" applyBorder="1" applyAlignment="1" applyProtection="1">
      <alignment horizontal="center"/>
    </xf>
    <xf numFmtId="0" fontId="9" fillId="0" borderId="0" xfId="0" applyFont="1" applyFill="1" applyBorder="1" applyProtection="1"/>
    <xf numFmtId="1" fontId="0" fillId="3" borderId="3" xfId="0" applyNumberFormat="1" applyFill="1" applyBorder="1" applyAlignment="1" applyProtection="1">
      <alignment horizontal="right"/>
    </xf>
    <xf numFmtId="0" fontId="0" fillId="3" borderId="41" xfId="0" applyFill="1" applyBorder="1" applyAlignment="1" applyProtection="1"/>
    <xf numFmtId="0" fontId="0" fillId="3" borderId="15" xfId="0" applyFill="1" applyBorder="1" applyAlignment="1" applyProtection="1"/>
    <xf numFmtId="0" fontId="0" fillId="3" borderId="42" xfId="0" applyFill="1" applyBorder="1" applyAlignment="1" applyProtection="1"/>
    <xf numFmtId="0" fontId="0" fillId="3" borderId="16" xfId="0" applyFill="1" applyBorder="1" applyAlignment="1" applyProtection="1"/>
    <xf numFmtId="0" fontId="0" fillId="3" borderId="29" xfId="0" applyFill="1" applyBorder="1" applyAlignment="1" applyProtection="1"/>
    <xf numFmtId="0" fontId="0" fillId="3" borderId="43" xfId="0" applyFill="1" applyBorder="1" applyAlignment="1" applyProtection="1"/>
    <xf numFmtId="0" fontId="0" fillId="3" borderId="22" xfId="0" applyFill="1" applyBorder="1" applyAlignment="1" applyProtection="1">
      <alignment horizontal="right"/>
    </xf>
    <xf numFmtId="0" fontId="4" fillId="3" borderId="18" xfId="0" applyFont="1" applyFill="1" applyBorder="1" applyAlignment="1" applyProtection="1">
      <alignment horizontal="right"/>
    </xf>
    <xf numFmtId="0" fontId="0" fillId="3" borderId="17" xfId="0" applyFill="1" applyBorder="1" applyAlignment="1" applyProtection="1">
      <alignment horizontal="left"/>
    </xf>
    <xf numFmtId="164" fontId="1" fillId="0" borderId="0" xfId="0" applyNumberFormat="1" applyFont="1" applyFill="1" applyBorder="1" applyAlignment="1" applyProtection="1">
      <alignment horizontal="center"/>
    </xf>
    <xf numFmtId="164" fontId="0" fillId="0" borderId="0" xfId="0" applyNumberFormat="1"/>
    <xf numFmtId="0" fontId="10" fillId="0" borderId="0" xfId="0" applyFont="1" applyFill="1" applyBorder="1"/>
    <xf numFmtId="164" fontId="1" fillId="0" borderId="0" xfId="0" applyNumberFormat="1" applyFont="1" applyFill="1" applyBorder="1" applyAlignment="1" applyProtection="1"/>
    <xf numFmtId="0" fontId="10" fillId="0" borderId="0" xfId="0" applyFont="1" applyAlignment="1">
      <alignment horizontal="center" vertical="top"/>
    </xf>
    <xf numFmtId="0" fontId="10" fillId="0" borderId="0" xfId="0" applyFont="1" applyAlignment="1">
      <alignment horizontal="left" vertical="top"/>
    </xf>
    <xf numFmtId="0" fontId="10" fillId="0" borderId="0" xfId="0" applyFont="1" applyAlignment="1">
      <alignment horizontal="right" vertical="top"/>
    </xf>
    <xf numFmtId="0" fontId="11" fillId="0" borderId="0" xfId="0" applyFont="1" applyFill="1" applyBorder="1" applyAlignment="1" applyProtection="1">
      <alignment horizontal="center" vertical="top"/>
    </xf>
    <xf numFmtId="0" fontId="0" fillId="3" borderId="31" xfId="0" applyFill="1" applyBorder="1" applyAlignment="1" applyProtection="1">
      <alignment horizontal="left"/>
    </xf>
    <xf numFmtId="165" fontId="0" fillId="3" borderId="24" xfId="0" applyNumberFormat="1" applyFill="1" applyBorder="1" applyAlignment="1" applyProtection="1">
      <alignment horizontal="right" vertical="top" wrapText="1"/>
    </xf>
    <xf numFmtId="1" fontId="1" fillId="3" borderId="44" xfId="0" applyNumberFormat="1" applyFont="1" applyFill="1" applyBorder="1" applyAlignment="1" applyProtection="1">
      <alignment horizontal="right"/>
    </xf>
    <xf numFmtId="164" fontId="1" fillId="3" borderId="45" xfId="0" applyNumberFormat="1" applyFont="1" applyFill="1" applyBorder="1" applyAlignment="1" applyProtection="1">
      <alignment horizontal="right"/>
    </xf>
    <xf numFmtId="0" fontId="1" fillId="3" borderId="46" xfId="0" applyFont="1" applyFill="1" applyBorder="1" applyAlignment="1" applyProtection="1">
      <alignment horizontal="right"/>
    </xf>
    <xf numFmtId="0" fontId="7" fillId="0" borderId="0" xfId="0" applyFont="1" applyFill="1" applyBorder="1" applyProtection="1"/>
    <xf numFmtId="0" fontId="9" fillId="0" borderId="31" xfId="0" applyFont="1" applyFill="1" applyBorder="1" applyAlignment="1" applyProtection="1">
      <alignment horizontal="left"/>
    </xf>
    <xf numFmtId="0" fontId="1" fillId="0" borderId="31" xfId="0" applyFont="1" applyFill="1" applyBorder="1" applyAlignment="1" applyProtection="1">
      <alignment horizontal="left"/>
    </xf>
    <xf numFmtId="0" fontId="4" fillId="0" borderId="31" xfId="0" applyFont="1" applyFill="1" applyBorder="1" applyAlignment="1" applyProtection="1">
      <alignment horizontal="left"/>
    </xf>
    <xf numFmtId="0" fontId="7" fillId="0" borderId="31" xfId="0" applyFont="1" applyFill="1" applyBorder="1" applyAlignment="1" applyProtection="1">
      <alignment horizontal="left"/>
    </xf>
    <xf numFmtId="0" fontId="9" fillId="3" borderId="2" xfId="0" applyFont="1" applyFill="1" applyBorder="1" applyAlignment="1" applyProtection="1">
      <alignment horizontal="left"/>
    </xf>
    <xf numFmtId="0" fontId="9" fillId="3" borderId="42" xfId="0" applyFont="1" applyFill="1" applyBorder="1" applyAlignment="1" applyProtection="1">
      <alignment horizontal="left"/>
    </xf>
    <xf numFmtId="164" fontId="2" fillId="0" borderId="40" xfId="1" applyNumberFormat="1" applyFill="1" applyBorder="1" applyAlignment="1" applyProtection="1">
      <alignment horizontal="right"/>
    </xf>
    <xf numFmtId="164" fontId="2" fillId="0" borderId="3" xfId="1" applyNumberFormat="1" applyFill="1" applyBorder="1" applyAlignment="1" applyProtection="1">
      <alignment horizontal="right"/>
    </xf>
    <xf numFmtId="164" fontId="2" fillId="0" borderId="40" xfId="1" applyNumberFormat="1" applyFill="1" applyBorder="1" applyAlignment="1" applyProtection="1"/>
    <xf numFmtId="164" fontId="2" fillId="0" borderId="31" xfId="1" applyNumberFormat="1" applyFill="1" applyBorder="1" applyAlignment="1" applyProtection="1">
      <alignment horizontal="right"/>
    </xf>
    <xf numFmtId="2" fontId="2" fillId="0" borderId="39" xfId="1" applyNumberFormat="1" applyFill="1" applyBorder="1" applyAlignment="1" applyProtection="1">
      <alignment horizontal="right"/>
    </xf>
    <xf numFmtId="2" fontId="2" fillId="0" borderId="4" xfId="1" applyNumberFormat="1" applyFill="1" applyBorder="1" applyAlignment="1" applyProtection="1">
      <alignment horizontal="right"/>
    </xf>
    <xf numFmtId="2" fontId="2" fillId="0" borderId="39" xfId="1" applyNumberFormat="1" applyFill="1" applyBorder="1" applyAlignment="1" applyProtection="1"/>
    <xf numFmtId="2" fontId="2" fillId="0" borderId="24" xfId="1" applyNumberFormat="1" applyFill="1" applyBorder="1" applyAlignment="1" applyProtection="1">
      <alignment horizontal="right"/>
    </xf>
    <xf numFmtId="0" fontId="2" fillId="0" borderId="38" xfId="1" applyFill="1" applyBorder="1" applyAlignment="1" applyProtection="1">
      <alignment horizontal="right"/>
    </xf>
    <xf numFmtId="0" fontId="2" fillId="0" borderId="35" xfId="1" applyFill="1" applyBorder="1" applyAlignment="1" applyProtection="1">
      <alignment horizontal="right"/>
    </xf>
    <xf numFmtId="0" fontId="2" fillId="0" borderId="10" xfId="1" applyFill="1" applyBorder="1" applyAlignment="1" applyProtection="1">
      <alignment horizontal="right"/>
    </xf>
    <xf numFmtId="0" fontId="0" fillId="0" borderId="0" xfId="0" applyAlignment="1">
      <alignment horizontal="right"/>
    </xf>
    <xf numFmtId="0" fontId="0" fillId="0" borderId="0" xfId="0" applyNumberFormat="1"/>
    <xf numFmtId="0" fontId="12" fillId="0" borderId="0" xfId="0" applyFont="1"/>
    <xf numFmtId="1" fontId="0" fillId="0" borderId="0" xfId="0" applyNumberFormat="1"/>
    <xf numFmtId="1" fontId="2" fillId="3" borderId="26" xfId="0" applyNumberFormat="1" applyFont="1" applyFill="1" applyBorder="1" applyAlignment="1" applyProtection="1">
      <alignment horizontal="right"/>
    </xf>
    <xf numFmtId="1" fontId="2" fillId="3" borderId="21" xfId="0" applyNumberFormat="1" applyFont="1" applyFill="1" applyBorder="1" applyAlignment="1" applyProtection="1">
      <alignment horizontal="right"/>
    </xf>
    <xf numFmtId="0" fontId="12" fillId="0" borderId="0" xfId="0" applyFont="1" applyAlignment="1">
      <alignment horizontal="right"/>
    </xf>
    <xf numFmtId="0" fontId="12" fillId="3" borderId="31" xfId="0" applyFont="1" applyFill="1" applyBorder="1" applyAlignment="1" applyProtection="1">
      <alignment horizontal="right"/>
    </xf>
    <xf numFmtId="0" fontId="12" fillId="0" borderId="0" xfId="0" applyNumberFormat="1" applyFont="1" applyFill="1" applyBorder="1"/>
    <xf numFmtId="0" fontId="0" fillId="0" borderId="38" xfId="1" applyFont="1" applyFill="1" applyBorder="1" applyAlignment="1" applyProtection="1">
      <alignment horizontal="right"/>
    </xf>
    <xf numFmtId="0" fontId="0" fillId="3" borderId="1" xfId="0" applyFill="1" applyBorder="1" applyAlignment="1" applyProtection="1">
      <alignment horizontal="center"/>
    </xf>
    <xf numFmtId="0" fontId="0" fillId="3" borderId="35" xfId="0" applyFill="1" applyBorder="1" applyAlignment="1" applyProtection="1">
      <alignment horizontal="center"/>
    </xf>
    <xf numFmtId="0" fontId="0" fillId="3" borderId="40" xfId="0" applyFill="1" applyBorder="1" applyAlignment="1" applyProtection="1">
      <alignment horizontal="center"/>
    </xf>
    <xf numFmtId="0" fontId="0" fillId="3" borderId="0" xfId="0" applyFill="1" applyBorder="1" applyAlignment="1" applyProtection="1">
      <alignment horizontal="center"/>
    </xf>
    <xf numFmtId="0" fontId="0" fillId="3" borderId="39" xfId="0" applyFill="1" applyBorder="1" applyAlignment="1" applyProtection="1">
      <alignment horizontal="center"/>
    </xf>
    <xf numFmtId="0" fontId="0" fillId="3" borderId="17" xfId="0" applyFill="1" applyBorder="1" applyAlignment="1" applyProtection="1">
      <alignment horizontal="center"/>
    </xf>
    <xf numFmtId="0" fontId="0" fillId="0" borderId="1" xfId="0" applyBorder="1" applyAlignment="1" applyProtection="1">
      <alignment horizontal="center"/>
      <protection locked="0"/>
    </xf>
    <xf numFmtId="0" fontId="0" fillId="3" borderId="6" xfId="0" applyFill="1" applyBorder="1" applyAlignment="1" applyProtection="1">
      <alignment horizontal="center"/>
    </xf>
    <xf numFmtId="0" fontId="0" fillId="0" borderId="38" xfId="0" applyBorder="1" applyAlignment="1" applyProtection="1">
      <alignment horizontal="center"/>
      <protection locked="0"/>
    </xf>
    <xf numFmtId="1" fontId="0" fillId="3" borderId="3" xfId="0" applyNumberFormat="1" applyFill="1" applyBorder="1" applyAlignment="1" applyProtection="1">
      <alignment horizontal="center"/>
    </xf>
    <xf numFmtId="0" fontId="0" fillId="0" borderId="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0" xfId="0" applyBorder="1" applyAlignment="1" applyProtection="1">
      <alignment horizontal="center"/>
      <protection locked="0"/>
    </xf>
    <xf numFmtId="1" fontId="9" fillId="3" borderId="3" xfId="0" quotePrefix="1" applyNumberFormat="1" applyFont="1" applyFill="1" applyBorder="1" applyAlignment="1" applyProtection="1">
      <alignment horizontal="center"/>
    </xf>
    <xf numFmtId="0" fontId="0" fillId="0" borderId="3" xfId="0" applyBorder="1" applyAlignment="1" applyProtection="1">
      <alignment horizontal="center"/>
      <protection locked="0"/>
    </xf>
    <xf numFmtId="0" fontId="0" fillId="3" borderId="28" xfId="0" applyFill="1" applyBorder="1" applyAlignment="1" applyProtection="1">
      <alignment horizontal="center"/>
    </xf>
    <xf numFmtId="0" fontId="0" fillId="0" borderId="39" xfId="0" applyBorder="1" applyAlignment="1" applyProtection="1">
      <alignment horizontal="center"/>
      <protection locked="0"/>
    </xf>
    <xf numFmtId="1" fontId="0" fillId="3" borderId="4" xfId="0" applyNumberFormat="1" applyFill="1" applyBorder="1" applyAlignment="1" applyProtection="1">
      <alignment horizontal="center"/>
    </xf>
    <xf numFmtId="0" fontId="0" fillId="0" borderId="0" xfId="0" applyFill="1" applyBorder="1" applyAlignment="1" applyProtection="1">
      <alignment horizontal="center"/>
      <protection locked="0"/>
    </xf>
    <xf numFmtId="0" fontId="0" fillId="3" borderId="30" xfId="0" applyFill="1" applyBorder="1" applyAlignment="1" applyProtection="1">
      <alignment horizontal="right"/>
    </xf>
    <xf numFmtId="0" fontId="0" fillId="3" borderId="31" xfId="0" applyFill="1" applyBorder="1" applyAlignment="1" applyProtection="1">
      <alignment horizontal="right"/>
    </xf>
    <xf numFmtId="0" fontId="0" fillId="3" borderId="34" xfId="0" applyFill="1" applyBorder="1" applyAlignment="1" applyProtection="1">
      <alignment horizontal="center"/>
    </xf>
    <xf numFmtId="0" fontId="0" fillId="2" borderId="38" xfId="0" applyFill="1" applyBorder="1" applyAlignment="1" applyProtection="1">
      <alignment horizontal="center"/>
      <protection locked="0"/>
    </xf>
    <xf numFmtId="1" fontId="0" fillId="3" borderId="20" xfId="0" applyNumberFormat="1" applyFill="1" applyBorder="1" applyAlignment="1" applyProtection="1">
      <alignment horizontal="center"/>
    </xf>
    <xf numFmtId="0" fontId="0" fillId="0" borderId="50" xfId="0" applyBorder="1" applyAlignment="1" applyProtection="1">
      <alignment horizontal="center"/>
      <protection locked="0"/>
    </xf>
    <xf numFmtId="1" fontId="13" fillId="3" borderId="51" xfId="0" applyNumberFormat="1" applyFont="1" applyFill="1" applyBorder="1" applyAlignment="1" applyProtection="1">
      <alignment horizontal="center"/>
    </xf>
    <xf numFmtId="1" fontId="0" fillId="3" borderId="52" xfId="0" applyNumberFormat="1" applyFill="1" applyBorder="1" applyAlignment="1" applyProtection="1">
      <alignment horizontal="right"/>
    </xf>
    <xf numFmtId="164" fontId="0" fillId="3" borderId="33" xfId="0" applyNumberFormat="1" applyFill="1" applyBorder="1" applyAlignment="1" applyProtection="1">
      <alignment horizontal="right"/>
    </xf>
    <xf numFmtId="0" fontId="12" fillId="3" borderId="0" xfId="0" applyFont="1" applyFill="1" applyBorder="1" applyAlignment="1" applyProtection="1">
      <alignment horizontal="right"/>
    </xf>
    <xf numFmtId="0" fontId="12" fillId="3" borderId="30" xfId="0" applyFont="1" applyFill="1" applyBorder="1" applyAlignment="1" applyProtection="1">
      <alignment horizontal="left"/>
    </xf>
    <xf numFmtId="0" fontId="14" fillId="3" borderId="31" xfId="0" applyFont="1" applyFill="1" applyBorder="1" applyAlignment="1" applyProtection="1">
      <alignment horizontal="left"/>
    </xf>
    <xf numFmtId="0" fontId="12" fillId="3" borderId="31" xfId="0" applyFont="1" applyFill="1" applyBorder="1" applyAlignment="1" applyProtection="1">
      <alignment horizontal="left"/>
    </xf>
    <xf numFmtId="0" fontId="0" fillId="3" borderId="9"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4" borderId="48" xfId="0" applyFill="1" applyBorder="1" applyAlignment="1" applyProtection="1">
      <alignment horizontal="center"/>
    </xf>
    <xf numFmtId="0" fontId="0" fillId="4" borderId="49" xfId="0" applyFill="1" applyBorder="1" applyAlignment="1" applyProtection="1">
      <alignment horizontal="center"/>
    </xf>
    <xf numFmtId="0" fontId="0" fillId="4" borderId="47" xfId="0" applyFill="1" applyBorder="1" applyAlignment="1" applyProtection="1">
      <alignment horizontal="center"/>
    </xf>
    <xf numFmtId="0" fontId="0" fillId="4" borderId="33" xfId="0" applyFill="1" applyBorder="1" applyAlignment="1" applyProtection="1">
      <alignment horizontal="center"/>
    </xf>
    <xf numFmtId="1" fontId="0" fillId="3" borderId="20" xfId="0" applyNumberFormat="1" applyFill="1" applyBorder="1" applyAlignment="1" applyProtection="1">
      <alignment horizontal="right"/>
    </xf>
    <xf numFmtId="1" fontId="0" fillId="3" borderId="51" xfId="0" applyNumberFormat="1" applyFill="1" applyBorder="1" applyAlignment="1" applyProtection="1">
      <alignment horizontal="right"/>
    </xf>
    <xf numFmtId="1" fontId="0" fillId="3" borderId="19" xfId="0" applyNumberFormat="1" applyFill="1" applyBorder="1" applyAlignment="1" applyProtection="1">
      <alignment horizontal="right"/>
    </xf>
    <xf numFmtId="0" fontId="0" fillId="3" borderId="4" xfId="0" applyFill="1" applyBorder="1" applyAlignment="1" applyProtection="1">
      <alignment horizontal="center"/>
    </xf>
    <xf numFmtId="164" fontId="0" fillId="0" borderId="1" xfId="0" applyNumberFormat="1" applyBorder="1" applyAlignment="1" applyProtection="1">
      <alignment horizontal="right"/>
      <protection locked="0"/>
    </xf>
    <xf numFmtId="164" fontId="0" fillId="0" borderId="0" xfId="0" applyNumberFormat="1" applyBorder="1" applyAlignment="1" applyProtection="1">
      <alignment horizontal="right"/>
      <protection locked="0"/>
    </xf>
    <xf numFmtId="164" fontId="0" fillId="0" borderId="17" xfId="0" applyNumberFormat="1" applyBorder="1" applyAlignment="1" applyProtection="1">
      <alignment horizontal="right"/>
      <protection locked="0"/>
    </xf>
    <xf numFmtId="0" fontId="13" fillId="4" borderId="33" xfId="0" applyFont="1" applyFill="1" applyBorder="1"/>
    <xf numFmtId="0" fontId="13" fillId="4" borderId="3" xfId="0" applyFont="1" applyFill="1" applyBorder="1"/>
    <xf numFmtId="0" fontId="13" fillId="4" borderId="28" xfId="0" applyFont="1" applyFill="1" applyBorder="1"/>
    <xf numFmtId="1" fontId="2" fillId="3" borderId="27" xfId="0" applyNumberFormat="1" applyFont="1" applyFill="1" applyBorder="1" applyProtection="1"/>
    <xf numFmtId="1" fontId="2" fillId="3" borderId="53" xfId="0" applyNumberFormat="1" applyFont="1" applyFill="1" applyBorder="1" applyAlignment="1" applyProtection="1">
      <alignment horizontal="right"/>
    </xf>
    <xf numFmtId="1" fontId="12" fillId="3" borderId="50" xfId="0" applyNumberFormat="1" applyFont="1" applyFill="1" applyBorder="1" applyAlignment="1" applyProtection="1">
      <alignment horizontal="right"/>
    </xf>
    <xf numFmtId="1" fontId="12" fillId="3" borderId="40" xfId="0" applyNumberFormat="1" applyFont="1" applyFill="1" applyBorder="1" applyAlignment="1" applyProtection="1">
      <alignment horizontal="right"/>
    </xf>
    <xf numFmtId="1" fontId="12" fillId="3" borderId="7" xfId="0" applyNumberFormat="1" applyFont="1" applyFill="1" applyBorder="1" applyAlignment="1" applyProtection="1">
      <alignment horizontal="right"/>
    </xf>
    <xf numFmtId="0" fontId="0" fillId="3" borderId="9" xfId="0" applyFill="1" applyBorder="1" applyAlignment="1" applyProtection="1">
      <alignment horizontal="left"/>
    </xf>
    <xf numFmtId="0" fontId="0" fillId="3" borderId="35" xfId="0" applyFill="1" applyBorder="1" applyAlignment="1" applyProtection="1">
      <alignment horizontal="left"/>
    </xf>
    <xf numFmtId="0" fontId="0" fillId="3" borderId="30" xfId="0" applyFill="1" applyBorder="1" applyAlignment="1" applyProtection="1">
      <alignment horizontal="left"/>
    </xf>
    <xf numFmtId="0" fontId="0" fillId="3" borderId="3" xfId="0" applyFill="1" applyBorder="1" applyAlignment="1" applyProtection="1">
      <alignment horizontal="left"/>
    </xf>
    <xf numFmtId="0" fontId="0" fillId="3" borderId="15" xfId="0" applyFill="1" applyBorder="1" applyAlignment="1" applyProtection="1">
      <alignment horizontal="left"/>
    </xf>
    <xf numFmtId="0" fontId="0" fillId="3" borderId="4" xfId="0" applyFill="1" applyBorder="1" applyAlignment="1" applyProtection="1">
      <alignment horizontal="left"/>
    </xf>
    <xf numFmtId="0" fontId="1" fillId="3" borderId="14" xfId="0" applyFont="1" applyFill="1" applyBorder="1" applyAlignment="1" applyProtection="1">
      <alignment horizontal="center"/>
    </xf>
    <xf numFmtId="0" fontId="1" fillId="3" borderId="21" xfId="0" applyFont="1" applyFill="1" applyBorder="1" applyAlignment="1" applyProtection="1">
      <alignment horizontal="center"/>
    </xf>
    <xf numFmtId="0" fontId="0" fillId="3" borderId="1" xfId="0" applyFill="1" applyBorder="1" applyAlignment="1" applyProtection="1">
      <alignment horizontal="right" vertical="center" wrapText="1"/>
    </xf>
    <xf numFmtId="0" fontId="0" fillId="3" borderId="10" xfId="0" applyFill="1" applyBorder="1" applyAlignment="1" applyProtection="1">
      <alignment horizontal="right" vertical="center" wrapText="1"/>
    </xf>
    <xf numFmtId="0" fontId="5" fillId="3" borderId="9" xfId="0" applyFont="1" applyFill="1" applyBorder="1" applyAlignment="1" applyProtection="1">
      <alignment horizontal="center"/>
    </xf>
    <xf numFmtId="0" fontId="5" fillId="3" borderId="1" xfId="0" applyFont="1" applyFill="1" applyBorder="1" applyAlignment="1" applyProtection="1">
      <alignment horizontal="center"/>
    </xf>
    <xf numFmtId="0" fontId="5" fillId="3" borderId="30" xfId="0" applyFont="1" applyFill="1" applyBorder="1" applyAlignment="1" applyProtection="1">
      <alignment horizontal="center"/>
    </xf>
    <xf numFmtId="0" fontId="5" fillId="3" borderId="0" xfId="0" applyFont="1" applyFill="1" applyBorder="1" applyAlignment="1" applyProtection="1">
      <alignment horizontal="center"/>
    </xf>
    <xf numFmtId="1" fontId="12" fillId="3" borderId="36" xfId="0" applyNumberFormat="1" applyFont="1" applyFill="1" applyBorder="1" applyAlignment="1" applyProtection="1">
      <alignment horizontal="center" wrapText="1"/>
    </xf>
    <xf numFmtId="1" fontId="12" fillId="3" borderId="20" xfId="0" applyNumberFormat="1" applyFont="1" applyFill="1" applyBorder="1" applyAlignment="1" applyProtection="1">
      <alignment horizontal="center" wrapText="1"/>
    </xf>
    <xf numFmtId="0" fontId="0" fillId="0" borderId="17" xfId="0" applyFill="1" applyBorder="1" applyAlignment="1" applyProtection="1">
      <alignment vertical="top"/>
      <protection locked="0"/>
    </xf>
    <xf numFmtId="1" fontId="1" fillId="0" borderId="43" xfId="0" applyNumberFormat="1" applyFont="1" applyFill="1" applyBorder="1" applyAlignment="1" applyProtection="1">
      <alignment horizontal="left"/>
      <protection locked="0"/>
    </xf>
    <xf numFmtId="1" fontId="1" fillId="0" borderId="26" xfId="0" applyNumberFormat="1" applyFont="1" applyFill="1" applyBorder="1" applyAlignment="1" applyProtection="1">
      <alignment horizontal="left"/>
      <protection locked="0"/>
    </xf>
    <xf numFmtId="0" fontId="0" fillId="3" borderId="1" xfId="0" applyFill="1" applyBorder="1" applyAlignment="1" applyProtection="1">
      <alignment horizontal="right"/>
    </xf>
    <xf numFmtId="0" fontId="0" fillId="3" borderId="35" xfId="0" applyFill="1" applyBorder="1" applyAlignment="1" applyProtection="1">
      <alignment horizontal="right"/>
    </xf>
    <xf numFmtId="0" fontId="0" fillId="3" borderId="0" xfId="0" applyFill="1" applyBorder="1" applyAlignment="1" applyProtection="1">
      <alignment horizontal="right"/>
    </xf>
    <xf numFmtId="0" fontId="0" fillId="3" borderId="3" xfId="0" applyFill="1" applyBorder="1" applyAlignment="1" applyProtection="1">
      <alignment horizontal="right"/>
    </xf>
    <xf numFmtId="0" fontId="0" fillId="0" borderId="5" xfId="0" applyFill="1" applyBorder="1" applyAlignment="1" applyProtection="1">
      <alignment horizontal="right"/>
    </xf>
    <xf numFmtId="0" fontId="0" fillId="0" borderId="3" xfId="0" applyFill="1" applyBorder="1" applyAlignment="1" applyProtection="1">
      <alignment horizontal="right"/>
    </xf>
    <xf numFmtId="1" fontId="1" fillId="0" borderId="43" xfId="0" applyNumberFormat="1" applyFont="1" applyFill="1" applyBorder="1" applyAlignment="1" applyProtection="1">
      <alignment horizontal="center"/>
      <protection locked="0"/>
    </xf>
    <xf numFmtId="1" fontId="1" fillId="0" borderId="26" xfId="0" applyNumberFormat="1" applyFont="1" applyFill="1" applyBorder="1" applyAlignment="1" applyProtection="1">
      <alignment horizontal="center"/>
      <protection locked="0"/>
    </xf>
    <xf numFmtId="0" fontId="1" fillId="0" borderId="0" xfId="0" applyFont="1" applyFill="1" applyBorder="1" applyAlignment="1" applyProtection="1">
      <alignment horizontal="center"/>
    </xf>
    <xf numFmtId="0" fontId="4" fillId="0" borderId="0" xfId="0" applyFont="1" applyFill="1" applyBorder="1" applyAlignment="1">
      <alignment horizontal="center"/>
    </xf>
    <xf numFmtId="0" fontId="0" fillId="0" borderId="0" xfId="0" applyAlignment="1"/>
    <xf numFmtId="165" fontId="1" fillId="0" borderId="0" xfId="0" applyNumberFormat="1" applyFont="1" applyFill="1" applyBorder="1" applyAlignment="1">
      <alignment horizontal="center"/>
    </xf>
    <xf numFmtId="0" fontId="0" fillId="0" borderId="0" xfId="0" applyAlignment="1">
      <alignment horizontal="center"/>
    </xf>
  </cellXfs>
  <cellStyles count="2">
    <cellStyle name="Normal" xfId="0" builtinId="0"/>
    <cellStyle name="Normal_Sheet1" xfId="1" xr:uid="{00000000-0005-0000-0000-000001000000}"/>
  </cellStyles>
  <dxfs count="8">
    <dxf>
      <font>
        <b/>
        <i val="0"/>
        <condense val="0"/>
        <extend val="0"/>
        <color indexed="10"/>
      </font>
    </dxf>
    <dxf>
      <font>
        <b/>
        <i val="0"/>
        <condense val="0"/>
        <extend val="0"/>
        <color indexed="10"/>
      </font>
    </dxf>
    <dxf>
      <fill>
        <patternFill>
          <bgColor indexed="47"/>
        </patternFill>
      </fill>
      <border>
        <left/>
        <right style="thin">
          <color indexed="64"/>
        </right>
        <top/>
        <bottom style="thin">
          <color indexed="64"/>
        </bottom>
      </border>
    </dxf>
    <dxf>
      <fill>
        <patternFill>
          <bgColor indexed="47"/>
        </patternFill>
      </fill>
      <border>
        <left/>
        <right/>
        <top/>
        <bottom style="thin">
          <color indexed="64"/>
        </bottom>
      </border>
    </dxf>
    <dxf>
      <fill>
        <patternFill>
          <bgColor indexed="47"/>
        </patternFill>
      </fill>
      <border>
        <left style="thin">
          <color indexed="64"/>
        </left>
        <right/>
        <top/>
        <bottom style="thin">
          <color indexed="64"/>
        </bottom>
      </border>
    </dxf>
    <dxf>
      <fill>
        <patternFill>
          <bgColor indexed="47"/>
        </patternFill>
      </fill>
      <border>
        <left/>
        <right style="thin">
          <color indexed="64"/>
        </right>
        <top style="thin">
          <color indexed="64"/>
        </top>
        <bottom/>
      </border>
    </dxf>
    <dxf>
      <fill>
        <patternFill>
          <bgColor indexed="47"/>
        </patternFill>
      </fill>
      <border>
        <left/>
        <right/>
        <top style="thin">
          <color indexed="64"/>
        </top>
        <bottom/>
      </border>
    </dxf>
    <dxf>
      <fill>
        <patternFill>
          <bgColor indexed="47"/>
        </patternFill>
      </fill>
      <border>
        <left style="thin">
          <color indexed="64"/>
        </left>
        <right/>
        <top style="thin">
          <color indexed="64"/>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3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46981627296588"/>
          <c:y val="1.9919127756089311E-2"/>
          <c:w val="0.85106752225366844"/>
          <c:h val="0.89582963894219103"/>
        </c:manualLayout>
      </c:layout>
      <c:scatterChart>
        <c:scatterStyle val="lineMarker"/>
        <c:varyColors val="0"/>
        <c:ser>
          <c:idx val="0"/>
          <c:order val="0"/>
          <c:tx>
            <c:v>Limits</c:v>
          </c:tx>
          <c:spPr>
            <a:ln w="19050" cap="rnd">
              <a:solidFill>
                <a:srgbClr val="FF0000"/>
              </a:solidFill>
              <a:round/>
            </a:ln>
            <a:effectLst/>
          </c:spPr>
          <c:marker>
            <c:symbol val="none"/>
          </c:marker>
          <c:xVal>
            <c:numRef>
              <c:f>'KINGAIR WEIGHT AND BALANCE'!$T$6:$T$12</c:f>
              <c:numCache>
                <c:formatCode>General</c:formatCode>
                <c:ptCount val="7"/>
                <c:pt idx="0">
                  <c:v>191.4</c:v>
                </c:pt>
                <c:pt idx="1">
                  <c:v>191.4</c:v>
                </c:pt>
                <c:pt idx="2">
                  <c:v>193.5</c:v>
                </c:pt>
                <c:pt idx="3">
                  <c:v>196</c:v>
                </c:pt>
                <c:pt idx="4">
                  <c:v>199.4</c:v>
                </c:pt>
                <c:pt idx="5">
                  <c:v>208</c:v>
                </c:pt>
                <c:pt idx="6">
                  <c:v>208</c:v>
                </c:pt>
              </c:numCache>
            </c:numRef>
          </c:xVal>
          <c:yVal>
            <c:numRef>
              <c:f>'KINGAIR WEIGHT AND BALANCE'!$U$6:$U$12</c:f>
              <c:numCache>
                <c:formatCode>General</c:formatCode>
                <c:ptCount val="7"/>
                <c:pt idx="0">
                  <c:v>9000</c:v>
                </c:pt>
                <c:pt idx="1">
                  <c:v>11800</c:v>
                </c:pt>
                <c:pt idx="2">
                  <c:v>12650</c:v>
                </c:pt>
                <c:pt idx="3">
                  <c:v>13670</c:v>
                </c:pt>
                <c:pt idx="4">
                  <c:v>15000</c:v>
                </c:pt>
                <c:pt idx="5">
                  <c:v>15000</c:v>
                </c:pt>
                <c:pt idx="6">
                  <c:v>9000</c:v>
                </c:pt>
              </c:numCache>
            </c:numRef>
          </c:yVal>
          <c:smooth val="0"/>
          <c:extLst>
            <c:ext xmlns:c16="http://schemas.microsoft.com/office/drawing/2014/chart" uri="{C3380CC4-5D6E-409C-BE32-E72D297353CC}">
              <c16:uniqueId val="{00000000-3A2B-42D4-BED0-081F7950B7E6}"/>
            </c:ext>
          </c:extLst>
        </c:ser>
        <c:ser>
          <c:idx val="1"/>
          <c:order val="1"/>
          <c:tx>
            <c:v>Flight</c:v>
          </c:tx>
          <c:spPr>
            <a:ln w="19050" cap="rnd">
              <a:solidFill>
                <a:schemeClr val="tx2"/>
              </a:solidFill>
              <a:round/>
            </a:ln>
            <a:effectLst/>
          </c:spPr>
          <c:marker>
            <c:symbol val="none"/>
          </c:marker>
          <c:dLbls>
            <c:dLbl>
              <c:idx val="0"/>
              <c:tx>
                <c:rich>
                  <a:bodyPr/>
                  <a:lstStyle/>
                  <a:p>
                    <a:r>
                      <a:rPr lang="en-US"/>
                      <a:t>ZFW</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66-4199-89B8-7A750D41294C}"/>
                </c:ext>
              </c:extLst>
            </c:dLbl>
            <c:dLbl>
              <c:idx val="1"/>
              <c:tx>
                <c:rich>
                  <a:bodyPr/>
                  <a:lstStyle/>
                  <a:p>
                    <a:r>
                      <a:rPr lang="en-US"/>
                      <a:t>Landing</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66-4199-89B8-7A750D41294C}"/>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Takeoff</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C766-4199-89B8-7A750D4129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'KINGAIR WEIGHT AND BALANCE'!$T$19:$T$21</c:f>
              <c:numCache>
                <c:formatCode>0.0</c:formatCode>
                <c:ptCount val="3"/>
                <c:pt idx="0">
                  <c:v>203.1011137803014</c:v>
                </c:pt>
                <c:pt idx="1">
                  <c:v>203.1011137803014</c:v>
                </c:pt>
                <c:pt idx="2">
                  <c:v>203.1011137803014</c:v>
                </c:pt>
              </c:numCache>
            </c:numRef>
          </c:xVal>
          <c:yVal>
            <c:numRef>
              <c:f>'KINGAIR WEIGHT AND BALANCE'!$U$19:$U$21</c:f>
              <c:numCache>
                <c:formatCode>0</c:formatCode>
                <c:ptCount val="3"/>
                <c:pt idx="0">
                  <c:v>10073.799999999999</c:v>
                </c:pt>
                <c:pt idx="1">
                  <c:v>10073.799999999999</c:v>
                </c:pt>
                <c:pt idx="2">
                  <c:v>10073.799999999999</c:v>
                </c:pt>
              </c:numCache>
            </c:numRef>
          </c:yVal>
          <c:smooth val="0"/>
          <c:extLst>
            <c:ext xmlns:c16="http://schemas.microsoft.com/office/drawing/2014/chart" uri="{C3380CC4-5D6E-409C-BE32-E72D297353CC}">
              <c16:uniqueId val="{00000001-3A2B-42D4-BED0-081F7950B7E6}"/>
            </c:ext>
          </c:extLst>
        </c:ser>
        <c:dLbls>
          <c:showLegendKey val="0"/>
          <c:showVal val="0"/>
          <c:showCatName val="0"/>
          <c:showSerName val="0"/>
          <c:showPercent val="0"/>
          <c:showBubbleSize val="0"/>
        </c:dLbls>
        <c:axId val="118456152"/>
        <c:axId val="118457720"/>
      </c:scatterChart>
      <c:valAx>
        <c:axId val="11845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7720"/>
        <c:crosses val="autoZero"/>
        <c:crossBetween val="midCat"/>
        <c:majorUnit val="1"/>
        <c:minorUnit val="0.1"/>
      </c:valAx>
      <c:valAx>
        <c:axId val="118457720"/>
        <c:scaling>
          <c:orientation val="minMax"/>
          <c:max val="16000"/>
          <c:min val="8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6152"/>
        <c:crosses val="autoZero"/>
        <c:crossBetween val="midCat"/>
        <c:majorUnit val="500"/>
        <c:minorUnit val="100"/>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485775</xdr:colOff>
      <xdr:row>0</xdr:row>
      <xdr:rowOff>1</xdr:rowOff>
    </xdr:from>
    <xdr:to>
      <xdr:col>29</xdr:col>
      <xdr:colOff>142874</xdr:colOff>
      <xdr:row>65</xdr:row>
      <xdr:rowOff>9526</xdr:rowOff>
    </xdr:to>
    <xdr:sp macro="" textlink="">
      <xdr:nvSpPr>
        <xdr:cNvPr id="2" name="TextBox 1">
          <a:extLst>
            <a:ext uri="{FF2B5EF4-FFF2-40B4-BE49-F238E27FC236}">
              <a16:creationId xmlns:a16="http://schemas.microsoft.com/office/drawing/2014/main" id="{9235524E-0EFD-4CA3-9F12-58C179A4918F}"/>
            </a:ext>
          </a:extLst>
        </xdr:cNvPr>
        <xdr:cNvSpPr txBox="1"/>
      </xdr:nvSpPr>
      <xdr:spPr>
        <a:xfrm>
          <a:off x="14001750" y="1"/>
          <a:ext cx="3924299" cy="1137285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100" b="1">
              <a:solidFill>
                <a:schemeClr val="dk1"/>
              </a:solidFill>
              <a:effectLst/>
              <a:latin typeface="+mn-lt"/>
              <a:ea typeface="+mn-ea"/>
              <a:cs typeface="+mn-cs"/>
            </a:rPr>
            <a:t>Hawker Beechcraft KA350 AFM Section 6 </a:t>
          </a:r>
          <a:r>
            <a:rPr lang="en-NZ" sz="1000" b="1">
              <a:latin typeface="Arial" panose="020B0604020202020204" pitchFamily="34" charset="0"/>
              <a:cs typeface="Arial" panose="020B0604020202020204" pitchFamily="34" charset="0"/>
            </a:rPr>
            <a:t>W&amp;B</a:t>
          </a:r>
        </a:p>
        <a:p>
          <a:pPr algn="l"/>
          <a:r>
            <a:rPr lang="en-NZ" sz="1000" u="none">
              <a:latin typeface="Arial" panose="020B0604020202020204" pitchFamily="34" charset="0"/>
              <a:cs typeface="Arial" panose="020B0604020202020204" pitchFamily="34" charset="0"/>
            </a:rPr>
            <a:t>1. Page 6-59 states the computing procedures for calculating W&amp;B.</a:t>
          </a:r>
          <a:r>
            <a:rPr lang="en-NZ" sz="1000" u="none" baseline="0">
              <a:latin typeface="Arial" panose="020B0604020202020204" pitchFamily="34" charset="0"/>
              <a:cs typeface="Arial" panose="020B0604020202020204" pitchFamily="34" charset="0"/>
            </a:rPr>
            <a:t> The W&amp;B loading form is on page 6-60.</a:t>
          </a:r>
        </a:p>
        <a:p>
          <a:pPr algn="l"/>
          <a:r>
            <a:rPr lang="en-NZ" sz="1000" u="none" baseline="0">
              <a:latin typeface="Arial" panose="020B0604020202020204" pitchFamily="34" charset="0"/>
              <a:cs typeface="Arial" panose="020B0604020202020204" pitchFamily="34" charset="0"/>
            </a:rPr>
            <a:t>2. The 42QN spreadsheet is based on this form and improves it by automatically displaying warnings if entries or calculations exceed boundaries or limits. </a:t>
          </a:r>
          <a:r>
            <a:rPr lang="en-NZ" sz="1000" baseline="0">
              <a:solidFill>
                <a:schemeClr val="dk1"/>
              </a:solidFill>
              <a:effectLst/>
              <a:latin typeface="Arial" panose="020B0604020202020204" pitchFamily="34" charset="0"/>
              <a:ea typeface="+mn-ea"/>
              <a:cs typeface="Arial" panose="020B0604020202020204" pitchFamily="34" charset="0"/>
            </a:rPr>
            <a:t>The calculation procedures in the loading form are followed exactly in the spreadsheet.</a:t>
          </a:r>
          <a:endParaRPr lang="en-NZ" sz="1000" u="none" baseline="0">
            <a:latin typeface="Arial" panose="020B0604020202020204" pitchFamily="34" charset="0"/>
            <a:cs typeface="Arial" panose="020B0604020202020204" pitchFamily="34" charset="0"/>
          </a:endParaRPr>
        </a:p>
        <a:p>
          <a:pPr algn="l"/>
          <a:r>
            <a:rPr lang="en-NZ" sz="1000" baseline="0">
              <a:solidFill>
                <a:schemeClr val="dk1"/>
              </a:solidFill>
              <a:effectLst/>
              <a:latin typeface="Arial" panose="020B0604020202020204" pitchFamily="34" charset="0"/>
              <a:ea typeface="+mn-ea"/>
              <a:cs typeface="Arial" panose="020B0604020202020204" pitchFamily="34" charset="0"/>
            </a:rPr>
            <a:t>3. </a:t>
          </a:r>
          <a:r>
            <a:rPr lang="en-NZ" sz="1000" baseline="0">
              <a:solidFill>
                <a:srgbClr val="FF0000"/>
              </a:solidFill>
              <a:effectLst/>
              <a:latin typeface="Arial" panose="020B0604020202020204" pitchFamily="34" charset="0"/>
              <a:ea typeface="+mn-ea"/>
              <a:cs typeface="Arial" panose="020B0604020202020204" pitchFamily="34" charset="0"/>
            </a:rPr>
            <a:t>The spreadsheet warns infants must be seated in forward facing seats (in car seats).  The Hawker Loading Form has no such protection. </a:t>
          </a:r>
          <a:endParaRPr lang="en-NZ" sz="1000" u="none" baseline="0">
            <a:solidFill>
              <a:srgbClr val="FF0000"/>
            </a:solidFill>
            <a:latin typeface="Arial" panose="020B0604020202020204" pitchFamily="34" charset="0"/>
            <a:cs typeface="Arial" panose="020B0604020202020204" pitchFamily="34" charset="0"/>
          </a:endParaRPr>
        </a:p>
        <a:p>
          <a:pPr algn="l"/>
          <a:r>
            <a:rPr lang="en-NZ" sz="1000" u="none" baseline="0">
              <a:latin typeface="Arial" panose="020B0604020202020204" pitchFamily="34" charset="0"/>
              <a:cs typeface="Arial" panose="020B0604020202020204" pitchFamily="34" charset="0"/>
            </a:rPr>
            <a:t>4. Pages 6-47 to 6-52 provide tables of useful load weights and moments for occupants and cargo. The weights increase by 10lb intervals, which requires interpolating  between weights to obtain moment arms. The 42SQN spreadsheet does this instantly.</a:t>
          </a:r>
        </a:p>
        <a:p>
          <a:pPr algn="l"/>
          <a:r>
            <a:rPr lang="en-NZ" sz="1000" u="none" baseline="0">
              <a:latin typeface="Arial" panose="020B0604020202020204" pitchFamily="34" charset="0"/>
              <a:cs typeface="Arial" panose="020B0604020202020204" pitchFamily="34" charset="0"/>
            </a:rPr>
            <a:t>5. The applicable moments in the spreadsheet were copied from pages 6-43 to 6-45. For loads that are not centered on a centroid, for example the liferaft, measure from one centroid to the CG of the load and add that measurement to the centroid arm to obtain the overall arm.</a:t>
          </a:r>
        </a:p>
        <a:p>
          <a:pPr algn="l"/>
          <a:r>
            <a:rPr lang="en-NZ" sz="1000" u="none" baseline="0">
              <a:latin typeface="Arial" panose="020B0604020202020204" pitchFamily="34" charset="0"/>
              <a:cs typeface="Arial" panose="020B0604020202020204" pitchFamily="34" charset="0"/>
            </a:rPr>
            <a:t>6. Weights in the spreadsheet are accepted RNZAF averages or actual weights.</a:t>
          </a:r>
        </a:p>
        <a:p>
          <a:pPr algn="l"/>
          <a:r>
            <a:rPr lang="en-NZ" sz="1000" u="none" baseline="0">
              <a:latin typeface="Arial" panose="020B0604020202020204" pitchFamily="34" charset="0"/>
              <a:cs typeface="Arial" panose="020B0604020202020204" pitchFamily="34" charset="0"/>
            </a:rPr>
            <a:t>7. The aircraft ABS weights and moment arms have been copied from the F700 and entered into the spreadsheet in rows 42, 43 and 44. This allows the captain to check the W&amp;B ABS against the F700 when signing the aircraft out. In the spreadsheet, when B5 is entered, the associated weight and moment arm are transferred into H5 and I5, and the moment calculated at J5.</a:t>
          </a:r>
        </a:p>
        <a:p>
          <a:pPr algn="l"/>
          <a:r>
            <a:rPr lang="en-NZ" sz="1000" u="none" baseline="0">
              <a:latin typeface="Arial" panose="020B0604020202020204" pitchFamily="34" charset="0"/>
              <a:cs typeface="Arial" panose="020B0604020202020204" pitchFamily="34" charset="0"/>
            </a:rPr>
            <a:t>8. The spreadsheet is explained below.</a:t>
          </a:r>
        </a:p>
        <a:p>
          <a:pPr algn="l"/>
          <a:endParaRPr lang="en-NZ" sz="1000" u="none">
            <a:latin typeface="Arial" panose="020B0604020202020204" pitchFamily="34" charset="0"/>
            <a:cs typeface="Arial" panose="020B0604020202020204" pitchFamily="34" charset="0"/>
          </a:endParaRPr>
        </a:p>
        <a:p>
          <a:pPr algn="l"/>
          <a:r>
            <a:rPr lang="en-NZ" sz="1000" b="1" u="none">
              <a:latin typeface="Arial" panose="020B0604020202020204" pitchFamily="34" charset="0"/>
              <a:cs typeface="Arial" panose="020B0604020202020204" pitchFamily="34" charset="0"/>
            </a:rPr>
            <a:t>                                                                               Hawker W&amp;B</a:t>
          </a:r>
        </a:p>
        <a:p>
          <a:pPr algn="l"/>
          <a:r>
            <a:rPr lang="en-NZ" sz="1000" b="1" u="sng">
              <a:latin typeface="Arial" panose="020B0604020202020204" pitchFamily="34" charset="0"/>
              <a:cs typeface="Arial" panose="020B0604020202020204" pitchFamily="34" charset="0"/>
            </a:rPr>
            <a:t>42SQN SPREADSHEET</a:t>
          </a:r>
          <a:r>
            <a:rPr lang="en-NZ" sz="1000" b="1" u="sng" baseline="0">
              <a:latin typeface="Arial" panose="020B0604020202020204" pitchFamily="34" charset="0"/>
              <a:cs typeface="Arial" panose="020B0604020202020204" pitchFamily="34" charset="0"/>
            </a:rPr>
            <a:t>                                          Loading Form</a:t>
          </a:r>
          <a:endParaRPr lang="en-NZ" sz="1000" b="1" u="sng">
            <a:latin typeface="Arial" panose="020B0604020202020204" pitchFamily="34" charset="0"/>
            <a:cs typeface="Arial" panose="020B0604020202020204" pitchFamily="34" charset="0"/>
          </a:endParaRPr>
        </a:p>
        <a:p>
          <a:r>
            <a:rPr lang="en-NZ" sz="1000" b="1" baseline="0">
              <a:latin typeface="Arial" panose="020B0604020202020204" pitchFamily="34" charset="0"/>
              <a:cs typeface="Arial" panose="020B0604020202020204" pitchFamily="34" charset="0"/>
            </a:rPr>
            <a:t>Row 5.</a:t>
          </a:r>
          <a:r>
            <a:rPr lang="en-NZ" sz="1000" baseline="0">
              <a:latin typeface="Arial" panose="020B0604020202020204" pitchFamily="34" charset="0"/>
              <a:cs typeface="Arial" panose="020B0604020202020204" pitchFamily="34" charset="0"/>
            </a:rPr>
            <a:t> When B5 is entered H5 and I5 are                         Line 1</a:t>
          </a:r>
        </a:p>
        <a:p>
          <a:r>
            <a:rPr lang="en-NZ" sz="1000" u="none" baseline="0">
              <a:latin typeface="Arial" panose="020B0604020202020204" pitchFamily="34" charset="0"/>
              <a:cs typeface="Arial" panose="020B0604020202020204" pitchFamily="34" charset="0"/>
            </a:rPr>
            <a:t>populated from rows 41 and 42 and J5 is</a:t>
          </a:r>
        </a:p>
        <a:p>
          <a:r>
            <a:rPr lang="en-NZ" sz="1000" u="sng" baseline="0">
              <a:latin typeface="Arial" panose="020B0604020202020204" pitchFamily="34" charset="0"/>
              <a:cs typeface="Arial" panose="020B0604020202020204" pitchFamily="34" charset="0"/>
            </a:rPr>
            <a:t>calculated.                                                                                       .</a:t>
          </a:r>
        </a:p>
        <a:p>
          <a:r>
            <a:rPr lang="en-NZ" sz="1000" b="1" baseline="0">
              <a:latin typeface="Arial" panose="020B0604020202020204" pitchFamily="34" charset="0"/>
              <a:cs typeface="Arial" panose="020B0604020202020204" pitchFamily="34" charset="0"/>
            </a:rPr>
            <a:t>Rows 8-19.</a:t>
          </a:r>
          <a:r>
            <a:rPr lang="en-NZ" sz="1000" b="0" baseline="0">
              <a:latin typeface="Arial" panose="020B0604020202020204" pitchFamily="34" charset="0"/>
              <a:cs typeface="Arial" panose="020B0604020202020204" pitchFamily="34" charset="0"/>
            </a:rPr>
            <a:t> Crew, passengers and any seat loaded       Lines 2-13</a:t>
          </a:r>
        </a:p>
        <a:p>
          <a:r>
            <a:rPr lang="en-NZ" sz="1000" b="0" baseline="0">
              <a:latin typeface="Arial" panose="020B0604020202020204" pitchFamily="34" charset="0"/>
              <a:cs typeface="Arial" panose="020B0604020202020204" pitchFamily="34" charset="0"/>
            </a:rPr>
            <a:t>freight are entered here. </a:t>
          </a:r>
          <a:r>
            <a:rPr lang="en-NZ" sz="1000" b="0" baseline="0">
              <a:solidFill>
                <a:srgbClr val="FF0000"/>
              </a:solidFill>
              <a:latin typeface="Arial" panose="020B0604020202020204" pitchFamily="34" charset="0"/>
              <a:cs typeface="Arial" panose="020B0604020202020204" pitchFamily="34" charset="0"/>
            </a:rPr>
            <a:t>If the aft cargo weight in</a:t>
          </a:r>
        </a:p>
        <a:p>
          <a:r>
            <a:rPr lang="en-NZ" sz="1000" b="0" baseline="0">
              <a:solidFill>
                <a:srgbClr val="FF0000"/>
              </a:solidFill>
              <a:latin typeface="Arial" panose="020B0604020202020204" pitchFamily="34" charset="0"/>
              <a:cs typeface="Arial" panose="020B0604020202020204" pitchFamily="34" charset="0"/>
            </a:rPr>
            <a:t>F19 exceeds the limit of 550lbs a warning is</a:t>
          </a:r>
        </a:p>
        <a:p>
          <a:r>
            <a:rPr lang="en-NZ" sz="1000" b="0" baseline="0">
              <a:solidFill>
                <a:srgbClr val="FF0000"/>
              </a:solidFill>
              <a:latin typeface="Arial" panose="020B0604020202020204" pitchFamily="34" charset="0"/>
              <a:cs typeface="Arial" panose="020B0604020202020204" pitchFamily="34" charset="0"/>
            </a:rPr>
            <a:t>displayed in G19</a:t>
          </a:r>
          <a:r>
            <a:rPr lang="en-NZ" sz="1000" b="0" baseline="0">
              <a:latin typeface="Arial" panose="020B0604020202020204" pitchFamily="34" charset="0"/>
              <a:cs typeface="Arial" panose="020B0604020202020204" pitchFamily="34" charset="0"/>
            </a:rPr>
            <a:t>. </a:t>
          </a:r>
          <a:r>
            <a:rPr lang="en-NZ" sz="1000" b="0" baseline="0">
              <a:solidFill>
                <a:srgbClr val="FF0000"/>
              </a:solidFill>
              <a:latin typeface="Arial" panose="020B0604020202020204" pitchFamily="34" charset="0"/>
              <a:cs typeface="Arial" panose="020B0604020202020204" pitchFamily="34" charset="0"/>
            </a:rPr>
            <a:t>If the numbers of pilots or</a:t>
          </a:r>
        </a:p>
        <a:p>
          <a:r>
            <a:rPr lang="en-NZ" sz="1000" b="0" baseline="0">
              <a:solidFill>
                <a:srgbClr val="FF0000"/>
              </a:solidFill>
              <a:latin typeface="Arial" panose="020B0604020202020204" pitchFamily="34" charset="0"/>
              <a:cs typeface="Arial" panose="020B0604020202020204" pitchFamily="34" charset="0"/>
            </a:rPr>
            <a:t>passengers are not valid, or RNZAF seating</a:t>
          </a:r>
        </a:p>
        <a:p>
          <a:r>
            <a:rPr lang="en-NZ" sz="1000" b="0" baseline="0">
              <a:solidFill>
                <a:srgbClr val="FF0000"/>
              </a:solidFill>
              <a:latin typeface="Arial" panose="020B0604020202020204" pitchFamily="34" charset="0"/>
              <a:cs typeface="Arial" panose="020B0604020202020204" pitchFamily="34" charset="0"/>
            </a:rPr>
            <a:t>limitations are not met, warnings are given in the</a:t>
          </a:r>
        </a:p>
        <a:p>
          <a:r>
            <a:rPr lang="en-NZ" sz="1000" b="0" baseline="0">
              <a:solidFill>
                <a:srgbClr val="FF0000"/>
              </a:solidFill>
              <a:latin typeface="Arial" panose="020B0604020202020204" pitchFamily="34" charset="0"/>
              <a:cs typeface="Arial" panose="020B0604020202020204" pitchFamily="34" charset="0"/>
            </a:rPr>
            <a:t>spreadsheet. The Hawker Loading Form has no</a:t>
          </a:r>
        </a:p>
        <a:p>
          <a:r>
            <a:rPr lang="en-NZ" sz="1000" b="0" baseline="0">
              <a:solidFill>
                <a:srgbClr val="FF0000"/>
              </a:solidFill>
              <a:latin typeface="Arial" panose="020B0604020202020204" pitchFamily="34" charset="0"/>
              <a:cs typeface="Arial" panose="020B0604020202020204" pitchFamily="34" charset="0"/>
            </a:rPr>
            <a:t>such protection. </a:t>
          </a:r>
          <a:r>
            <a:rPr lang="en-NZ" sz="1000" b="0" baseline="0">
              <a:latin typeface="Arial" panose="020B0604020202020204" pitchFamily="34" charset="0"/>
              <a:cs typeface="Arial" panose="020B0604020202020204" pitchFamily="34" charset="0"/>
            </a:rPr>
            <a:t>Passengers not in a designated</a:t>
          </a:r>
        </a:p>
        <a:p>
          <a:r>
            <a:rPr lang="en-NZ" sz="1000" b="0" u="none" baseline="0">
              <a:latin typeface="Arial" panose="020B0604020202020204" pitchFamily="34" charset="0"/>
              <a:cs typeface="Arial" panose="020B0604020202020204" pitchFamily="34" charset="0"/>
            </a:rPr>
            <a:t>seat are entered in B19 to ensure POB is correct.</a:t>
          </a:r>
        </a:p>
        <a:p>
          <a:r>
            <a:rPr lang="en-NZ" sz="1000" b="1" u="none" baseline="0">
              <a:latin typeface="Arial" panose="020B0604020202020204" pitchFamily="34" charset="0"/>
              <a:cs typeface="Arial" panose="020B0604020202020204" pitchFamily="34" charset="0"/>
            </a:rPr>
            <a:t>Rows 20-25.</a:t>
          </a:r>
          <a:r>
            <a:rPr lang="en-NZ" sz="1000" b="0" u="none" baseline="0">
              <a:latin typeface="Arial" panose="020B0604020202020204" pitchFamily="34" charset="0"/>
              <a:cs typeface="Arial" panose="020B0604020202020204" pitchFamily="34" charset="0"/>
            </a:rPr>
            <a:t> These allow entries for items placed               Line 14</a:t>
          </a:r>
        </a:p>
        <a:p>
          <a:r>
            <a:rPr lang="en-NZ" sz="1000" b="0" u="none" baseline="0">
              <a:latin typeface="Arial" panose="020B0604020202020204" pitchFamily="34" charset="0"/>
              <a:cs typeface="Arial" panose="020B0604020202020204" pitchFamily="34" charset="0"/>
            </a:rPr>
            <a:t>in either of the 4 cabinets, or the pilots' inflight rations.</a:t>
          </a:r>
        </a:p>
        <a:p>
          <a:r>
            <a:rPr lang="en-NZ" sz="1000" b="0" u="sng" baseline="0">
              <a:solidFill>
                <a:srgbClr val="FF0000"/>
              </a:solidFill>
              <a:latin typeface="Arial" panose="020B0604020202020204" pitchFamily="34" charset="0"/>
              <a:cs typeface="Arial" panose="020B0604020202020204" pitchFamily="34" charset="0"/>
            </a:rPr>
            <a:t>The Hawker Loading Form does not allow this</a:t>
          </a:r>
          <a:r>
            <a:rPr lang="en-NZ" sz="1000" b="0" u="sng" baseline="0">
              <a:latin typeface="Arial" panose="020B0604020202020204" pitchFamily="34" charset="0"/>
              <a:cs typeface="Arial" panose="020B0604020202020204" pitchFamily="34" charset="0"/>
            </a:rPr>
            <a:t>.                              .</a:t>
          </a:r>
          <a:endParaRPr lang="en-NZ" sz="1000" b="0" u="none" baseline="0">
            <a:latin typeface="Arial" panose="020B0604020202020204" pitchFamily="34" charset="0"/>
            <a:cs typeface="Arial" panose="020B0604020202020204" pitchFamily="34" charset="0"/>
          </a:endParaRPr>
        </a:p>
        <a:p>
          <a:r>
            <a:rPr lang="en-NZ" sz="1000" b="1" u="none" baseline="0">
              <a:latin typeface="Arial" panose="020B0604020202020204" pitchFamily="34" charset="0"/>
              <a:cs typeface="Arial" panose="020B0604020202020204" pitchFamily="34" charset="0"/>
            </a:rPr>
            <a:t>Rows 26-33.</a:t>
          </a:r>
          <a:r>
            <a:rPr lang="en-NZ" sz="1000" b="0" u="none" baseline="0">
              <a:latin typeface="Arial" panose="020B0604020202020204" pitchFamily="34" charset="0"/>
              <a:cs typeface="Arial" panose="020B0604020202020204" pitchFamily="34" charset="0"/>
            </a:rPr>
            <a:t> This part of the spreadsheet is                 Lines 15-17</a:t>
          </a:r>
        </a:p>
        <a:p>
          <a:r>
            <a:rPr lang="en-NZ" sz="1000" b="0" u="none" baseline="0">
              <a:latin typeface="Arial" panose="020B0604020202020204" pitchFamily="34" charset="0"/>
              <a:cs typeface="Arial" panose="020B0604020202020204" pitchFamily="34" charset="0"/>
            </a:rPr>
            <a:t>used when role equipment is removed (negative</a:t>
          </a:r>
        </a:p>
        <a:p>
          <a:r>
            <a:rPr lang="en-NZ" sz="1000" b="0" u="none" baseline="0">
              <a:latin typeface="Arial" panose="020B0604020202020204" pitchFamily="34" charset="0"/>
              <a:cs typeface="Arial" panose="020B0604020202020204" pitchFamily="34" charset="0"/>
            </a:rPr>
            <a:t>weight) or load CGs do not center on a centroid.</a:t>
          </a:r>
        </a:p>
        <a:p>
          <a:r>
            <a:rPr lang="en-NZ" sz="1000" b="0" u="none" baseline="0">
              <a:latin typeface="Arial" panose="020B0604020202020204" pitchFamily="34" charset="0"/>
              <a:cs typeface="Arial" panose="020B0604020202020204" pitchFamily="34" charset="0"/>
            </a:rPr>
            <a:t>Loads that would normally be entered in rows 8-18</a:t>
          </a:r>
        </a:p>
        <a:p>
          <a:r>
            <a:rPr lang="en-NZ" sz="1000" b="0" u="sng" baseline="0">
              <a:latin typeface="Arial" panose="020B0604020202020204" pitchFamily="34" charset="0"/>
              <a:cs typeface="Arial" panose="020B0604020202020204" pitchFamily="34" charset="0"/>
            </a:rPr>
            <a:t>may instead be entered here for clarity.                                          .</a:t>
          </a:r>
        </a:p>
        <a:p>
          <a:r>
            <a:rPr lang="en-NZ" sz="1000" b="1" u="none" baseline="0">
              <a:latin typeface="Arial" panose="020B0604020202020204" pitchFamily="34" charset="0"/>
              <a:cs typeface="Arial" panose="020B0604020202020204" pitchFamily="34" charset="0"/>
            </a:rPr>
            <a:t>Rows 34-40.</a:t>
          </a:r>
          <a:r>
            <a:rPr lang="en-NZ" sz="1000" b="0" u="none" baseline="0">
              <a:latin typeface="Arial" panose="020B0604020202020204" pitchFamily="34" charset="0"/>
              <a:cs typeface="Arial" panose="020B0604020202020204" pitchFamily="34" charset="0"/>
            </a:rPr>
            <a:t> Totals of weight and moment arms are</a:t>
          </a:r>
        </a:p>
        <a:p>
          <a:r>
            <a:rPr lang="en-NZ" sz="1000" b="0" u="none" baseline="0">
              <a:latin typeface="Arial" panose="020B0604020202020204" pitchFamily="34" charset="0"/>
              <a:cs typeface="Arial" panose="020B0604020202020204" pitchFamily="34" charset="0"/>
            </a:rPr>
            <a:t>calculated in these rows.</a:t>
          </a:r>
        </a:p>
        <a:p>
          <a:r>
            <a:rPr lang="en-NZ" sz="1000" b="0" u="none" baseline="0">
              <a:latin typeface="Arial" panose="020B0604020202020204" pitchFamily="34" charset="0"/>
              <a:cs typeface="Arial" panose="020B0604020202020204" pitchFamily="34" charset="0"/>
            </a:rPr>
            <a:t>    Zero fuel weight                                                                Line 18</a:t>
          </a:r>
        </a:p>
        <a:p>
          <a:r>
            <a:rPr lang="en-NZ" sz="1000" b="0" u="none" baseline="0">
              <a:latin typeface="Arial" panose="020B0604020202020204" pitchFamily="34" charset="0"/>
              <a:cs typeface="Arial" panose="020B0604020202020204" pitchFamily="34" charset="0"/>
            </a:rPr>
            <a:t>    Ramp weight                                                                     Line 20</a:t>
          </a:r>
        </a:p>
        <a:p>
          <a:r>
            <a:rPr lang="en-NZ" sz="1000" b="0" u="none" baseline="0">
              <a:latin typeface="Arial" panose="020B0604020202020204" pitchFamily="34" charset="0"/>
              <a:cs typeface="Arial" panose="020B0604020202020204" pitchFamily="34" charset="0"/>
            </a:rPr>
            <a:t>    Takeoff weight                                                                  Line 22</a:t>
          </a:r>
        </a:p>
        <a:p>
          <a:r>
            <a:rPr lang="en-NZ" sz="1000" b="0" u="none" baseline="0">
              <a:latin typeface="Arial" panose="020B0604020202020204" pitchFamily="34" charset="0"/>
              <a:cs typeface="Arial" panose="020B0604020202020204" pitchFamily="34" charset="0"/>
            </a:rPr>
            <a:t>    Landing weight                                                                 Line 27</a:t>
          </a:r>
          <a:endParaRPr lang="en-NZ" sz="1000" b="1" u="none" baseline="0">
            <a:latin typeface="Arial" panose="020B0604020202020204" pitchFamily="34" charset="0"/>
            <a:cs typeface="Arial" panose="020B0604020202020204" pitchFamily="34" charset="0"/>
          </a:endParaRPr>
        </a:p>
        <a:p>
          <a:r>
            <a:rPr lang="en-NZ" sz="1000">
              <a:latin typeface="Arial" panose="020B0604020202020204" pitchFamily="34" charset="0"/>
              <a:cs typeface="Arial" panose="020B0604020202020204" pitchFamily="34" charset="0"/>
            </a:rPr>
            <a:t>These weights and moment arms are copied into</a:t>
          </a:r>
        </a:p>
        <a:p>
          <a:r>
            <a:rPr lang="en-NZ" sz="1000" u="sng">
              <a:latin typeface="Arial" panose="020B0604020202020204" pitchFamily="34" charset="0"/>
              <a:cs typeface="Arial" panose="020B0604020202020204" pitchFamily="34" charset="0"/>
            </a:rPr>
            <a:t>the W&amp;B Data Card seen in rows 46-57.                                        .</a:t>
          </a:r>
        </a:p>
        <a:p>
          <a:r>
            <a:rPr lang="en-NZ" sz="1000" b="1">
              <a:latin typeface="Arial" panose="020B0604020202020204" pitchFamily="34" charset="0"/>
              <a:cs typeface="Arial" panose="020B0604020202020204" pitchFamily="34" charset="0"/>
            </a:rPr>
            <a:t>Rows 46-57.</a:t>
          </a:r>
          <a:r>
            <a:rPr lang="en-NZ" sz="1000" b="0">
              <a:latin typeface="Arial" panose="020B0604020202020204" pitchFamily="34" charset="0"/>
              <a:cs typeface="Arial" panose="020B0604020202020204" pitchFamily="34" charset="0"/>
            </a:rPr>
            <a:t>  This section groups the key</a:t>
          </a:r>
          <a:r>
            <a:rPr lang="en-NZ" sz="1000" b="0" baseline="0">
              <a:latin typeface="Arial" panose="020B0604020202020204" pitchFamily="34" charset="0"/>
              <a:cs typeface="Arial" panose="020B0604020202020204" pitchFamily="34" charset="0"/>
            </a:rPr>
            <a:t> W&amp;B</a:t>
          </a:r>
        </a:p>
        <a:p>
          <a:r>
            <a:rPr lang="en-NZ" sz="1000" b="0" baseline="0">
              <a:latin typeface="Arial" panose="020B0604020202020204" pitchFamily="34" charset="0"/>
              <a:cs typeface="Arial" panose="020B0604020202020204" pitchFamily="34" charset="0"/>
            </a:rPr>
            <a:t>data in one place for easy use in the cockpit. There</a:t>
          </a:r>
        </a:p>
        <a:p>
          <a:r>
            <a:rPr lang="en-NZ" sz="1000" b="0" baseline="0">
              <a:latin typeface="Arial" panose="020B0604020202020204" pitchFamily="34" charset="0"/>
              <a:cs typeface="Arial" panose="020B0604020202020204" pitchFamily="34" charset="0"/>
            </a:rPr>
            <a:t>is no equi</a:t>
          </a:r>
          <a:r>
            <a:rPr lang="en-NZ" sz="1000" b="0" baseline="0">
              <a:solidFill>
                <a:schemeClr val="dk1"/>
              </a:solidFill>
              <a:latin typeface="Arial" panose="020B0604020202020204" pitchFamily="34" charset="0"/>
              <a:ea typeface="+mn-ea"/>
              <a:cs typeface="Arial" panose="020B0604020202020204" pitchFamily="34" charset="0"/>
            </a:rPr>
            <a:t>valent in the Hawker Loading Form. In</a:t>
          </a:r>
        </a:p>
        <a:p>
          <a:r>
            <a:rPr lang="en-NZ" sz="1000" b="0" baseline="0">
              <a:solidFill>
                <a:schemeClr val="dk1"/>
              </a:solidFill>
              <a:latin typeface="Arial" panose="020B0604020202020204" pitchFamily="34" charset="0"/>
              <a:ea typeface="+mn-ea"/>
              <a:cs typeface="Arial" panose="020B0604020202020204" pitchFamily="34" charset="0"/>
            </a:rPr>
            <a:t>addition, </a:t>
          </a:r>
          <a:r>
            <a:rPr lang="en-NZ" sz="1000" b="0" baseline="0">
              <a:solidFill>
                <a:srgbClr val="FF0000"/>
              </a:solidFill>
              <a:latin typeface="Arial" panose="020B0604020202020204" pitchFamily="34" charset="0"/>
              <a:ea typeface="+mn-ea"/>
              <a:cs typeface="Arial" panose="020B0604020202020204" pitchFamily="34" charset="0"/>
            </a:rPr>
            <a:t>several critical warnings are given if limits</a:t>
          </a:r>
        </a:p>
        <a:p>
          <a:r>
            <a:rPr lang="en-NZ" sz="1000" b="0" baseline="0">
              <a:solidFill>
                <a:srgbClr val="FF0000"/>
              </a:solidFill>
              <a:latin typeface="Arial" panose="020B0604020202020204" pitchFamily="34" charset="0"/>
              <a:ea typeface="+mn-ea"/>
              <a:cs typeface="Arial" panose="020B0604020202020204" pitchFamily="34" charset="0"/>
            </a:rPr>
            <a:t>are exceeded. The Hawker Loading Form</a:t>
          </a:r>
        </a:p>
        <a:p>
          <a:r>
            <a:rPr lang="en-NZ" sz="1000" b="0" baseline="0">
              <a:solidFill>
                <a:srgbClr val="FF0000"/>
              </a:solidFill>
              <a:latin typeface="Arial" panose="020B0604020202020204" pitchFamily="34" charset="0"/>
              <a:ea typeface="+mn-ea"/>
              <a:cs typeface="Arial" panose="020B0604020202020204" pitchFamily="34" charset="0"/>
            </a:rPr>
            <a:t>doesn't provide warnings</a:t>
          </a:r>
          <a:r>
            <a:rPr lang="en-NZ" sz="1000" b="0" baseline="0">
              <a:solidFill>
                <a:schemeClr val="dk1"/>
              </a:solidFill>
              <a:latin typeface="Arial" panose="020B0604020202020204" pitchFamily="34" charset="0"/>
              <a:ea typeface="+mn-ea"/>
              <a:cs typeface="Arial" panose="020B0604020202020204" pitchFamily="34" charset="0"/>
            </a:rPr>
            <a:t>, however, moment arm/</a:t>
          </a:r>
        </a:p>
        <a:p>
          <a:r>
            <a:rPr lang="en-NZ" sz="1000" b="0" baseline="0">
              <a:solidFill>
                <a:schemeClr val="dk1"/>
              </a:solidFill>
              <a:latin typeface="Arial" panose="020B0604020202020204" pitchFamily="34" charset="0"/>
              <a:ea typeface="+mn-ea"/>
              <a:cs typeface="Arial" panose="020B0604020202020204" pitchFamily="34" charset="0"/>
            </a:rPr>
            <a:t>weight coordinates are plotted on the Weight and</a:t>
          </a:r>
        </a:p>
        <a:p>
          <a:r>
            <a:rPr lang="en-NZ" sz="1000" b="0" baseline="0">
              <a:solidFill>
                <a:schemeClr val="dk1"/>
              </a:solidFill>
              <a:latin typeface="Arial" panose="020B0604020202020204" pitchFamily="34" charset="0"/>
              <a:ea typeface="+mn-ea"/>
              <a:cs typeface="Arial" panose="020B0604020202020204" pitchFamily="34" charset="0"/>
            </a:rPr>
            <a:t>Balance Diagram on page 6-27.  Any exceedences</a:t>
          </a:r>
        </a:p>
        <a:p>
          <a:r>
            <a:rPr lang="en-NZ" sz="1000" b="0" baseline="0">
              <a:solidFill>
                <a:schemeClr val="dk1"/>
              </a:solidFill>
              <a:latin typeface="Arial" panose="020B0604020202020204" pitchFamily="34" charset="0"/>
              <a:ea typeface="+mn-ea"/>
              <a:cs typeface="Arial" panose="020B0604020202020204" pitchFamily="34" charset="0"/>
            </a:rPr>
            <a:t>would be noted then.</a:t>
          </a:r>
        </a:p>
        <a:p>
          <a:r>
            <a:rPr lang="en-NZ" sz="1000" b="0" baseline="0">
              <a:solidFill>
                <a:srgbClr val="FF0000"/>
              </a:solidFill>
              <a:latin typeface="Arial" panose="020B0604020202020204" pitchFamily="34" charset="0"/>
              <a:ea typeface="+mn-ea"/>
              <a:cs typeface="Arial" panose="020B0604020202020204" pitchFamily="34" charset="0"/>
            </a:rPr>
            <a:t>The warnings given in this area are:</a:t>
          </a:r>
        </a:p>
        <a:p>
          <a:r>
            <a:rPr lang="en-NZ" sz="1000" b="0" baseline="0">
              <a:solidFill>
                <a:srgbClr val="FF0000"/>
              </a:solidFill>
              <a:latin typeface="Arial" panose="020B0604020202020204" pitchFamily="34" charset="0"/>
              <a:ea typeface="+mn-ea"/>
              <a:cs typeface="Arial" panose="020B0604020202020204" pitchFamily="34" charset="0"/>
            </a:rPr>
            <a:t>    Zero Fuel Weight is exceeded,</a:t>
          </a:r>
        </a:p>
        <a:p>
          <a:r>
            <a:rPr lang="en-NZ" sz="1000" b="0" baseline="0">
              <a:solidFill>
                <a:srgbClr val="FF0000"/>
              </a:solidFill>
              <a:latin typeface="Arial" panose="020B0604020202020204" pitchFamily="34" charset="0"/>
              <a:ea typeface="+mn-ea"/>
              <a:cs typeface="Arial" panose="020B0604020202020204" pitchFamily="34" charset="0"/>
            </a:rPr>
            <a:t>    Zero Fuel Weight CG range is exceeded,</a:t>
          </a:r>
        </a:p>
        <a:p>
          <a:r>
            <a:rPr lang="en-NZ" sz="1000" b="0" baseline="0">
              <a:solidFill>
                <a:srgbClr val="FF0000"/>
              </a:solidFill>
              <a:latin typeface="Arial" panose="020B0604020202020204" pitchFamily="34" charset="0"/>
              <a:ea typeface="+mn-ea"/>
              <a:cs typeface="Arial" panose="020B0604020202020204" pitchFamily="34" charset="0"/>
            </a:rPr>
            <a:t>    Takeoff weight is exceeded,</a:t>
          </a:r>
        </a:p>
        <a:p>
          <a:pPr marL="0" marR="0" lvl="0" indent="0" defTabSz="914400" eaLnBrk="1" fontAlgn="auto" latinLnBrk="0" hangingPunct="1">
            <a:lnSpc>
              <a:spcPct val="100000"/>
            </a:lnSpc>
            <a:spcBef>
              <a:spcPts val="0"/>
            </a:spcBef>
            <a:spcAft>
              <a:spcPts val="0"/>
            </a:spcAft>
            <a:buClrTx/>
            <a:buSzTx/>
            <a:buFontTx/>
            <a:buNone/>
            <a:tabLst/>
            <a:defRPr/>
          </a:pPr>
          <a:r>
            <a:rPr lang="en-NZ" sz="1000" b="0" baseline="0">
              <a:solidFill>
                <a:srgbClr val="FF0000"/>
              </a:solidFill>
              <a:latin typeface="Arial" panose="020B0604020202020204" pitchFamily="34" charset="0"/>
              <a:ea typeface="+mn-ea"/>
              <a:cs typeface="Arial" panose="020B0604020202020204" pitchFamily="34" charset="0"/>
            </a:rPr>
            <a:t>    </a:t>
          </a:r>
          <a:r>
            <a:rPr lang="en-NZ" sz="1000" b="0" baseline="0">
              <a:solidFill>
                <a:srgbClr val="FF0000"/>
              </a:solidFill>
              <a:effectLst/>
              <a:latin typeface="Arial" panose="020B0604020202020204" pitchFamily="34" charset="0"/>
              <a:ea typeface="+mn-ea"/>
              <a:cs typeface="Arial" panose="020B0604020202020204" pitchFamily="34" charset="0"/>
            </a:rPr>
            <a:t>Takeoff Weight CG range is exceeded,</a:t>
          </a:r>
          <a:endParaRPr lang="en-NZ" sz="1000">
            <a:solidFill>
              <a:srgbClr val="FF0000"/>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000" b="0" baseline="0">
              <a:solidFill>
                <a:srgbClr val="FF0000"/>
              </a:solidFill>
              <a:latin typeface="Arial" panose="020B0604020202020204" pitchFamily="34" charset="0"/>
              <a:ea typeface="+mn-ea"/>
              <a:cs typeface="Arial" panose="020B0604020202020204" pitchFamily="34" charset="0"/>
            </a:rPr>
            <a:t>    </a:t>
          </a:r>
          <a:r>
            <a:rPr lang="en-NZ" sz="1000" b="0" baseline="0">
              <a:solidFill>
                <a:srgbClr val="FF0000"/>
              </a:solidFill>
              <a:effectLst/>
              <a:latin typeface="Arial" panose="020B0604020202020204" pitchFamily="34" charset="0"/>
              <a:ea typeface="+mn-ea"/>
              <a:cs typeface="Arial" panose="020B0604020202020204" pitchFamily="34" charset="0"/>
            </a:rPr>
            <a:t>Landing weight CG range is exceeded,</a:t>
          </a:r>
          <a:endParaRPr lang="en-NZ" sz="1000">
            <a:solidFill>
              <a:srgbClr val="FF0000"/>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NZ" sz="1000" b="0" baseline="0">
              <a:solidFill>
                <a:srgbClr val="FF0000"/>
              </a:solidFill>
              <a:latin typeface="Arial" panose="020B0604020202020204" pitchFamily="34" charset="0"/>
              <a:ea typeface="+mn-ea"/>
              <a:cs typeface="Arial" panose="020B0604020202020204" pitchFamily="34" charset="0"/>
            </a:rPr>
            <a:t>    </a:t>
          </a:r>
          <a:r>
            <a:rPr lang="en-NZ" sz="1000" b="0" baseline="0">
              <a:solidFill>
                <a:srgbClr val="FF0000"/>
              </a:solidFill>
              <a:effectLst/>
              <a:latin typeface="Arial" panose="020B0604020202020204" pitchFamily="34" charset="0"/>
              <a:ea typeface="+mn-ea"/>
              <a:cs typeface="Arial" panose="020B0604020202020204" pitchFamily="34" charset="0"/>
            </a:rPr>
            <a:t>Minimum landing fuel is not met, or</a:t>
          </a:r>
          <a:endParaRPr lang="en-NZ" sz="1000">
            <a:solidFill>
              <a:srgbClr val="FF0000"/>
            </a:solidFill>
            <a:effectLst/>
            <a:latin typeface="Arial" panose="020B0604020202020204" pitchFamily="34" charset="0"/>
            <a:cs typeface="Arial" panose="020B0604020202020204" pitchFamily="34" charset="0"/>
          </a:endParaRPr>
        </a:p>
        <a:p>
          <a:r>
            <a:rPr lang="en-NZ" sz="1000" b="0" u="none" baseline="0">
              <a:solidFill>
                <a:srgbClr val="FF0000"/>
              </a:solidFill>
              <a:latin typeface="Arial" panose="020B0604020202020204" pitchFamily="34" charset="0"/>
              <a:ea typeface="+mn-ea"/>
              <a:cs typeface="Arial" panose="020B0604020202020204" pitchFamily="34" charset="0"/>
            </a:rPr>
            <a:t>    Minimum fuel reserves are not met</a:t>
          </a:r>
          <a:r>
            <a:rPr lang="en-NZ" sz="1000" b="0" u="none" baseline="0">
              <a:solidFill>
                <a:schemeClr val="dk1"/>
              </a:solidFill>
              <a:latin typeface="Arial" panose="020B0604020202020204" pitchFamily="34" charset="0"/>
              <a:ea typeface="+mn-ea"/>
              <a:cs typeface="Arial" panose="020B0604020202020204" pitchFamily="34" charset="0"/>
            </a:rPr>
            <a:t>.                                 </a:t>
          </a:r>
          <a:r>
            <a:rPr lang="en-NZ" sz="1000" b="0" baseline="0">
              <a:solidFill>
                <a:schemeClr val="dk1"/>
              </a:solidFill>
              <a:latin typeface="Arial" panose="020B0604020202020204" pitchFamily="34" charset="0"/>
              <a:ea typeface="+mn-ea"/>
              <a:cs typeface="Arial" panose="020B0604020202020204" pitchFamily="34" charset="0"/>
            </a:rPr>
            <a:t>.</a:t>
          </a:r>
        </a:p>
        <a:p>
          <a:r>
            <a:rPr lang="en-NZ" sz="1000" b="0" baseline="0">
              <a:solidFill>
                <a:schemeClr val="dk1"/>
              </a:solidFill>
              <a:latin typeface="Arial" panose="020B0604020202020204" pitchFamily="34" charset="0"/>
              <a:ea typeface="+mn-ea"/>
              <a:cs typeface="Arial" panose="020B0604020202020204" pitchFamily="34" charset="0"/>
            </a:rPr>
            <a:t>    </a:t>
          </a:r>
        </a:p>
        <a:p>
          <a:endParaRPr lang="en-NZ" sz="1000" b="0" baseline="0">
            <a:solidFill>
              <a:schemeClr val="dk1"/>
            </a:solidFill>
            <a:latin typeface="Arial" panose="020B0604020202020204" pitchFamily="34" charset="0"/>
            <a:ea typeface="+mn-ea"/>
            <a:cs typeface="Arial" panose="020B0604020202020204" pitchFamily="34" charset="0"/>
          </a:endParaRPr>
        </a:p>
      </xdr:txBody>
    </xdr:sp>
    <xdr:clientData/>
  </xdr:twoCellAnchor>
  <xdr:twoCellAnchor>
    <xdr:from>
      <xdr:col>15</xdr:col>
      <xdr:colOff>57150</xdr:colOff>
      <xdr:row>35</xdr:row>
      <xdr:rowOff>19051</xdr:rowOff>
    </xdr:from>
    <xdr:to>
      <xdr:col>21</xdr:col>
      <xdr:colOff>419100</xdr:colOff>
      <xdr:row>65</xdr:row>
      <xdr:rowOff>19050</xdr:rowOff>
    </xdr:to>
    <xdr:sp macro="" textlink="">
      <xdr:nvSpPr>
        <xdr:cNvPr id="3" name="TextBox 2">
          <a:extLst>
            <a:ext uri="{FF2B5EF4-FFF2-40B4-BE49-F238E27FC236}">
              <a16:creationId xmlns:a16="http://schemas.microsoft.com/office/drawing/2014/main" id="{F524C4DE-489D-477A-9A5D-A2D0978B50D0}"/>
            </a:ext>
          </a:extLst>
        </xdr:cNvPr>
        <xdr:cNvSpPr txBox="1"/>
      </xdr:nvSpPr>
      <xdr:spPr>
        <a:xfrm>
          <a:off x="10172700" y="5895976"/>
          <a:ext cx="3762375" cy="5895974"/>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NZ" sz="1000" b="1">
              <a:latin typeface="Arial" panose="020B0604020202020204" pitchFamily="34" charset="0"/>
              <a:cs typeface="Arial" panose="020B0604020202020204" pitchFamily="34" charset="0"/>
            </a:rPr>
            <a:t>Fuel Lookup Data</a:t>
          </a:r>
        </a:p>
        <a:p>
          <a:pPr algn="l"/>
          <a:r>
            <a:rPr lang="en-NZ" sz="1000" b="0">
              <a:latin typeface="Arial" panose="020B0604020202020204" pitchFamily="34" charset="0"/>
              <a:cs typeface="Arial" panose="020B0604020202020204" pitchFamily="34" charset="0"/>
            </a:rPr>
            <a:t>1. The CG </a:t>
          </a:r>
          <a:r>
            <a:rPr lang="en-NZ" sz="1000" b="0" baseline="0">
              <a:latin typeface="Arial" panose="020B0604020202020204" pitchFamily="34" charset="0"/>
              <a:cs typeface="Arial" panose="020B0604020202020204" pitchFamily="34" charset="0"/>
            </a:rPr>
            <a:t>moves forward as fuel is used.</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a:latin typeface="Arial" panose="020B0604020202020204" pitchFamily="34" charset="0"/>
              <a:cs typeface="Arial" panose="020B0604020202020204" pitchFamily="34" charset="0"/>
            </a:rPr>
            <a:t>Page 6-53 in the </a:t>
          </a:r>
          <a:r>
            <a:rPr lang="en-NZ" sz="1000" b="0">
              <a:solidFill>
                <a:schemeClr val="dk1"/>
              </a:solidFill>
              <a:effectLst/>
              <a:latin typeface="Arial" panose="020B0604020202020204" pitchFamily="34" charset="0"/>
              <a:ea typeface="+mn-ea"/>
              <a:cs typeface="Arial" panose="020B0604020202020204" pitchFamily="34" charset="0"/>
            </a:rPr>
            <a:t>Hawker Beechcraft KA350 AFM Section 6 W&amp;B lists the moments against fuel quantity in 10 gal. (US) increments. The graph of density variations in aviation fuel, page 6-56, indicates that the most appropriate conversion of gallons to pounds is 6.7.</a:t>
          </a:r>
          <a:r>
            <a:rPr lang="en-NZ" sz="1000" b="0" baseline="0">
              <a:solidFill>
                <a:schemeClr val="dk1"/>
              </a:solidFill>
              <a:effectLst/>
              <a:latin typeface="Arial" panose="020B0604020202020204" pitchFamily="34" charset="0"/>
              <a:ea typeface="+mn-ea"/>
              <a:cs typeface="Arial" panose="020B0604020202020204" pitchFamily="34" charset="0"/>
            </a:rPr>
            <a:t>  Accordingly, the 6.7LB/GAL columns have been used in the spreadsheet.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2. The weights and moments of the 6.7LB/GAL columns have been copied into the spreadsheet (weight in column M and moment in column N). The weight data has also been copied into Column O, but one higher. The purpose of this is to use Excel VLOOKUP function to more easily obtain interpolated moments.</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3. Columns Q and R are the VLOOKUP and interpolation calculations to obtain the moments for Ramp fuel, Takeoff fuel, and Landing fuel. These fuel states are taken from H33, H35, and H37 respectively. Using these fuel states VLOOKUP then looks in columns M and O to get the one higher and one lower fuel, with their matching moment. Where the fuels lie, proportionately between the one higher and one lower, is used to interpolate the moment.</a:t>
          </a:r>
        </a:p>
        <a:p>
          <a:pPr marL="0" marR="0" lvl="0" indent="0" algn="l" defTabSz="914400" eaLnBrk="1" fontAlgn="auto" latinLnBrk="0" hangingPunct="1">
            <a:lnSpc>
              <a:spcPct val="100000"/>
            </a:lnSpc>
            <a:spcBef>
              <a:spcPts val="0"/>
            </a:spcBef>
            <a:spcAft>
              <a:spcPts val="0"/>
            </a:spcAft>
            <a:buClrTx/>
            <a:buSzTx/>
            <a:buFontTx/>
            <a:buNone/>
            <a:tabLst/>
            <a:defRPr/>
          </a:pPr>
          <a:r>
            <a:rPr lang="en-NZ" sz="1000" b="0" baseline="0">
              <a:solidFill>
                <a:schemeClr val="dk1"/>
              </a:solidFill>
              <a:effectLst/>
              <a:latin typeface="Arial" panose="020B0604020202020204" pitchFamily="34" charset="0"/>
              <a:ea typeface="+mn-ea"/>
              <a:cs typeface="Arial" panose="020B0604020202020204" pitchFamily="34" charset="0"/>
            </a:rPr>
            <a:t>4. The method of determining the moment for any fuel, using this table, is exactly the way it would be done manually. However, using the spreadsheet makes it easier and less prone to error.</a:t>
          </a:r>
          <a:endParaRPr lang="en-NZ" sz="1000" b="0">
            <a:effectLst/>
            <a:latin typeface="Arial" panose="020B0604020202020204" pitchFamily="34" charset="0"/>
            <a:cs typeface="Arial" panose="020B0604020202020204" pitchFamily="34" charset="0"/>
          </a:endParaRPr>
        </a:p>
        <a:p>
          <a:pPr algn="ctr"/>
          <a:r>
            <a:rPr lang="en-NZ" sz="1000" b="1">
              <a:solidFill>
                <a:schemeClr val="dk1"/>
              </a:solidFill>
              <a:effectLst/>
              <a:latin typeface="Arial" panose="020B0604020202020204" pitchFamily="34" charset="0"/>
              <a:ea typeface="+mn-ea"/>
              <a:cs typeface="Arial" panose="020B0604020202020204" pitchFamily="34" charset="0"/>
            </a:rPr>
            <a:t>GRAPH</a:t>
          </a:r>
          <a:endParaRPr lang="en-NZ" sz="1000">
            <a:effectLst/>
            <a:latin typeface="Arial" panose="020B0604020202020204" pitchFamily="34" charset="0"/>
            <a:cs typeface="Arial" panose="020B0604020202020204" pitchFamily="34" charset="0"/>
          </a:endParaRPr>
        </a:p>
        <a:p>
          <a:r>
            <a:rPr lang="en-NZ" sz="1000" b="0">
              <a:solidFill>
                <a:schemeClr val="dk1"/>
              </a:solidFill>
              <a:effectLst/>
              <a:latin typeface="Arial" panose="020B0604020202020204" pitchFamily="34" charset="0"/>
              <a:ea typeface="+mn-ea"/>
              <a:cs typeface="Arial" panose="020B0604020202020204" pitchFamily="34" charset="0"/>
            </a:rPr>
            <a:t>1. Columns T and U in rows 6-12 plot the weight and balance envelop (as seen on</a:t>
          </a:r>
          <a:r>
            <a:rPr lang="en-NZ" sz="1000" b="0" baseline="0">
              <a:solidFill>
                <a:schemeClr val="dk1"/>
              </a:solidFill>
              <a:effectLst/>
              <a:latin typeface="Arial" panose="020B0604020202020204" pitchFamily="34" charset="0"/>
              <a:ea typeface="+mn-ea"/>
              <a:cs typeface="Arial" panose="020B0604020202020204" pitchFamily="34" charset="0"/>
            </a:rPr>
            <a:t> page 6-61).</a:t>
          </a:r>
        </a:p>
        <a:p>
          <a:r>
            <a:rPr lang="en-NZ" sz="1000" b="0" baseline="0">
              <a:solidFill>
                <a:schemeClr val="dk1"/>
              </a:solidFill>
              <a:effectLst/>
              <a:latin typeface="Arial" panose="020B0604020202020204" pitchFamily="34" charset="0"/>
              <a:ea typeface="+mn-ea"/>
              <a:cs typeface="Arial" panose="020B0604020202020204" pitchFamily="34" charset="0"/>
            </a:rPr>
            <a:t>2. </a:t>
          </a:r>
          <a:r>
            <a:rPr lang="en-NZ" sz="1000" b="0">
              <a:solidFill>
                <a:schemeClr val="dk1"/>
              </a:solidFill>
              <a:effectLst/>
              <a:latin typeface="Arial" panose="020B0604020202020204" pitchFamily="34" charset="0"/>
              <a:ea typeface="+mn-ea"/>
              <a:cs typeface="Arial" panose="020B0604020202020204" pitchFamily="34" charset="0"/>
            </a:rPr>
            <a:t>Columns T and U in rows 19-21 takes the weights and moments for Zero Fuel, Landing,</a:t>
          </a:r>
          <a:r>
            <a:rPr lang="en-NZ" sz="1000" b="0" baseline="0">
              <a:solidFill>
                <a:schemeClr val="dk1"/>
              </a:solidFill>
              <a:effectLst/>
              <a:latin typeface="Arial" panose="020B0604020202020204" pitchFamily="34" charset="0"/>
              <a:ea typeface="+mn-ea"/>
              <a:cs typeface="Arial" panose="020B0604020202020204" pitchFamily="34" charset="0"/>
            </a:rPr>
            <a:t> and Takeoff and plots them on the graph.</a:t>
          </a:r>
        </a:p>
        <a:p>
          <a:r>
            <a:rPr lang="en-NZ" sz="1000" b="0" baseline="0">
              <a:solidFill>
                <a:schemeClr val="dk1"/>
              </a:solidFill>
              <a:effectLst/>
              <a:latin typeface="Arial" panose="020B0604020202020204" pitchFamily="34" charset="0"/>
              <a:ea typeface="+mn-ea"/>
              <a:cs typeface="Arial" panose="020B0604020202020204" pitchFamily="34" charset="0"/>
            </a:rPr>
            <a:t>3. The graph is seen when the GRAPH tab is selected (at the bottom of the spreadsheet). The </a:t>
          </a:r>
          <a:r>
            <a:rPr lang="en-NZ" sz="1100" b="0">
              <a:solidFill>
                <a:schemeClr val="dk1"/>
              </a:solidFill>
              <a:effectLst/>
              <a:latin typeface="+mn-lt"/>
              <a:ea typeface="+mn-ea"/>
              <a:cs typeface="+mn-cs"/>
            </a:rPr>
            <a:t>Hawker Beechcraft KA350 AFM Section 6 W&amp;B </a:t>
          </a:r>
          <a:r>
            <a:rPr lang="en-NZ" sz="1000" b="0">
              <a:solidFill>
                <a:schemeClr val="dk1"/>
              </a:solidFill>
              <a:effectLst/>
              <a:latin typeface="Arial" panose="020B0604020202020204" pitchFamily="34" charset="0"/>
              <a:ea typeface="+mn-ea"/>
              <a:cs typeface="Arial" panose="020B0604020202020204" pitchFamily="34" charset="0"/>
            </a:rPr>
            <a:t>process requires this graph to be completed because it is the only easy way to determine if the aircraft is within the envelop for the duration of the flight. The</a:t>
          </a:r>
          <a:r>
            <a:rPr lang="en-NZ" sz="1000" b="0" baseline="0">
              <a:solidFill>
                <a:schemeClr val="dk1"/>
              </a:solidFill>
              <a:effectLst/>
              <a:latin typeface="Arial" panose="020B0604020202020204" pitchFamily="34" charset="0"/>
              <a:ea typeface="+mn-ea"/>
              <a:cs typeface="Arial" panose="020B0604020202020204" pitchFamily="34" charset="0"/>
            </a:rPr>
            <a:t> warnings in the spreadsheet provide clearer warnings and so the graph is not required to be printed out prior to flight.</a:t>
          </a:r>
          <a:endParaRPr lang="en-NZ" sz="10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xdr:colOff>
      <xdr:row>42</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5"/>
  <sheetViews>
    <sheetView tabSelected="1" zoomScale="70" zoomScaleNormal="70" workbookViewId="0">
      <selection activeCell="O15" sqref="O15"/>
    </sheetView>
  </sheetViews>
  <sheetFormatPr defaultRowHeight="12.75" x14ac:dyDescent="0.2"/>
  <cols>
    <col min="1" max="1" width="14.83203125" customWidth="1"/>
    <col min="2" max="7" width="12.83203125" customWidth="1"/>
    <col min="8" max="8" width="16.33203125" customWidth="1"/>
    <col min="9" max="10" width="12.83203125" customWidth="1"/>
    <col min="11" max="11" width="47" customWidth="1"/>
    <col min="12" max="12" width="24.6640625" customWidth="1"/>
    <col min="13" max="13" width="19.5" customWidth="1"/>
    <col min="14" max="14" width="25.6640625" customWidth="1"/>
    <col min="15" max="15" width="11.33203125" customWidth="1"/>
    <col min="16" max="16" width="16.5" customWidth="1"/>
    <col min="17" max="17" width="23.6640625" customWidth="1"/>
    <col min="18" max="18" width="26.5" customWidth="1"/>
    <col min="19" max="19" width="31" customWidth="1"/>
    <col min="20" max="20" width="35.83203125" customWidth="1"/>
    <col min="21" max="21" width="21.83203125" customWidth="1"/>
    <col min="22" max="22" width="20.1640625" customWidth="1"/>
    <col min="23" max="23" width="16.5" customWidth="1"/>
    <col min="24" max="24" width="14.83203125" customWidth="1"/>
    <col min="25" max="25" width="9.83203125" customWidth="1"/>
    <col min="26" max="26" width="14.6640625" customWidth="1"/>
    <col min="27" max="27" width="11.6640625" customWidth="1"/>
    <col min="28" max="28" width="30.33203125" customWidth="1"/>
    <col min="29" max="29" width="22" customWidth="1"/>
    <col min="30" max="30" width="20.6640625" customWidth="1"/>
  </cols>
  <sheetData>
    <row r="1" spans="1:35" ht="12" customHeight="1" x14ac:dyDescent="0.2">
      <c r="A1" s="217" t="s">
        <v>121</v>
      </c>
      <c r="B1" s="218"/>
      <c r="C1" s="218"/>
      <c r="D1" s="218"/>
      <c r="E1" s="218"/>
      <c r="F1" s="218"/>
      <c r="G1" s="218"/>
      <c r="H1" s="218"/>
      <c r="I1" s="215" t="s">
        <v>119</v>
      </c>
      <c r="J1" s="216"/>
    </row>
    <row r="2" spans="1:35" ht="12.75" customHeight="1" x14ac:dyDescent="0.2">
      <c r="A2" s="219"/>
      <c r="B2" s="220"/>
      <c r="C2" s="220"/>
      <c r="D2" s="220"/>
      <c r="E2" s="220"/>
      <c r="F2" s="220"/>
      <c r="G2" s="220"/>
      <c r="H2" s="220"/>
      <c r="I2" s="184"/>
      <c r="J2" s="142" t="s">
        <v>114</v>
      </c>
    </row>
    <row r="3" spans="1:35" ht="24" customHeight="1" thickBot="1" x14ac:dyDescent="0.25">
      <c r="A3" s="17"/>
      <c r="B3" s="29"/>
      <c r="C3" s="29"/>
      <c r="D3" s="29"/>
      <c r="E3" s="70" t="s">
        <v>120</v>
      </c>
      <c r="F3" s="29"/>
      <c r="G3" s="29"/>
      <c r="H3" s="29"/>
      <c r="I3" s="29"/>
      <c r="J3" s="113">
        <v>43440</v>
      </c>
      <c r="M3" t="s">
        <v>96</v>
      </c>
      <c r="T3" s="137" t="s">
        <v>103</v>
      </c>
    </row>
    <row r="4" spans="1:35" ht="13.5" customHeight="1" x14ac:dyDescent="0.2">
      <c r="A4" s="11" t="s">
        <v>1</v>
      </c>
      <c r="B4" s="37" t="s">
        <v>46</v>
      </c>
      <c r="C4" s="9" t="s">
        <v>0</v>
      </c>
      <c r="D4" s="10"/>
      <c r="E4" s="11" t="s">
        <v>47</v>
      </c>
      <c r="F4" s="213" t="s">
        <v>2</v>
      </c>
      <c r="G4" s="214"/>
      <c r="H4" s="9"/>
      <c r="I4" s="12" t="s">
        <v>3</v>
      </c>
      <c r="J4" s="10"/>
    </row>
    <row r="5" spans="1:35" ht="13.5" thickBot="1" x14ac:dyDescent="0.25">
      <c r="A5" s="8">
        <f ca="1">TODAY()</f>
        <v>43641</v>
      </c>
      <c r="B5" s="38">
        <v>2353</v>
      </c>
      <c r="C5" s="224"/>
      <c r="D5" s="225"/>
      <c r="E5" s="71"/>
      <c r="F5" s="232"/>
      <c r="G5" s="233"/>
      <c r="H5" s="114">
        <f>IF(B5=C42,C43,IF(B5=D42,D43,IF(B5=E42,E43,IF(B5=F42,F43,IF(B5=G42,G43,IF(B5=H42,H43,IF(B5=I42,I43,IF(B5=J42,J43,"ACFT"))))))))</f>
        <v>10073.799999999999</v>
      </c>
      <c r="I5" s="115">
        <f>IF(B5=C42,C44,IF(B5=D42,D44,IF(B5=E42,E44,IF(B5=F42,F44,IF(B5=G42,G44,IF(B5=H42,H44,IF(B5=I42,I44,IF(B5=J42,J44,"ACFT"))))))))</f>
        <v>203.1</v>
      </c>
      <c r="J5" s="116">
        <f>ROUND((H5*I5/100),0)</f>
        <v>20460</v>
      </c>
      <c r="M5" s="135" t="s">
        <v>97</v>
      </c>
      <c r="N5" s="135" t="s">
        <v>12</v>
      </c>
      <c r="O5" s="141" t="s">
        <v>105</v>
      </c>
      <c r="T5" s="137" t="s">
        <v>122</v>
      </c>
    </row>
    <row r="6" spans="1:35" x14ac:dyDescent="0.2">
      <c r="A6" s="13"/>
      <c r="B6" s="145" t="s">
        <v>5</v>
      </c>
      <c r="C6" s="145" t="s">
        <v>6</v>
      </c>
      <c r="D6" s="145" t="s">
        <v>7</v>
      </c>
      <c r="E6" s="146" t="s">
        <v>8</v>
      </c>
      <c r="F6" s="147" t="s">
        <v>9</v>
      </c>
      <c r="G6" s="148" t="s">
        <v>68</v>
      </c>
      <c r="H6" s="22" t="s">
        <v>10</v>
      </c>
      <c r="I6" s="23" t="s">
        <v>11</v>
      </c>
      <c r="J6" s="24" t="s">
        <v>12</v>
      </c>
      <c r="M6">
        <v>0</v>
      </c>
      <c r="N6" s="136">
        <v>0</v>
      </c>
      <c r="O6">
        <f t="shared" ref="O6:O14" si="0">M7</f>
        <v>67</v>
      </c>
      <c r="T6">
        <v>191.4</v>
      </c>
      <c r="U6">
        <v>9000</v>
      </c>
    </row>
    <row r="7" spans="1:35" ht="13.5" thickBot="1" x14ac:dyDescent="0.25">
      <c r="A7" s="102" t="s">
        <v>13</v>
      </c>
      <c r="B7" s="150">
        <v>205</v>
      </c>
      <c r="C7" s="150">
        <v>190</v>
      </c>
      <c r="D7" s="150">
        <v>85</v>
      </c>
      <c r="E7" s="195">
        <v>34</v>
      </c>
      <c r="F7" s="149" t="s">
        <v>14</v>
      </c>
      <c r="G7" s="150" t="s">
        <v>69</v>
      </c>
      <c r="H7" s="19" t="s">
        <v>15</v>
      </c>
      <c r="I7" s="20" t="s">
        <v>16</v>
      </c>
      <c r="J7" s="21" t="s">
        <v>17</v>
      </c>
      <c r="M7">
        <v>67</v>
      </c>
      <c r="N7" s="136">
        <v>122</v>
      </c>
      <c r="O7">
        <f t="shared" si="0"/>
        <v>134</v>
      </c>
      <c r="Q7" s="137" t="s">
        <v>98</v>
      </c>
      <c r="R7" s="137"/>
      <c r="S7" s="137"/>
      <c r="T7" s="137">
        <v>191.4</v>
      </c>
      <c r="U7" s="137">
        <v>11800</v>
      </c>
      <c r="V7" s="137"/>
    </row>
    <row r="8" spans="1:35" x14ac:dyDescent="0.2">
      <c r="A8" s="14" t="s">
        <v>18</v>
      </c>
      <c r="B8" s="151"/>
      <c r="C8" s="151"/>
      <c r="D8" s="151"/>
      <c r="E8" s="152"/>
      <c r="F8" s="153"/>
      <c r="G8" s="154">
        <f>IF(OR(SUM(B8:E8)&gt;2,MIN(B8:E8)&lt;0),"Check",IF(E8&lt;&gt;"","Check",F8))</f>
        <v>0</v>
      </c>
      <c r="H8" s="22">
        <f t="shared" ref="H8:H18" si="1">INT(B8*$B$7+C8*$C$7+D8*$D$7+E8*$E$7+F8)</f>
        <v>0</v>
      </c>
      <c r="I8" s="23">
        <v>129</v>
      </c>
      <c r="J8" s="192">
        <f>(H8*I8/100)</f>
        <v>0</v>
      </c>
      <c r="M8">
        <v>134</v>
      </c>
      <c r="N8" s="136">
        <v>245</v>
      </c>
      <c r="O8">
        <f>M9</f>
        <v>201</v>
      </c>
      <c r="T8">
        <v>193.5</v>
      </c>
      <c r="U8">
        <v>12650</v>
      </c>
      <c r="AI8" t="s">
        <v>132</v>
      </c>
    </row>
    <row r="9" spans="1:35" x14ac:dyDescent="0.2">
      <c r="A9" s="15" t="s">
        <v>19</v>
      </c>
      <c r="B9" s="155"/>
      <c r="C9" s="156"/>
      <c r="D9" s="156"/>
      <c r="E9" s="157"/>
      <c r="F9" s="158"/>
      <c r="G9" s="159" t="str">
        <f>IF(OR(SUM(B9:E9)&gt;1,MIN(B9:E9)&lt;0),"Check",IF(E9&lt;&gt;0,"Chk Facing",IF(F9&gt;15,"Check","")))</f>
        <v/>
      </c>
      <c r="H9" s="22">
        <f t="shared" si="1"/>
        <v>0</v>
      </c>
      <c r="I9" s="23">
        <v>174</v>
      </c>
      <c r="J9" s="192">
        <f>(H9*I9/100)</f>
        <v>0</v>
      </c>
      <c r="M9">
        <v>201</v>
      </c>
      <c r="N9" s="136">
        <v>369</v>
      </c>
      <c r="O9">
        <f t="shared" si="0"/>
        <v>268</v>
      </c>
      <c r="Q9" s="137" t="str">
        <f>G35</f>
        <v>Ramp Fuel</v>
      </c>
      <c r="R9" s="138">
        <f>H35</f>
        <v>0</v>
      </c>
      <c r="T9">
        <v>196</v>
      </c>
      <c r="U9">
        <v>13670</v>
      </c>
    </row>
    <row r="10" spans="1:35" x14ac:dyDescent="0.2">
      <c r="A10" s="15" t="s">
        <v>93</v>
      </c>
      <c r="B10" s="155"/>
      <c r="C10" s="156"/>
      <c r="D10" s="156"/>
      <c r="E10" s="157"/>
      <c r="F10" s="160"/>
      <c r="G10" s="159" t="str">
        <f t="shared" ref="G10:G16" si="2">IF(OR(SUM(B10:E10)&gt;1,MIN(B10:E10)&lt;0),"Check",IF(E10&lt;&gt;0,"Chk Facing",IF(F10&gt;15,"Check","")))</f>
        <v/>
      </c>
      <c r="H10" s="22">
        <f t="shared" si="1"/>
        <v>0</v>
      </c>
      <c r="I10" s="23">
        <v>174</v>
      </c>
      <c r="J10" s="192">
        <f t="shared" ref="J10:J25" si="3">(H10*I10/100)</f>
        <v>0</v>
      </c>
      <c r="M10">
        <v>268</v>
      </c>
      <c r="N10" s="136">
        <v>493</v>
      </c>
      <c r="O10">
        <f t="shared" si="0"/>
        <v>335</v>
      </c>
      <c r="Q10" s="137" t="s">
        <v>99</v>
      </c>
      <c r="R10">
        <f>VLOOKUP(R9,$M$6:$O$63,1)</f>
        <v>0</v>
      </c>
      <c r="T10">
        <v>199.4</v>
      </c>
      <c r="U10">
        <v>15000</v>
      </c>
    </row>
    <row r="11" spans="1:35" x14ac:dyDescent="0.2">
      <c r="A11" s="15" t="s">
        <v>20</v>
      </c>
      <c r="B11" s="156"/>
      <c r="C11" s="156"/>
      <c r="D11" s="156"/>
      <c r="E11" s="160"/>
      <c r="F11" s="158"/>
      <c r="G11" s="159" t="str">
        <f t="shared" si="2"/>
        <v/>
      </c>
      <c r="H11" s="22">
        <f t="shared" si="1"/>
        <v>0</v>
      </c>
      <c r="I11" s="23">
        <v>216</v>
      </c>
      <c r="J11" s="192">
        <f t="shared" si="3"/>
        <v>0</v>
      </c>
      <c r="M11">
        <v>335</v>
      </c>
      <c r="N11" s="136">
        <v>618</v>
      </c>
      <c r="O11">
        <f t="shared" si="0"/>
        <v>402</v>
      </c>
      <c r="Q11" s="137" t="s">
        <v>101</v>
      </c>
      <c r="R11">
        <f>VLOOKUP(R10,$M$6:$N$63,2)</f>
        <v>0</v>
      </c>
      <c r="T11">
        <v>208</v>
      </c>
      <c r="U11">
        <v>15000</v>
      </c>
    </row>
    <row r="12" spans="1:35" x14ac:dyDescent="0.2">
      <c r="A12" s="15" t="s">
        <v>21</v>
      </c>
      <c r="B12" s="155"/>
      <c r="C12" s="156"/>
      <c r="D12" s="156"/>
      <c r="E12" s="160"/>
      <c r="F12" s="158"/>
      <c r="G12" s="159" t="str">
        <f t="shared" si="2"/>
        <v/>
      </c>
      <c r="H12" s="22">
        <f t="shared" si="1"/>
        <v>0</v>
      </c>
      <c r="I12" s="23">
        <v>216</v>
      </c>
      <c r="J12" s="192">
        <f t="shared" si="3"/>
        <v>0</v>
      </c>
      <c r="M12">
        <v>402</v>
      </c>
      <c r="N12" s="136">
        <v>743</v>
      </c>
      <c r="O12">
        <f t="shared" si="0"/>
        <v>469</v>
      </c>
      <c r="Q12" s="137" t="s">
        <v>100</v>
      </c>
      <c r="R12" s="138">
        <f>VLOOKUP(R9,$M$6:$O$63,3)</f>
        <v>67</v>
      </c>
      <c r="T12">
        <v>208</v>
      </c>
      <c r="U12">
        <v>9000</v>
      </c>
    </row>
    <row r="13" spans="1:35" x14ac:dyDescent="0.2">
      <c r="A13" s="15" t="s">
        <v>22</v>
      </c>
      <c r="B13" s="155"/>
      <c r="C13" s="156"/>
      <c r="D13" s="156"/>
      <c r="E13" s="157"/>
      <c r="F13" s="158"/>
      <c r="G13" s="159" t="str">
        <f t="shared" si="2"/>
        <v/>
      </c>
      <c r="H13" s="22">
        <f t="shared" si="1"/>
        <v>0</v>
      </c>
      <c r="I13" s="23">
        <v>247</v>
      </c>
      <c r="J13" s="192">
        <f t="shared" si="3"/>
        <v>0</v>
      </c>
      <c r="M13">
        <v>469</v>
      </c>
      <c r="N13" s="136">
        <v>877</v>
      </c>
      <c r="O13">
        <f t="shared" si="0"/>
        <v>536</v>
      </c>
      <c r="Q13" s="137" t="s">
        <v>102</v>
      </c>
      <c r="R13" s="138">
        <f>VLOOKUP(R12,$M$6:$N$63,2)</f>
        <v>122</v>
      </c>
    </row>
    <row r="14" spans="1:35" x14ac:dyDescent="0.2">
      <c r="A14" s="15" t="s">
        <v>23</v>
      </c>
      <c r="B14" s="155"/>
      <c r="C14" s="156"/>
      <c r="D14" s="156"/>
      <c r="E14" s="157"/>
      <c r="F14" s="158"/>
      <c r="G14" s="159" t="str">
        <f t="shared" si="2"/>
        <v/>
      </c>
      <c r="H14" s="22">
        <f t="shared" si="1"/>
        <v>0</v>
      </c>
      <c r="I14" s="23">
        <v>247</v>
      </c>
      <c r="J14" s="192">
        <f t="shared" si="3"/>
        <v>0</v>
      </c>
      <c r="K14" s="138"/>
      <c r="M14">
        <v>536</v>
      </c>
      <c r="N14" s="136">
        <v>1012</v>
      </c>
      <c r="O14">
        <f t="shared" si="0"/>
        <v>603</v>
      </c>
      <c r="Q14" s="137" t="s">
        <v>12</v>
      </c>
      <c r="R14">
        <f>R11+(R13-R11)*(R9-R10)/(R12-R10)</f>
        <v>0</v>
      </c>
    </row>
    <row r="15" spans="1:35" x14ac:dyDescent="0.2">
      <c r="A15" s="15" t="s">
        <v>111</v>
      </c>
      <c r="B15" s="155"/>
      <c r="C15" s="156"/>
      <c r="D15" s="156"/>
      <c r="E15" s="160"/>
      <c r="F15" s="158"/>
      <c r="G15" s="159" t="str">
        <f>IF(OR(SUM(B15:E15)&gt;1,MIN(B15:E15)&lt;0),"Check",IF(E15&lt;&gt;0,"Chk Facing",IF(F15&gt;15,"Check","")))</f>
        <v/>
      </c>
      <c r="H15" s="22">
        <f t="shared" si="1"/>
        <v>0</v>
      </c>
      <c r="I15" s="23">
        <v>292</v>
      </c>
      <c r="J15" s="192">
        <f t="shared" si="3"/>
        <v>0</v>
      </c>
      <c r="K15" s="138"/>
      <c r="M15">
        <v>603</v>
      </c>
      <c r="N15" s="136">
        <v>1148</v>
      </c>
      <c r="O15">
        <f>M17</f>
        <v>737</v>
      </c>
      <c r="Q15" s="137"/>
    </row>
    <row r="16" spans="1:35" x14ac:dyDescent="0.2">
      <c r="A16" s="15" t="s">
        <v>112</v>
      </c>
      <c r="B16" s="155"/>
      <c r="C16" s="156"/>
      <c r="D16" s="164"/>
      <c r="E16" s="157"/>
      <c r="F16" s="160"/>
      <c r="G16" s="159" t="str">
        <f t="shared" si="2"/>
        <v/>
      </c>
      <c r="H16" s="22">
        <f t="shared" ref="H16" si="4">INT(B16*$B$7+C16*$C$7+D16*$D$7+E16*$E$7+F16)</f>
        <v>0</v>
      </c>
      <c r="I16" s="23">
        <v>292</v>
      </c>
      <c r="J16" s="192">
        <f t="shared" si="3"/>
        <v>0</v>
      </c>
      <c r="M16" s="137">
        <v>670</v>
      </c>
      <c r="N16" s="143">
        <v>1285</v>
      </c>
      <c r="O16" s="143">
        <v>737</v>
      </c>
      <c r="Q16" s="137"/>
      <c r="T16" s="137"/>
    </row>
    <row r="17" spans="1:22" x14ac:dyDescent="0.2">
      <c r="A17" s="165" t="s">
        <v>116</v>
      </c>
      <c r="B17" s="188"/>
      <c r="C17" s="189"/>
      <c r="D17" s="190"/>
      <c r="E17" s="191"/>
      <c r="F17" s="170"/>
      <c r="G17" s="171" t="str">
        <f>IF(OR(B17&lt;&gt;0,C17&lt;&gt;0,D17&lt;&gt;0,E17&lt;&gt;0),"Check",IF(F17&gt;300,"Max 300lb ea.",""))</f>
        <v/>
      </c>
      <c r="H17" s="172">
        <f t="shared" si="1"/>
        <v>0</v>
      </c>
      <c r="I17" s="173">
        <v>220</v>
      </c>
      <c r="J17" s="193">
        <f t="shared" si="3"/>
        <v>0</v>
      </c>
      <c r="M17">
        <v>737</v>
      </c>
      <c r="N17" s="143">
        <v>1420</v>
      </c>
      <c r="O17" s="143">
        <v>804</v>
      </c>
      <c r="Q17" s="137"/>
      <c r="T17" s="137"/>
    </row>
    <row r="18" spans="1:22" ht="13.5" thickBot="1" x14ac:dyDescent="0.25">
      <c r="A18" s="15" t="s">
        <v>113</v>
      </c>
      <c r="B18" s="155"/>
      <c r="C18" s="156"/>
      <c r="D18" s="167"/>
      <c r="E18" s="161"/>
      <c r="F18" s="160"/>
      <c r="G18" s="169" t="str">
        <f>IF(OR(SUM(B18:C18)&gt;1,MIN(B18:F18)&lt;0,D18&lt;&gt;0,E18&lt;&gt;0),"Check",IF(F18&gt;15,"Check",""))</f>
        <v/>
      </c>
      <c r="H18" s="22">
        <f t="shared" si="1"/>
        <v>0</v>
      </c>
      <c r="I18" s="23">
        <v>327</v>
      </c>
      <c r="J18" s="192">
        <f t="shared" si="3"/>
        <v>0</v>
      </c>
      <c r="M18">
        <v>804</v>
      </c>
      <c r="N18" s="143">
        <v>1556</v>
      </c>
      <c r="O18">
        <v>871</v>
      </c>
      <c r="Q18" s="137"/>
      <c r="T18" s="137" t="s">
        <v>104</v>
      </c>
    </row>
    <row r="19" spans="1:22" ht="13.5" thickBot="1" x14ac:dyDescent="0.25">
      <c r="A19" s="86" t="s">
        <v>62</v>
      </c>
      <c r="B19" s="168"/>
      <c r="C19" s="89" t="s">
        <v>79</v>
      </c>
      <c r="D19" s="166"/>
      <c r="E19" s="82" t="s">
        <v>24</v>
      </c>
      <c r="F19" s="162"/>
      <c r="G19" s="163" t="str">
        <f>IF(F19&gt;550,"Check","Blk Bag 26")</f>
        <v>Blk Bag 26</v>
      </c>
      <c r="H19" s="19">
        <f t="shared" ref="H19:H25" si="5">INT(F19)</f>
        <v>0</v>
      </c>
      <c r="I19" s="20">
        <v>359</v>
      </c>
      <c r="J19" s="194">
        <f t="shared" si="3"/>
        <v>0</v>
      </c>
      <c r="M19">
        <v>871</v>
      </c>
      <c r="N19" s="143">
        <v>1692</v>
      </c>
      <c r="O19">
        <f t="shared" ref="O19:O59" si="6">M20</f>
        <v>938</v>
      </c>
      <c r="Q19" s="137" t="str">
        <f>G37</f>
        <v>Takeoff Fuel</v>
      </c>
      <c r="R19" s="138">
        <f>H37</f>
        <v>0</v>
      </c>
      <c r="T19" s="105">
        <f>F53</f>
        <v>203.1011137803014</v>
      </c>
      <c r="U19" s="138">
        <f>C53</f>
        <v>10073.799999999999</v>
      </c>
      <c r="V19" s="137" t="s">
        <v>106</v>
      </c>
    </row>
    <row r="20" spans="1:22" x14ac:dyDescent="0.2">
      <c r="A20" s="178" t="s">
        <v>88</v>
      </c>
      <c r="B20" s="182"/>
      <c r="C20" s="182"/>
      <c r="D20" s="87"/>
      <c r="E20" s="183" t="s">
        <v>25</v>
      </c>
      <c r="F20" s="158"/>
      <c r="G20" s="221" t="s">
        <v>131</v>
      </c>
      <c r="H20" s="22">
        <f t="shared" si="5"/>
        <v>0</v>
      </c>
      <c r="I20" s="23">
        <v>148</v>
      </c>
      <c r="J20" s="192">
        <f t="shared" si="3"/>
        <v>0</v>
      </c>
      <c r="M20">
        <v>938</v>
      </c>
      <c r="N20" s="143">
        <v>1830</v>
      </c>
      <c r="O20">
        <f t="shared" si="6"/>
        <v>1005</v>
      </c>
      <c r="Q20" s="137" t="s">
        <v>99</v>
      </c>
      <c r="R20">
        <f>VLOOKUP(R19,$M$6:$O$63,1)</f>
        <v>0</v>
      </c>
      <c r="T20" s="105">
        <f>F57</f>
        <v>203.1011137803014</v>
      </c>
      <c r="U20" s="138">
        <f>C57</f>
        <v>10073.799999999999</v>
      </c>
      <c r="V20" s="137" t="s">
        <v>107</v>
      </c>
    </row>
    <row r="21" spans="1:22" x14ac:dyDescent="0.2">
      <c r="A21" s="179" t="s">
        <v>72</v>
      </c>
      <c r="B21" s="184"/>
      <c r="C21" s="85"/>
      <c r="D21" s="112" t="s">
        <v>74</v>
      </c>
      <c r="E21" s="185" t="s">
        <v>123</v>
      </c>
      <c r="F21" s="158"/>
      <c r="G21" s="222"/>
      <c r="H21" s="22">
        <f t="shared" si="5"/>
        <v>0</v>
      </c>
      <c r="I21" s="23">
        <v>155</v>
      </c>
      <c r="J21" s="192">
        <f t="shared" si="3"/>
        <v>0</v>
      </c>
      <c r="M21">
        <v>1005</v>
      </c>
      <c r="N21" s="143">
        <v>1966</v>
      </c>
      <c r="O21">
        <f t="shared" si="6"/>
        <v>1072</v>
      </c>
      <c r="Q21" s="137" t="s">
        <v>101</v>
      </c>
      <c r="R21">
        <f>VLOOKUP(R20,$M$6:$N$63,2)</f>
        <v>0</v>
      </c>
      <c r="T21" s="105">
        <f>F55</f>
        <v>203.1011137803014</v>
      </c>
      <c r="U21" s="138">
        <f>C55</f>
        <v>10073.799999999999</v>
      </c>
      <c r="V21" s="137" t="s">
        <v>108</v>
      </c>
    </row>
    <row r="22" spans="1:22" x14ac:dyDescent="0.2">
      <c r="A22" s="175" t="s">
        <v>128</v>
      </c>
      <c r="B22" s="184"/>
      <c r="C22" s="85"/>
      <c r="D22" s="176" t="s">
        <v>76</v>
      </c>
      <c r="E22" s="185" t="s">
        <v>26</v>
      </c>
      <c r="F22" s="158"/>
      <c r="G22" s="222"/>
      <c r="H22" s="22">
        <f t="shared" si="5"/>
        <v>0</v>
      </c>
      <c r="I22" s="23">
        <v>156</v>
      </c>
      <c r="J22" s="192">
        <f t="shared" si="3"/>
        <v>0</v>
      </c>
      <c r="M22">
        <v>1072</v>
      </c>
      <c r="N22" s="143">
        <v>2098</v>
      </c>
      <c r="O22">
        <f t="shared" si="6"/>
        <v>1139</v>
      </c>
      <c r="Q22" s="137" t="s">
        <v>100</v>
      </c>
      <c r="R22" s="138">
        <f>VLOOKUP(R19,$M$6:$O$63,3)</f>
        <v>67</v>
      </c>
    </row>
    <row r="23" spans="1:22" x14ac:dyDescent="0.2">
      <c r="A23" s="175" t="s">
        <v>129</v>
      </c>
      <c r="B23" s="184"/>
      <c r="C23" s="85"/>
      <c r="D23" s="177" t="s">
        <v>78</v>
      </c>
      <c r="E23" s="185" t="s">
        <v>124</v>
      </c>
      <c r="F23" s="158"/>
      <c r="G23" s="222"/>
      <c r="H23" s="22">
        <f t="shared" si="5"/>
        <v>0</v>
      </c>
      <c r="I23" s="23">
        <v>156</v>
      </c>
      <c r="J23" s="192">
        <f t="shared" si="3"/>
        <v>0</v>
      </c>
      <c r="M23">
        <v>1139</v>
      </c>
      <c r="N23" s="143">
        <v>2231</v>
      </c>
      <c r="O23">
        <f t="shared" si="6"/>
        <v>1206</v>
      </c>
      <c r="Q23" s="137" t="s">
        <v>102</v>
      </c>
      <c r="R23" s="138">
        <f>VLOOKUP(R22,$M$6:$N$63,2)</f>
        <v>122</v>
      </c>
    </row>
    <row r="24" spans="1:22" x14ac:dyDescent="0.2">
      <c r="A24" s="179" t="s">
        <v>71</v>
      </c>
      <c r="B24" s="184"/>
      <c r="C24" s="85"/>
      <c r="D24" s="112" t="s">
        <v>73</v>
      </c>
      <c r="E24" s="185" t="s">
        <v>115</v>
      </c>
      <c r="F24" s="158"/>
      <c r="G24" s="94"/>
      <c r="H24" s="22">
        <f t="shared" si="5"/>
        <v>0</v>
      </c>
      <c r="I24" s="23">
        <v>232</v>
      </c>
      <c r="J24" s="192">
        <f t="shared" si="3"/>
        <v>0</v>
      </c>
      <c r="M24">
        <v>1206</v>
      </c>
      <c r="N24" s="143">
        <v>2363</v>
      </c>
      <c r="O24">
        <f t="shared" si="6"/>
        <v>1273</v>
      </c>
      <c r="Q24" s="137" t="s">
        <v>12</v>
      </c>
      <c r="R24">
        <f>R21+(R23-R21)*(R19-R20)/(R22-R20)</f>
        <v>0</v>
      </c>
    </row>
    <row r="25" spans="1:22" ht="13.5" thickBot="1" x14ac:dyDescent="0.25">
      <c r="A25" s="179" t="s">
        <v>63</v>
      </c>
      <c r="B25" s="184"/>
      <c r="C25" s="85"/>
      <c r="D25" s="112" t="s">
        <v>77</v>
      </c>
      <c r="E25" s="82" t="s">
        <v>27</v>
      </c>
      <c r="F25" s="162"/>
      <c r="G25" s="94"/>
      <c r="H25" s="22">
        <f t="shared" si="5"/>
        <v>0</v>
      </c>
      <c r="I25" s="23">
        <v>309</v>
      </c>
      <c r="J25" s="192">
        <f t="shared" si="3"/>
        <v>0</v>
      </c>
      <c r="M25">
        <v>1273</v>
      </c>
      <c r="N25" s="143">
        <v>2495</v>
      </c>
      <c r="O25">
        <f t="shared" si="6"/>
        <v>1340</v>
      </c>
    </row>
    <row r="26" spans="1:22" x14ac:dyDescent="0.2">
      <c r="A26" s="179" t="s">
        <v>83</v>
      </c>
      <c r="B26" s="184"/>
      <c r="C26" s="85"/>
      <c r="D26" s="112" t="s">
        <v>84</v>
      </c>
      <c r="E26" s="184"/>
      <c r="F26" s="226" t="s">
        <v>28</v>
      </c>
      <c r="G26" s="227"/>
      <c r="H26" s="79"/>
      <c r="I26" s="196"/>
      <c r="J26" s="204">
        <f>(H26*I26/100)</f>
        <v>0</v>
      </c>
      <c r="K26" s="199" t="str">
        <f>IF(I26&gt;359,"arm too large",IF(I26="","",IF(I26&lt;129,"arm too small",)))</f>
        <v/>
      </c>
      <c r="M26">
        <v>1340</v>
      </c>
      <c r="N26" s="143">
        <v>2629</v>
      </c>
      <c r="O26">
        <f t="shared" si="6"/>
        <v>1407</v>
      </c>
      <c r="Q26" s="137" t="str">
        <f>G39</f>
        <v>Landing Fuel</v>
      </c>
      <c r="R26" s="138">
        <f>H39</f>
        <v>0</v>
      </c>
      <c r="S26">
        <v>26</v>
      </c>
    </row>
    <row r="27" spans="1:22" x14ac:dyDescent="0.2">
      <c r="A27" s="179" t="s">
        <v>86</v>
      </c>
      <c r="B27" s="184"/>
      <c r="C27" s="85"/>
      <c r="D27" s="112" t="s">
        <v>81</v>
      </c>
      <c r="E27" s="184"/>
      <c r="F27" s="228" t="s">
        <v>109</v>
      </c>
      <c r="G27" s="229"/>
      <c r="H27" s="80"/>
      <c r="I27" s="197"/>
      <c r="J27" s="205">
        <f t="shared" ref="J27:J33" si="7">(H27*I27/100)</f>
        <v>0</v>
      </c>
      <c r="K27" s="200" t="str">
        <f t="shared" ref="K27:K33" si="8">IF(I27&gt;359,"arm too large",IF(I27="","",IF(I27&lt;129,"arm too small",)))</f>
        <v/>
      </c>
      <c r="M27">
        <v>1407</v>
      </c>
      <c r="N27" s="143">
        <v>2771</v>
      </c>
      <c r="O27">
        <f t="shared" si="6"/>
        <v>1474</v>
      </c>
      <c r="Q27" s="137" t="s">
        <v>99</v>
      </c>
      <c r="R27">
        <f>VLOOKUP(R26,$M$6:$O$63,1)</f>
        <v>0</v>
      </c>
      <c r="S27">
        <v>27</v>
      </c>
    </row>
    <row r="28" spans="1:22" x14ac:dyDescent="0.2">
      <c r="A28" s="175" t="s">
        <v>130</v>
      </c>
      <c r="B28" s="184"/>
      <c r="C28" s="85"/>
      <c r="D28" s="112" t="s">
        <v>125</v>
      </c>
      <c r="E28" s="184"/>
      <c r="F28" s="184"/>
      <c r="G28" s="185" t="s">
        <v>110</v>
      </c>
      <c r="H28" s="80"/>
      <c r="I28" s="197"/>
      <c r="J28" s="205">
        <f t="shared" si="7"/>
        <v>0</v>
      </c>
      <c r="K28" s="200" t="str">
        <f t="shared" si="8"/>
        <v/>
      </c>
      <c r="M28">
        <v>1474</v>
      </c>
      <c r="N28" s="143">
        <v>2905</v>
      </c>
      <c r="O28">
        <f t="shared" si="6"/>
        <v>1541</v>
      </c>
      <c r="Q28" s="137" t="s">
        <v>101</v>
      </c>
      <c r="R28">
        <f>VLOOKUP(R27,$M$6:$N$63,2)</f>
        <v>0</v>
      </c>
      <c r="S28">
        <v>28</v>
      </c>
    </row>
    <row r="29" spans="1:22" x14ac:dyDescent="0.2">
      <c r="A29" s="175" t="s">
        <v>126</v>
      </c>
      <c r="B29" s="184"/>
      <c r="C29" s="85"/>
      <c r="D29" s="112"/>
      <c r="E29" s="85" t="s">
        <v>80</v>
      </c>
      <c r="F29" s="184"/>
      <c r="G29" s="185"/>
      <c r="H29" s="80"/>
      <c r="I29" s="197"/>
      <c r="J29" s="205">
        <f t="shared" si="7"/>
        <v>0</v>
      </c>
      <c r="K29" s="200" t="str">
        <f t="shared" si="8"/>
        <v/>
      </c>
      <c r="M29">
        <v>1541</v>
      </c>
      <c r="N29" s="143">
        <v>3042</v>
      </c>
      <c r="O29">
        <f t="shared" si="6"/>
        <v>1608</v>
      </c>
      <c r="Q29" s="137" t="s">
        <v>100</v>
      </c>
      <c r="R29" s="138">
        <f>VLOOKUP(R26,$M$6:$O$63,3)</f>
        <v>67</v>
      </c>
      <c r="S29">
        <v>29</v>
      </c>
    </row>
    <row r="30" spans="1:22" x14ac:dyDescent="0.2">
      <c r="A30" s="175" t="s">
        <v>127</v>
      </c>
      <c r="B30" s="184"/>
      <c r="C30" s="85"/>
      <c r="D30" s="112"/>
      <c r="E30" s="85" t="s">
        <v>87</v>
      </c>
      <c r="F30" s="184" t="s">
        <v>81</v>
      </c>
      <c r="G30" s="185"/>
      <c r="H30" s="80"/>
      <c r="I30" s="197"/>
      <c r="J30" s="205">
        <f t="shared" si="7"/>
        <v>0</v>
      </c>
      <c r="K30" s="200" t="str">
        <f t="shared" si="8"/>
        <v/>
      </c>
      <c r="M30">
        <v>1608</v>
      </c>
      <c r="N30" s="143">
        <v>3174</v>
      </c>
      <c r="O30">
        <f t="shared" si="6"/>
        <v>1675</v>
      </c>
      <c r="Q30" s="137" t="s">
        <v>102</v>
      </c>
      <c r="R30" s="138">
        <f>VLOOKUP(R29,$M$6:$N$63,2)</f>
        <v>122</v>
      </c>
      <c r="S30">
        <v>30</v>
      </c>
    </row>
    <row r="31" spans="1:22" x14ac:dyDescent="0.2">
      <c r="A31" s="179" t="s">
        <v>64</v>
      </c>
      <c r="B31" s="184"/>
      <c r="C31" s="85"/>
      <c r="D31" s="112" t="s">
        <v>78</v>
      </c>
      <c r="E31" s="85" t="s">
        <v>85</v>
      </c>
      <c r="F31" s="174" t="s">
        <v>82</v>
      </c>
      <c r="G31" s="185"/>
      <c r="H31" s="80"/>
      <c r="I31" s="197"/>
      <c r="J31" s="205">
        <f t="shared" si="7"/>
        <v>0</v>
      </c>
      <c r="K31" s="200" t="str">
        <f t="shared" si="8"/>
        <v/>
      </c>
      <c r="M31">
        <v>1675</v>
      </c>
      <c r="N31" s="143">
        <v>3304</v>
      </c>
      <c r="O31">
        <f t="shared" si="6"/>
        <v>1742</v>
      </c>
      <c r="Q31" s="137" t="s">
        <v>12</v>
      </c>
      <c r="R31">
        <f>R28+(R30-R28)*(R26-R27)/(R29-R27)</f>
        <v>0</v>
      </c>
    </row>
    <row r="32" spans="1:22" x14ac:dyDescent="0.2">
      <c r="A32" s="179" t="s">
        <v>70</v>
      </c>
      <c r="B32" s="184"/>
      <c r="C32" s="85"/>
      <c r="D32" s="112" t="s">
        <v>75</v>
      </c>
      <c r="E32" s="85" t="s">
        <v>118</v>
      </c>
      <c r="F32" s="184" t="s">
        <v>117</v>
      </c>
      <c r="G32" s="180"/>
      <c r="H32" s="80"/>
      <c r="I32" s="197"/>
      <c r="J32" s="205">
        <f t="shared" si="7"/>
        <v>0</v>
      </c>
      <c r="K32" s="200" t="str">
        <f t="shared" si="8"/>
        <v/>
      </c>
      <c r="M32">
        <v>1742</v>
      </c>
      <c r="N32" s="143">
        <v>3437</v>
      </c>
      <c r="O32">
        <f t="shared" si="6"/>
        <v>1809</v>
      </c>
    </row>
    <row r="33" spans="1:19" ht="13.5" thickBot="1" x14ac:dyDescent="0.25">
      <c r="A33" s="181" t="s">
        <v>94</v>
      </c>
      <c r="B33" s="25"/>
      <c r="C33" s="25"/>
      <c r="D33" s="88" t="s">
        <v>95</v>
      </c>
      <c r="E33" s="103"/>
      <c r="F33" s="25"/>
      <c r="G33" s="82"/>
      <c r="H33" s="81"/>
      <c r="I33" s="198"/>
      <c r="J33" s="206">
        <f t="shared" si="7"/>
        <v>0</v>
      </c>
      <c r="K33" s="201" t="str">
        <f t="shared" si="8"/>
        <v/>
      </c>
      <c r="M33">
        <v>1809</v>
      </c>
      <c r="N33" s="143">
        <v>3570</v>
      </c>
      <c r="O33">
        <f t="shared" si="6"/>
        <v>1876</v>
      </c>
    </row>
    <row r="34" spans="1:19" ht="13.5" thickBot="1" x14ac:dyDescent="0.25">
      <c r="A34" s="76"/>
      <c r="B34" s="75"/>
      <c r="C34" s="90" t="s">
        <v>29</v>
      </c>
      <c r="D34" s="77">
        <f>INT(MIN(15000-H38,12500-H34))</f>
        <v>2426</v>
      </c>
      <c r="E34" s="96"/>
      <c r="F34" s="95"/>
      <c r="G34" s="83" t="s">
        <v>30</v>
      </c>
      <c r="H34" s="78">
        <f>SUM(H5:H33)</f>
        <v>10073.799999999999</v>
      </c>
      <c r="I34" s="20">
        <f>J34*100/H34</f>
        <v>203.1011137803014</v>
      </c>
      <c r="J34" s="203">
        <f>SUM(J5:J33)</f>
        <v>20460</v>
      </c>
      <c r="M34">
        <v>1876</v>
      </c>
      <c r="N34" s="143">
        <v>3703</v>
      </c>
      <c r="O34">
        <f t="shared" si="6"/>
        <v>1943</v>
      </c>
    </row>
    <row r="35" spans="1:19" x14ac:dyDescent="0.2">
      <c r="A35" s="16" t="s">
        <v>31</v>
      </c>
      <c r="B35" s="6"/>
      <c r="C35" s="123" t="str">
        <f>IF(OR(B35&lt;700,B35&gt;3600),"Check","")</f>
        <v>Check</v>
      </c>
      <c r="D35" s="26"/>
      <c r="E35" s="98"/>
      <c r="F35" s="97"/>
      <c r="G35" s="101" t="s">
        <v>31</v>
      </c>
      <c r="H35" s="27">
        <f>B35</f>
        <v>0</v>
      </c>
      <c r="I35" s="28" t="e">
        <f>J35*100/H35</f>
        <v>#DIV/0!</v>
      </c>
      <c r="J35" s="202">
        <f>R14</f>
        <v>0</v>
      </c>
      <c r="L35" s="141"/>
      <c r="M35">
        <v>1943</v>
      </c>
      <c r="N35" s="143">
        <v>3841</v>
      </c>
      <c r="O35">
        <f t="shared" si="6"/>
        <v>2010</v>
      </c>
    </row>
    <row r="36" spans="1:19" ht="13.5" thickBot="1" x14ac:dyDescent="0.25">
      <c r="A36" s="17"/>
      <c r="B36" s="36"/>
      <c r="C36" s="29"/>
      <c r="D36" s="30"/>
      <c r="E36" s="100"/>
      <c r="F36" s="99"/>
      <c r="G36" s="84" t="s">
        <v>32</v>
      </c>
      <c r="H36" s="31">
        <f>SUM(H34:H35)</f>
        <v>10073.799999999999</v>
      </c>
      <c r="I36" s="32">
        <f t="shared" ref="I36:I40" si="9">J36*100/H36</f>
        <v>203.1011137803014</v>
      </c>
      <c r="J36" s="139">
        <f>SUM(J34:J35)</f>
        <v>20460</v>
      </c>
      <c r="M36">
        <v>2010</v>
      </c>
      <c r="N36" s="143">
        <v>3977</v>
      </c>
      <c r="O36">
        <f t="shared" si="6"/>
        <v>2077</v>
      </c>
      <c r="S36" s="105"/>
    </row>
    <row r="37" spans="1:19" x14ac:dyDescent="0.2">
      <c r="A37" s="16" t="s">
        <v>33</v>
      </c>
      <c r="B37" s="7"/>
      <c r="C37" s="123" t="str">
        <f>IF(OR(B37&lt;100,B37&gt;200),"Check","")</f>
        <v>Check</v>
      </c>
      <c r="D37" s="26"/>
      <c r="E37" s="98"/>
      <c r="F37" s="97"/>
      <c r="G37" s="101" t="s">
        <v>34</v>
      </c>
      <c r="H37" s="27">
        <f>H35-B37</f>
        <v>0</v>
      </c>
      <c r="I37" s="28" t="e">
        <f t="shared" si="9"/>
        <v>#DIV/0!</v>
      </c>
      <c r="J37" s="140">
        <f>R24</f>
        <v>0</v>
      </c>
      <c r="M37">
        <v>2077</v>
      </c>
      <c r="N37" s="143">
        <v>4115</v>
      </c>
      <c r="O37">
        <f t="shared" si="6"/>
        <v>2144</v>
      </c>
    </row>
    <row r="38" spans="1:19" ht="13.5" thickBot="1" x14ac:dyDescent="0.25">
      <c r="A38" s="17"/>
      <c r="B38" s="29"/>
      <c r="C38" s="25"/>
      <c r="D38" s="33"/>
      <c r="E38" s="100"/>
      <c r="F38" s="99"/>
      <c r="G38" s="84" t="s">
        <v>35</v>
      </c>
      <c r="H38" s="31">
        <f>H34+H37</f>
        <v>10073.799999999999</v>
      </c>
      <c r="I38" s="32">
        <f t="shared" si="9"/>
        <v>203.1011137803014</v>
      </c>
      <c r="J38" s="139">
        <f>J34+J37</f>
        <v>20460</v>
      </c>
      <c r="M38">
        <v>2144</v>
      </c>
      <c r="N38" s="143">
        <v>4249</v>
      </c>
      <c r="O38">
        <f t="shared" si="6"/>
        <v>2211</v>
      </c>
    </row>
    <row r="39" spans="1:19" x14ac:dyDescent="0.2">
      <c r="A39" s="18" t="s">
        <v>36</v>
      </c>
      <c r="B39" s="7"/>
      <c r="C39" s="122" t="str">
        <f>IF(H39&lt;100,"No Fuel",IF(H39&lt;500,"Reserves",""))</f>
        <v>No Fuel</v>
      </c>
      <c r="D39" s="34"/>
      <c r="E39" s="98"/>
      <c r="F39" s="97"/>
      <c r="G39" s="101" t="s">
        <v>37</v>
      </c>
      <c r="H39" s="35">
        <f>H37-B39</f>
        <v>0</v>
      </c>
      <c r="I39" s="28" t="e">
        <f t="shared" si="9"/>
        <v>#DIV/0!</v>
      </c>
      <c r="J39" s="140">
        <f>R31</f>
        <v>0</v>
      </c>
      <c r="M39">
        <v>2211</v>
      </c>
      <c r="N39" s="143">
        <v>4386</v>
      </c>
      <c r="O39">
        <f t="shared" si="6"/>
        <v>2278</v>
      </c>
    </row>
    <row r="40" spans="1:19" ht="13.5" thickBot="1" x14ac:dyDescent="0.25">
      <c r="A40" s="17"/>
      <c r="B40" s="29"/>
      <c r="C40" s="29"/>
      <c r="D40" s="30"/>
      <c r="E40" s="100"/>
      <c r="F40" s="99"/>
      <c r="G40" s="84" t="s">
        <v>38</v>
      </c>
      <c r="H40" s="31">
        <f>H34+H39</f>
        <v>10073.799999999999</v>
      </c>
      <c r="I40" s="32">
        <f t="shared" si="9"/>
        <v>203.1011137803014</v>
      </c>
      <c r="J40" s="139">
        <f>J34+J39</f>
        <v>20460</v>
      </c>
      <c r="M40">
        <v>2278</v>
      </c>
      <c r="N40" s="143">
        <v>4521</v>
      </c>
      <c r="O40">
        <f t="shared" si="6"/>
        <v>2345</v>
      </c>
    </row>
    <row r="41" spans="1:19" ht="13.5" thickBot="1" x14ac:dyDescent="0.25">
      <c r="A41" s="4"/>
      <c r="B41" s="4"/>
      <c r="C41" s="4"/>
      <c r="D41" s="4"/>
      <c r="E41" s="56"/>
      <c r="F41" s="56"/>
      <c r="G41" s="56"/>
      <c r="H41" s="72"/>
      <c r="I41" s="73"/>
      <c r="J41" s="74"/>
      <c r="M41">
        <v>2345</v>
      </c>
      <c r="N41" s="143">
        <v>4660</v>
      </c>
      <c r="O41">
        <f t="shared" si="6"/>
        <v>2412</v>
      </c>
    </row>
    <row r="42" spans="1:19" x14ac:dyDescent="0.2">
      <c r="A42" s="207" t="s">
        <v>59</v>
      </c>
      <c r="B42" s="208"/>
      <c r="C42" s="144">
        <v>2353</v>
      </c>
      <c r="D42" s="132">
        <v>2351</v>
      </c>
      <c r="E42" s="132"/>
      <c r="F42" s="132"/>
      <c r="G42" s="132"/>
      <c r="H42" s="133"/>
      <c r="I42" s="132"/>
      <c r="J42" s="134"/>
      <c r="M42">
        <v>2412</v>
      </c>
      <c r="N42" s="143">
        <v>4798</v>
      </c>
      <c r="O42">
        <f t="shared" si="6"/>
        <v>2479</v>
      </c>
    </row>
    <row r="43" spans="1:19" ht="12" customHeight="1" x14ac:dyDescent="0.2">
      <c r="A43" s="209" t="s">
        <v>60</v>
      </c>
      <c r="B43" s="210"/>
      <c r="C43" s="124">
        <v>10073.799999999999</v>
      </c>
      <c r="D43" s="124">
        <v>10084.06</v>
      </c>
      <c r="E43" s="124"/>
      <c r="F43" s="124"/>
      <c r="G43" s="125"/>
      <c r="H43" s="125"/>
      <c r="I43" s="126"/>
      <c r="J43" s="127"/>
      <c r="M43">
        <v>2479</v>
      </c>
      <c r="N43" s="143">
        <v>4938</v>
      </c>
      <c r="O43">
        <f t="shared" si="6"/>
        <v>2546</v>
      </c>
    </row>
    <row r="44" spans="1:19" ht="12" customHeight="1" thickBot="1" x14ac:dyDescent="0.25">
      <c r="A44" s="211" t="s">
        <v>61</v>
      </c>
      <c r="B44" s="212"/>
      <c r="C44" s="128">
        <v>203.1</v>
      </c>
      <c r="D44" s="128">
        <v>203.97</v>
      </c>
      <c r="E44" s="128"/>
      <c r="F44" s="128"/>
      <c r="G44" s="129"/>
      <c r="H44" s="129"/>
      <c r="I44" s="130"/>
      <c r="J44" s="131"/>
      <c r="M44">
        <v>2546</v>
      </c>
      <c r="N44" s="143">
        <v>5082</v>
      </c>
      <c r="O44">
        <f t="shared" si="6"/>
        <v>2613</v>
      </c>
    </row>
    <row r="45" spans="1:19" ht="12" customHeight="1" thickBot="1" x14ac:dyDescent="0.25">
      <c r="A45" s="1"/>
      <c r="B45" s="1"/>
      <c r="C45" s="1"/>
      <c r="D45" s="1"/>
      <c r="E45" s="1"/>
      <c r="F45" s="1"/>
      <c r="G45" s="1"/>
      <c r="H45" s="1"/>
      <c r="I45" s="1"/>
      <c r="J45" s="1"/>
      <c r="M45">
        <v>2613</v>
      </c>
      <c r="N45" s="143">
        <v>5224</v>
      </c>
      <c r="O45">
        <f t="shared" si="6"/>
        <v>2680</v>
      </c>
    </row>
    <row r="46" spans="1:19" ht="33.75" customHeight="1" x14ac:dyDescent="0.3">
      <c r="A46" s="51"/>
      <c r="B46" s="52"/>
      <c r="C46" s="52"/>
      <c r="D46" s="54"/>
      <c r="E46" s="2" t="s">
        <v>39</v>
      </c>
      <c r="F46" s="52"/>
      <c r="G46" s="52"/>
      <c r="H46" s="52"/>
      <c r="I46" s="52"/>
      <c r="J46" s="55"/>
      <c r="M46">
        <v>2680</v>
      </c>
      <c r="N46" s="143">
        <v>5368</v>
      </c>
      <c r="O46">
        <f t="shared" si="6"/>
        <v>2747</v>
      </c>
    </row>
    <row r="47" spans="1:19" ht="12.75" customHeight="1" x14ac:dyDescent="0.2">
      <c r="A47" s="41"/>
      <c r="B47" s="3"/>
      <c r="C47" s="3"/>
      <c r="D47" s="3"/>
      <c r="E47" s="3"/>
      <c r="F47" s="3"/>
      <c r="G47" s="3"/>
      <c r="H47" s="3"/>
      <c r="I47" s="3"/>
      <c r="J47" s="42"/>
      <c r="M47">
        <v>2747</v>
      </c>
      <c r="N47" s="143">
        <v>5516</v>
      </c>
      <c r="O47">
        <f t="shared" si="6"/>
        <v>2814</v>
      </c>
    </row>
    <row r="48" spans="1:19" x14ac:dyDescent="0.2">
      <c r="A48" s="41"/>
      <c r="B48" s="3" t="s">
        <v>46</v>
      </c>
      <c r="C48" s="234" t="s">
        <v>1</v>
      </c>
      <c r="D48" s="236"/>
      <c r="E48" s="186" t="s">
        <v>48</v>
      </c>
      <c r="F48" s="234" t="s">
        <v>49</v>
      </c>
      <c r="G48" s="234"/>
      <c r="H48" s="186" t="s">
        <v>50</v>
      </c>
      <c r="I48" s="5"/>
      <c r="J48" s="42"/>
      <c r="M48">
        <v>2814</v>
      </c>
      <c r="N48">
        <v>5662</v>
      </c>
      <c r="O48">
        <f t="shared" si="6"/>
        <v>2881</v>
      </c>
    </row>
    <row r="49" spans="1:15" ht="20.25" x14ac:dyDescent="0.3">
      <c r="A49" s="53" t="s">
        <v>4</v>
      </c>
      <c r="B49" s="40">
        <f>B5</f>
        <v>2353</v>
      </c>
      <c r="C49" s="237">
        <f ca="1">A5</f>
        <v>43641</v>
      </c>
      <c r="D49" s="238"/>
      <c r="E49" s="187">
        <f>SUM(B8:C8)</f>
        <v>0</v>
      </c>
      <c r="F49" s="235">
        <f>H49-E49</f>
        <v>0</v>
      </c>
      <c r="G49" s="235"/>
      <c r="H49" s="39">
        <f>SUM(B8:E18)+B19</f>
        <v>0</v>
      </c>
      <c r="I49" s="40" t="s">
        <v>40</v>
      </c>
      <c r="J49" s="118" t="str">
        <f>IF(OR(H49&lt;1,H49&gt;10,G8="Check",G9="Check",G10="Check",G11="Check",G12="Check",G13="Check",G14="Check",G18="Check"),"Check","")</f>
        <v>Check</v>
      </c>
      <c r="M49">
        <v>2881</v>
      </c>
      <c r="N49">
        <v>5808</v>
      </c>
      <c r="O49">
        <f t="shared" si="6"/>
        <v>2948</v>
      </c>
    </row>
    <row r="50" spans="1:15" x14ac:dyDescent="0.2">
      <c r="A50" s="41"/>
      <c r="B50" s="117" t="str">
        <f>IF(H5="ACFT","Aircraft Number","")</f>
        <v/>
      </c>
      <c r="C50" s="3"/>
      <c r="D50" s="3"/>
      <c r="E50" s="5"/>
      <c r="F50" s="5"/>
      <c r="G50" s="5"/>
      <c r="H50" s="5"/>
      <c r="I50" s="5"/>
      <c r="J50" s="119"/>
      <c r="M50">
        <v>2948</v>
      </c>
      <c r="N50">
        <v>5953</v>
      </c>
      <c r="O50">
        <f t="shared" si="6"/>
        <v>3015</v>
      </c>
    </row>
    <row r="51" spans="1:15" x14ac:dyDescent="0.2">
      <c r="A51" s="41"/>
      <c r="B51" s="3"/>
      <c r="C51" s="43" t="s">
        <v>41</v>
      </c>
      <c r="D51" s="3"/>
      <c r="E51" s="91" t="s">
        <v>42</v>
      </c>
      <c r="F51" s="234" t="s">
        <v>43</v>
      </c>
      <c r="G51" s="234"/>
      <c r="H51" s="186" t="s">
        <v>44</v>
      </c>
      <c r="I51" s="91" t="s">
        <v>45</v>
      </c>
      <c r="J51" s="119"/>
      <c r="M51">
        <v>3015</v>
      </c>
      <c r="N51">
        <v>6100</v>
      </c>
      <c r="O51">
        <f t="shared" si="6"/>
        <v>3082</v>
      </c>
    </row>
    <row r="52" spans="1:15" x14ac:dyDescent="0.2">
      <c r="A52" s="41"/>
      <c r="B52" s="3"/>
      <c r="C52" s="110" t="s">
        <v>91</v>
      </c>
      <c r="D52" s="107"/>
      <c r="E52" s="111" t="s">
        <v>90</v>
      </c>
      <c r="F52" s="108" t="s">
        <v>90</v>
      </c>
      <c r="G52" s="108" t="s">
        <v>89</v>
      </c>
      <c r="H52" s="108" t="s">
        <v>92</v>
      </c>
      <c r="I52" s="111" t="s">
        <v>90</v>
      </c>
      <c r="J52" s="119"/>
      <c r="M52">
        <v>3082</v>
      </c>
      <c r="N52">
        <v>6248</v>
      </c>
      <c r="O52">
        <f t="shared" si="6"/>
        <v>3149</v>
      </c>
    </row>
    <row r="53" spans="1:15" ht="18" customHeight="1" x14ac:dyDescent="0.3">
      <c r="A53" s="41"/>
      <c r="B53" s="43" t="s">
        <v>30</v>
      </c>
      <c r="C53" s="44">
        <f>H34</f>
        <v>10073.799999999999</v>
      </c>
      <c r="D53" s="93" t="str">
        <f>IF(C53&gt;12500,"Exceeded","")</f>
        <v/>
      </c>
      <c r="E53" s="92">
        <f>IF(C53&lt;11800,191.4,191.4+(C53-11800)*8/3200)</f>
        <v>191.4</v>
      </c>
      <c r="F53" s="104">
        <f>I34</f>
        <v>203.1011137803014</v>
      </c>
      <c r="G53" s="104">
        <f>(F53-171.23)*100/70.23</f>
        <v>45.381053367935941</v>
      </c>
      <c r="H53" s="46">
        <f>(F53-E53)/(I53-E53)</f>
        <v>0.70488637230731332</v>
      </c>
      <c r="I53" s="92">
        <v>208</v>
      </c>
      <c r="J53" s="118" t="str">
        <f>IF(F53&lt;E53,"Exceeded",IF(F53&lt;E53+2,"Fwd",IF(F53&gt;I53,"Exceeded",IF(F53&gt;I53-2,"Aft",""))))</f>
        <v/>
      </c>
      <c r="M53">
        <v>3149</v>
      </c>
      <c r="N53">
        <v>6392</v>
      </c>
      <c r="O53">
        <f t="shared" si="6"/>
        <v>3216</v>
      </c>
    </row>
    <row r="54" spans="1:15" x14ac:dyDescent="0.2">
      <c r="A54" s="47"/>
      <c r="B54" s="45"/>
      <c r="C54" s="48"/>
      <c r="D54" s="45"/>
      <c r="E54" s="92"/>
      <c r="F54" s="108"/>
      <c r="G54" s="109"/>
      <c r="H54" s="5"/>
      <c r="I54" s="49"/>
      <c r="J54" s="120"/>
      <c r="M54">
        <v>3216</v>
      </c>
      <c r="N54">
        <v>6541</v>
      </c>
      <c r="O54">
        <f t="shared" si="6"/>
        <v>3283</v>
      </c>
    </row>
    <row r="55" spans="1:15" ht="20.25" x14ac:dyDescent="0.3">
      <c r="A55" s="41"/>
      <c r="B55" s="43" t="s">
        <v>35</v>
      </c>
      <c r="C55" s="44">
        <f>H38</f>
        <v>10073.799999999999</v>
      </c>
      <c r="D55" s="93" t="str">
        <f>IF(C55&gt;15000,"Exceeded","")</f>
        <v/>
      </c>
      <c r="E55" s="92">
        <f>IF(C55&lt;11800,191.4,191.4+(C55-11800)*8/3200)</f>
        <v>191.4</v>
      </c>
      <c r="F55" s="104">
        <f>I38</f>
        <v>203.1011137803014</v>
      </c>
      <c r="G55" s="104">
        <f>(F55-171.23)*100/70.23</f>
        <v>45.381053367935941</v>
      </c>
      <c r="H55" s="46">
        <f>(F55-E55)/(I55-E55)</f>
        <v>0.70488637230731332</v>
      </c>
      <c r="I55" s="92">
        <v>208</v>
      </c>
      <c r="J55" s="121" t="str">
        <f>IF(F55&lt;E55,"Exceeded",IF(F55&lt;E55+2,"Fwd",IF(F55&gt;I55,"Exceeded",IF(F55&gt;I55-2,"Aft",""))))</f>
        <v/>
      </c>
      <c r="M55">
        <v>3283</v>
      </c>
      <c r="N55">
        <v>6692</v>
      </c>
      <c r="O55">
        <f t="shared" si="6"/>
        <v>3350</v>
      </c>
    </row>
    <row r="56" spans="1:15" x14ac:dyDescent="0.2">
      <c r="A56" s="47"/>
      <c r="B56" s="45"/>
      <c r="C56" s="48"/>
      <c r="D56" s="45"/>
      <c r="E56" s="49"/>
      <c r="F56" s="108"/>
      <c r="G56" s="109"/>
      <c r="H56" s="5"/>
      <c r="I56" s="49"/>
      <c r="J56" s="120"/>
      <c r="M56">
        <v>3350</v>
      </c>
      <c r="N56">
        <v>6837</v>
      </c>
      <c r="O56">
        <f t="shared" si="6"/>
        <v>3417</v>
      </c>
    </row>
    <row r="57" spans="1:15" ht="20.25" x14ac:dyDescent="0.3">
      <c r="A57" s="41"/>
      <c r="B57" s="43" t="s">
        <v>38</v>
      </c>
      <c r="C57" s="44">
        <f>H40</f>
        <v>10073.799999999999</v>
      </c>
      <c r="D57" s="93" t="str">
        <f>IF(H39&lt;100,"No Fuel",IF(H39&lt;500,"Reserves",""))</f>
        <v>No Fuel</v>
      </c>
      <c r="E57" s="92">
        <f>IF(C57&lt;11800,191.4,191.4+(C57-11800)*8/3200)</f>
        <v>191.4</v>
      </c>
      <c r="F57" s="104">
        <f>I40</f>
        <v>203.1011137803014</v>
      </c>
      <c r="G57" s="104">
        <f>(F57-171.23)*100/70.23</f>
        <v>45.381053367935941</v>
      </c>
      <c r="H57" s="46">
        <f>(F57-E57)/(I57-E57)</f>
        <v>0.70488637230731332</v>
      </c>
      <c r="I57" s="92">
        <v>208</v>
      </c>
      <c r="J57" s="118" t="str">
        <f>IF(F57&lt;E57,"Exceeded",IF(F57&lt;E57+2,"Fwd",IF(F57&gt;I57,"Exceeded",IF(F57&gt;I57-2,"Aft",""))))</f>
        <v/>
      </c>
      <c r="M57">
        <v>3417</v>
      </c>
      <c r="N57">
        <v>6985</v>
      </c>
      <c r="O57">
        <f t="shared" si="6"/>
        <v>3484</v>
      </c>
    </row>
    <row r="58" spans="1:15" x14ac:dyDescent="0.2">
      <c r="A58" s="47"/>
      <c r="B58" s="45"/>
      <c r="C58" s="48"/>
      <c r="D58" s="45"/>
      <c r="E58" s="49"/>
      <c r="F58" s="5"/>
      <c r="G58" s="106"/>
      <c r="H58" s="5"/>
      <c r="I58" s="49"/>
      <c r="J58" s="50"/>
      <c r="M58">
        <v>3484</v>
      </c>
      <c r="N58">
        <v>7128</v>
      </c>
      <c r="O58">
        <f t="shared" si="6"/>
        <v>3551</v>
      </c>
    </row>
    <row r="59" spans="1:15" ht="12.75" customHeight="1" x14ac:dyDescent="0.2">
      <c r="A59" s="47"/>
      <c r="B59" s="4"/>
      <c r="C59" s="56" t="s">
        <v>53</v>
      </c>
      <c r="D59" s="57"/>
      <c r="E59" s="58"/>
      <c r="F59" s="230" t="s">
        <v>55</v>
      </c>
      <c r="G59" s="231"/>
      <c r="H59" s="57"/>
      <c r="I59" s="58"/>
      <c r="J59" s="50"/>
      <c r="M59">
        <v>3551</v>
      </c>
      <c r="N59">
        <v>7268</v>
      </c>
      <c r="O59">
        <f t="shared" si="6"/>
        <v>3611</v>
      </c>
    </row>
    <row r="60" spans="1:15" ht="20.25" customHeight="1" x14ac:dyDescent="0.2">
      <c r="A60" s="59"/>
      <c r="B60" s="4"/>
      <c r="C60" s="56" t="s">
        <v>54</v>
      </c>
      <c r="D60" s="60" t="s">
        <v>58</v>
      </c>
      <c r="E60" s="61"/>
      <c r="F60" s="230" t="s">
        <v>56</v>
      </c>
      <c r="G60" s="231"/>
      <c r="H60" s="60" t="s">
        <v>58</v>
      </c>
      <c r="I60" s="61"/>
      <c r="J60" s="62"/>
      <c r="M60">
        <v>3611</v>
      </c>
      <c r="N60">
        <v>7414</v>
      </c>
      <c r="O60">
        <v>0</v>
      </c>
    </row>
    <row r="61" spans="1:15" ht="12.75" customHeight="1" x14ac:dyDescent="0.2">
      <c r="A61" s="59"/>
      <c r="B61" s="4"/>
      <c r="C61" s="56" t="s">
        <v>52</v>
      </c>
      <c r="D61" s="63"/>
      <c r="E61" s="58"/>
      <c r="F61" s="230" t="s">
        <v>57</v>
      </c>
      <c r="G61" s="231"/>
      <c r="H61" s="63"/>
      <c r="I61" s="58"/>
      <c r="J61" s="62"/>
      <c r="M61">
        <f>SUM(M6:M60)</f>
        <v>99488</v>
      </c>
      <c r="N61">
        <f>SUM(N6:N60)</f>
        <v>198801</v>
      </c>
    </row>
    <row r="62" spans="1:15" ht="12.75" customHeight="1" x14ac:dyDescent="0.2">
      <c r="A62" s="59"/>
      <c r="B62" s="4"/>
      <c r="C62" s="56" t="s">
        <v>65</v>
      </c>
      <c r="D62" s="64" t="s">
        <v>51</v>
      </c>
      <c r="E62" s="65"/>
      <c r="F62" s="230" t="s">
        <v>66</v>
      </c>
      <c r="G62" s="231"/>
      <c r="H62" s="64" t="s">
        <v>51</v>
      </c>
      <c r="I62" s="65"/>
      <c r="J62" s="62"/>
    </row>
    <row r="63" spans="1:15" ht="12.75" customHeight="1" x14ac:dyDescent="0.2">
      <c r="A63" s="59"/>
      <c r="B63" s="4"/>
      <c r="C63" s="56"/>
      <c r="D63" s="66"/>
      <c r="E63" s="4"/>
      <c r="F63" s="56"/>
      <c r="G63" s="56"/>
      <c r="H63" s="66"/>
      <c r="I63" s="4"/>
      <c r="J63" s="62"/>
    </row>
    <row r="64" spans="1:15" ht="13.5" thickBot="1" x14ac:dyDescent="0.25">
      <c r="A64" s="67"/>
      <c r="B64" s="68" t="s">
        <v>67</v>
      </c>
      <c r="C64" s="223"/>
      <c r="D64" s="223"/>
      <c r="E64" s="223"/>
      <c r="F64" s="223"/>
      <c r="G64" s="223"/>
      <c r="H64" s="223"/>
      <c r="I64" s="223"/>
      <c r="J64" s="69"/>
    </row>
    <row r="65" ht="36.75" customHeight="1" x14ac:dyDescent="0.2"/>
  </sheetData>
  <protectedRanges>
    <protectedRange password="BF10" sqref="C42:J42" name="Range2"/>
    <protectedRange password="BF10" sqref="J3" name="Range1"/>
    <protectedRange password="BF10" sqref="C43:J44" name="Range2_2"/>
  </protectedRanges>
  <mergeCells count="21">
    <mergeCell ref="C64:I64"/>
    <mergeCell ref="C5:D5"/>
    <mergeCell ref="F26:G26"/>
    <mergeCell ref="F27:G27"/>
    <mergeCell ref="F60:G60"/>
    <mergeCell ref="F59:G59"/>
    <mergeCell ref="F62:G62"/>
    <mergeCell ref="F5:G5"/>
    <mergeCell ref="F61:G61"/>
    <mergeCell ref="F48:G48"/>
    <mergeCell ref="F49:G49"/>
    <mergeCell ref="F51:G51"/>
    <mergeCell ref="C48:D48"/>
    <mergeCell ref="C49:D49"/>
    <mergeCell ref="A42:B42"/>
    <mergeCell ref="A43:B43"/>
    <mergeCell ref="A44:B44"/>
    <mergeCell ref="F4:G4"/>
    <mergeCell ref="I1:J1"/>
    <mergeCell ref="A1:H2"/>
    <mergeCell ref="G20:G23"/>
  </mergeCells>
  <phoneticPr fontId="0" type="noConversion"/>
  <conditionalFormatting sqref="B9">
    <cfRule type="expression" dxfId="7" priority="5" stopIfTrue="1">
      <formula>RIGHT($B$5,1)="O"</formula>
    </cfRule>
  </conditionalFormatting>
  <conditionalFormatting sqref="C9:D9">
    <cfRule type="expression" dxfId="6" priority="6" stopIfTrue="1">
      <formula>RIGHT($B$5,1)="O"</formula>
    </cfRule>
  </conditionalFormatting>
  <conditionalFormatting sqref="E9">
    <cfRule type="expression" dxfId="5" priority="7" stopIfTrue="1">
      <formula>RIGHT($B$5,1)="O"</formula>
    </cfRule>
  </conditionalFormatting>
  <conditionalFormatting sqref="B10">
    <cfRule type="expression" dxfId="4" priority="8" stopIfTrue="1">
      <formula>RIGHT($B$5,1)="O"</formula>
    </cfRule>
  </conditionalFormatting>
  <conditionalFormatting sqref="C10:D10">
    <cfRule type="expression" dxfId="3" priority="9" stopIfTrue="1">
      <formula>RIGHT($B$5,1)="O"</formula>
    </cfRule>
  </conditionalFormatting>
  <conditionalFormatting sqref="E10">
    <cfRule type="expression" dxfId="2" priority="10" stopIfTrue="1">
      <formula>RIGHT($B$5,1)="O"</formula>
    </cfRule>
  </conditionalFormatting>
  <conditionalFormatting sqref="G8 G18:G19">
    <cfRule type="cellIs" dxfId="1" priority="11" stopIfTrue="1" operator="equal">
      <formula>"Check"</formula>
    </cfRule>
  </conditionalFormatting>
  <conditionalFormatting sqref="G17">
    <cfRule type="cellIs" dxfId="0" priority="1" stopIfTrue="1" operator="equal">
      <formula>"Check"</formula>
    </cfRule>
  </conditionalFormatting>
  <printOptions horizontalCentered="1" verticalCentered="1"/>
  <pageMargins left="0.39370078740157483" right="0.39370078740157483" top="0.39370078740157483" bottom="0.59055118110236227" header="0" footer="0"/>
  <pageSetup paperSize="9" scale="82" orientation="portrait" horizontalDpi="300" verticalDpi="300" r:id="rId1"/>
  <headerFooter alignWithMargins="0"/>
  <ignoredErrors>
    <ignoredError sqref="A5" unlockedFormula="1"/>
    <ignoredError sqref="I34 I36 I40 H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106" zoomScaleNormal="106" workbookViewId="0">
      <selection activeCell="N8" sqref="N8"/>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KINGAIR WEIGHT AND BALANCE</vt:lpstr>
      <vt:lpstr>GRAPH</vt:lpstr>
      <vt:lpstr>'KINGAIR WEIGHT AND BALANCE'!Print_Area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Kennedy</dc:creator>
  <cp:lastModifiedBy>Mike Jeffcoat</cp:lastModifiedBy>
  <cp:lastPrinted>2018-12-05T22:50:07Z</cp:lastPrinted>
  <dcterms:created xsi:type="dcterms:W3CDTF">1998-07-18T11:35:21Z</dcterms:created>
  <dcterms:modified xsi:type="dcterms:W3CDTF">2019-06-24T21:59:44Z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chive">
    <vt:lpwstr>0</vt:lpwstr>
  </property>
  <property fmtid="{D5CDD505-2E9C-101B-9397-08002B2CF9AE}" pid="3" name="Category0">
    <vt:lpwstr>Flight Planning</vt:lpwstr>
  </property>
  <property fmtid="{D5CDD505-2E9C-101B-9397-08002B2CF9AE}" pid="4" name="SubCategory">
    <vt:lpwstr>General</vt:lpwstr>
  </property>
</Properties>
</file>