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LA" sheetId="1" state="visible" r:id="rId2"/>
    <sheet name="Nashville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<sst xmlns="http://schemas.openxmlformats.org/spreadsheetml/2006/main" count="94" uniqueCount="48">
  <si>
    <t xml:space="preserve">FY2022</t>
  </si>
  <si>
    <t xml:space="preserve">FY2023</t>
  </si>
  <si>
    <t xml:space="preserve">FY2024</t>
  </si>
  <si>
    <t xml:space="preserve">FY2025</t>
  </si>
  <si>
    <t xml:space="preserve">FY2026</t>
  </si>
  <si>
    <t xml:space="preserve">FY2027</t>
  </si>
  <si>
    <t xml:space="preserve">Referral Factors</t>
  </si>
  <si>
    <t xml:space="preserve">Referral Accounts (incl nonconverted)</t>
  </si>
  <si>
    <t xml:space="preserve">Referral Bonus</t>
  </si>
  <si>
    <t xml:space="preserve">Expected Referrals from Bonus Increase</t>
  </si>
  <si>
    <t xml:space="preserve">Effect of Bonus Increase</t>
  </si>
  <si>
    <t xml:space="preserve">Total New Referral Accounts</t>
  </si>
  <si>
    <t xml:space="preserve">Account Growth</t>
  </si>
  <si>
    <t xml:space="preserve">Referral Conversion Rate</t>
  </si>
  <si>
    <t xml:space="preserve">Converted New Referral Accounts</t>
  </si>
  <si>
    <t xml:space="preserve">Posted Shifts Growth</t>
  </si>
  <si>
    <t xml:space="preserve">Accounts Referring Others</t>
  </si>
  <si>
    <t xml:space="preserve">Returning Referral Accounts</t>
  </si>
  <si>
    <t xml:space="preserve">Churn %</t>
  </si>
  <si>
    <t xml:space="preserve">Retired Referral Accounts</t>
  </si>
  <si>
    <t xml:space="preserve">% of Accounts Referring Others</t>
  </si>
  <si>
    <t xml:space="preserve">Referral Accounts Churned</t>
  </si>
  <si>
    <t xml:space="preserve">Referrals per Referrer</t>
  </si>
  <si>
    <t xml:space="preserve">Active Referral Accounts</t>
  </si>
  <si>
    <t xml:space="preserve">Retired Nonreferral Accounts</t>
  </si>
  <si>
    <t xml:space="preserve">Active Nonreferral Accounts</t>
  </si>
  <si>
    <t xml:space="preserve">General</t>
  </si>
  <si>
    <t xml:space="preserve">TOTAL ACTIVE ACCOUNTS</t>
  </si>
  <si>
    <t xml:space="preserve">Interest Rate</t>
  </si>
  <si>
    <t xml:space="preserve">Degree of Freedom</t>
  </si>
  <si>
    <t xml:space="preserve">Revenue per Referred Account</t>
  </si>
  <si>
    <t xml:space="preserve">Revenue per Legacy Referred Account</t>
  </si>
  <si>
    <t xml:space="preserve">Total Referral Revenue</t>
  </si>
  <si>
    <t xml:space="preserve">Total Bonus Cost</t>
  </si>
  <si>
    <t xml:space="preserve">Total Referral Program Profit</t>
  </si>
  <si>
    <t xml:space="preserve">NPV with Changes</t>
  </si>
  <si>
    <t xml:space="preserve">NPV without Changes</t>
  </si>
  <si>
    <t xml:space="preserve">Posted Shifts</t>
  </si>
  <si>
    <t xml:space="preserve">Available Shifts per Account</t>
  </si>
  <si>
    <t xml:space="preserve">Y/Y</t>
  </si>
  <si>
    <t xml:space="preserve">New Referral Accounts</t>
  </si>
  <si>
    <t xml:space="preserve">Nonreferral Accounts</t>
  </si>
  <si>
    <t xml:space="preserve">Total Active Accounts</t>
  </si>
  <si>
    <t xml:space="preserve">Factors</t>
  </si>
  <si>
    <t xml:space="preserve">Fill Rate %</t>
  </si>
  <si>
    <t xml:space="preserve">Total Referrals per Referrer</t>
  </si>
  <si>
    <t xml:space="preserve">Nonreferral Accounts Churned</t>
  </si>
  <si>
    <t xml:space="preserve">Filled Shifts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</si>
</sst>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#,##0.0"/>
    <numFmt numFmtId="166" formatCode="0.0%"/>
    <numFmt numFmtId="167" formatCode="#,##0.00"/>
    <numFmt numFmtId="168" formatCode="[$$-409]#,##0;[RED]\-[$$-409]#,##0"/>
    <numFmt numFmtId="169" formatCode="[$$-409]#,##0.00;[RED]\-[$$-409]#,##0.00"/>
    <numFmt numFmtId="170" formatCode="0.00%"/>
  </numFmts>
  <fonts count="1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000000"/>
      <name val="Lucida Sans"/>
      <family val="2"/>
    </font>
    <font>
      <sz val="10"/>
      <name val="Lucida Sans"/>
      <family val="2"/>
    </font>
    <font>
      <sz val="10"/>
      <color rgb="FF333333"/>
      <name val="Lucida Sans"/>
      <family val="2"/>
    </font>
    <font>
      <sz val="10"/>
      <color rgb="FF808080"/>
      <name val="Lucida Sans"/>
      <family val="2"/>
    </font>
    <font>
      <sz val="10"/>
      <color rgb="FF006600"/>
      <name val="Lucida Sans"/>
      <family val="2"/>
    </font>
    <font>
      <sz val="10"/>
      <color rgb="FF996600"/>
      <name val="Lucida Sans"/>
      <family val="2"/>
    </font>
    <font>
      <sz val="10"/>
      <color rgb="FFCC0000"/>
      <name val="Lucida Sans"/>
      <family val="2"/>
    </font>
    <font>
      <sz val="10"/>
      <color rgb="FFFFFFFF"/>
      <name val="Lucida Sans"/>
      <family val="2"/>
    </font>
    <font>
      <sz val="10"/>
      <color rgb="FFCE181E"/>
      <name val="Arial"/>
      <family val="2"/>
    </font>
    <font>
      <b val="true"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CE181E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EEEEEE"/>
      </patternFill>
    </fill>
    <fill>
      <patternFill patternType="solid">
        <fgColor rgb="FFEEEEEE"/>
        <bgColor rgb="FFFFFFFF"/>
      </patternFill>
    </fill>
    <fill>
      <patternFill patternType="solid">
        <fgColor rgb="FFADC5E7"/>
        <bgColor rgb="FFC0C0C0"/>
      </patternFill>
    </fill>
  </fills>
  <borders count="24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>
        <color rgb="FF94070A"/>
      </left>
      <right/>
      <top style="hair">
        <color rgb="FF94070A"/>
      </top>
      <bottom/>
      <diagonal/>
    </border>
    <border diagonalUp="false" diagonalDown="false">
      <left/>
      <right style="hair">
        <color rgb="FF94070A"/>
      </right>
      <top style="hair">
        <color rgb="FF94070A"/>
      </top>
      <bottom/>
      <diagonal/>
    </border>
    <border diagonalUp="false" diagonalDown="false">
      <left style="hair">
        <color rgb="FF00A65D"/>
      </left>
      <right/>
      <top style="hair">
        <color rgb="FF00A65D"/>
      </top>
      <bottom/>
      <diagonal/>
    </border>
    <border diagonalUp="false" diagonalDown="false">
      <left/>
      <right/>
      <top style="hair">
        <color rgb="FF00A65D"/>
      </top>
      <bottom/>
      <diagonal/>
    </border>
    <border diagonalUp="false" diagonalDown="false">
      <left/>
      <right style="hair">
        <color rgb="FF00A65D"/>
      </right>
      <top style="hair">
        <color rgb="FF00A65D"/>
      </top>
      <bottom/>
      <diagonal/>
    </border>
    <border diagonalUp="false" diagonalDown="false">
      <left style="hair">
        <color rgb="FF94070A"/>
      </left>
      <right/>
      <top/>
      <bottom/>
      <diagonal/>
    </border>
    <border diagonalUp="false" diagonalDown="false">
      <left/>
      <right style="hair">
        <color rgb="FF94070A"/>
      </right>
      <top/>
      <bottom/>
      <diagonal/>
    </border>
    <border diagonalUp="false" diagonalDown="false">
      <left style="hair">
        <color rgb="FF00A65D"/>
      </left>
      <right/>
      <top/>
      <bottom/>
      <diagonal/>
    </border>
    <border diagonalUp="false" diagonalDown="false">
      <left/>
      <right style="hair">
        <color rgb="FF00A65D"/>
      </right>
      <top/>
      <bottom/>
      <diagonal/>
    </border>
    <border diagonalUp="false" diagonalDown="false">
      <left style="hair">
        <color rgb="FF94070A"/>
      </left>
      <right/>
      <top/>
      <bottom style="hair">
        <color rgb="FF94070A"/>
      </bottom>
      <diagonal/>
    </border>
    <border diagonalUp="false" diagonalDown="false">
      <left/>
      <right style="hair">
        <color rgb="FF94070A"/>
      </right>
      <top/>
      <bottom style="hair">
        <color rgb="FF94070A"/>
      </bottom>
      <diagonal/>
    </border>
    <border diagonalUp="false" diagonalDown="false">
      <left style="hair">
        <color rgb="FF00A65D"/>
      </left>
      <right/>
      <top/>
      <bottom style="hair">
        <color rgb="FF00A65D"/>
      </bottom>
      <diagonal/>
    </border>
    <border diagonalUp="false" diagonalDown="false">
      <left/>
      <right/>
      <top/>
      <bottom style="hair">
        <color rgb="FF00A65D"/>
      </bottom>
      <diagonal/>
    </border>
    <border diagonalUp="false" diagonalDown="false">
      <left/>
      <right style="hair">
        <color rgb="FF00A65D"/>
      </right>
      <top/>
      <bottom style="hair">
        <color rgb="FF00A65D"/>
      </bottom>
      <diagonal/>
    </border>
    <border diagonalUp="false" diagonalDown="false">
      <left style="hair"/>
      <right/>
      <top style="hair"/>
      <bottom/>
      <diagonal/>
    </border>
    <border diagonalUp="false" diagonalDown="false">
      <left/>
      <right/>
      <top style="hair"/>
      <bottom/>
      <diagonal/>
    </border>
    <border diagonalUp="false" diagonalDown="false">
      <left/>
      <right style="hair"/>
      <top style="hair"/>
      <bottom/>
      <diagonal/>
    </border>
    <border diagonalUp="false" diagonalDown="false">
      <left style="hair"/>
      <right/>
      <top/>
      <bottom/>
      <diagonal/>
    </border>
    <border diagonalUp="false" diagonalDown="false">
      <left/>
      <right style="hair"/>
      <top/>
      <bottom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/>
      <right style="hair"/>
      <top/>
      <bottom style="hair"/>
      <diagonal/>
    </border>
  </borders>
  <cellStyleXfs count="3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2" borderId="1" applyFont="true" applyBorder="true" applyAlignment="false" applyProtection="false"/>
    <xf numFmtId="164" fontId="7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8" fillId="3" borderId="0" applyFont="true" applyBorder="false" applyAlignment="false" applyProtection="false"/>
    <xf numFmtId="164" fontId="9" fillId="2" borderId="0" applyFont="true" applyBorder="false" applyAlignment="false" applyProtection="false"/>
    <xf numFmtId="164" fontId="10" fillId="4" borderId="0" applyFont="true" applyBorder="false" applyAlignment="false" applyProtection="false"/>
    <xf numFmtId="164" fontId="10" fillId="0" borderId="0" applyFont="true" applyBorder="false" applyAlignment="false" applyProtection="false"/>
    <xf numFmtId="164" fontId="11" fillId="5" borderId="0" applyFont="true" applyBorder="false" applyAlignment="false" applyProtection="false"/>
    <xf numFmtId="164" fontId="4" fillId="0" borderId="0" applyFont="true" applyBorder="false" applyAlignment="false" applyProtection="false"/>
    <xf numFmtId="164" fontId="11" fillId="6" borderId="0" applyFont="true" applyBorder="false" applyAlignment="false" applyProtection="false"/>
    <xf numFmtId="164" fontId="11" fillId="7" borderId="0" applyFont="true" applyBorder="false" applyAlignment="false" applyProtection="false"/>
    <xf numFmtId="164" fontId="4" fillId="8" borderId="0" applyFont="true" applyBorder="false" applyAlignment="false" applyProtection="false"/>
  </cellStyleXfs>
  <cellXfs count="8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9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3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12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0" borderId="1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5" fontId="1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13" fillId="9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0" borderId="1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1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2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9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2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8" fontId="13" fillId="0" borderId="2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9" fontId="0" fillId="1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9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0" fontId="13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8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9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8" fontId="0" fillId="0" borderId="0" xfId="0" applyFont="false" applyBorder="false" applyAlignment="true" applyProtection="false">
      <alignment horizontal="right" vertical="center" textRotation="0" wrapText="false" indent="0" shrinkToFit="false"/>
      <protection locked="true" hidden="false"/>
    </xf>
  </cellXfs>
  <cellStyles count="2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94070A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EEEEEE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ADC5E7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00A65D"/>
      <rgbColor rgb="FF003300"/>
      <rgbColor rgb="FF333300"/>
      <rgbColor rgb="FFCE18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1"/>
  <sheetViews>
    <sheetView showFormulas="false" showGridLines="true" showRowColHeaders="true" showZeros="true" rightToLeft="false" tabSelected="true" showOutlineSymbols="true" defaultGridColor="true" view="normal" topLeftCell="A7" colorId="64" zoomScale="75" zoomScaleNormal="75" zoomScalePageLayoutView="100" workbookViewId="0">
      <selection pane="topLeft" activeCell="C54" activeCellId="0" sqref="C54"/>
    </sheetView>
  </sheetViews>
  <sheetFormatPr defaultRowHeight="12.8" zeroHeight="false" outlineLevelRow="0" outlineLevelCol="0"/>
  <cols>
    <col collapsed="false" customWidth="true" hidden="false" outlineLevel="0" max="1" min="1" style="0" width="37.05"/>
    <col collapsed="false" customWidth="true" hidden="false" outlineLevel="0" max="2" min="2" style="1" width="12.04"/>
    <col collapsed="false" customWidth="true" hidden="false" outlineLevel="0" max="7" min="3" style="0" width="12.04"/>
    <col collapsed="false" customWidth="true" hidden="false" outlineLevel="0" max="8" min="8" style="0" width="4.82"/>
    <col collapsed="false" customWidth="true" hidden="false" outlineLevel="0" max="9" min="9" style="0" width="30.75"/>
    <col collapsed="false" customWidth="true" hidden="false" outlineLevel="0" max="10" min="10" style="0" width="1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I1" s="5" t="s">
        <v>6</v>
      </c>
      <c r="J1" s="6"/>
    </row>
    <row r="2" s="11" customFormat="true" ht="12.8" hidden="false" customHeight="false" outlineLevel="0" collapsed="false">
      <c r="A2" s="7" t="s">
        <v>7</v>
      </c>
      <c r="B2" s="8" t="n">
        <v>620</v>
      </c>
      <c r="C2" s="9" t="n">
        <f aca="false">((B13-C8-C9-C11)*$J$8*$J$9)+((B13-C8-C9-C11)*$J$8*$J$9*$J$8*$J$9)</f>
        <v>884.370204891307</v>
      </c>
      <c r="D2" s="9" t="n">
        <f aca="false">((C13-D8-D9-D11)*$J$8*$J$9)+((C13-D8-D9-D11)*$J$8*$J$9*$J$8*$J$9)</f>
        <v>1653.24108010908</v>
      </c>
      <c r="E2" s="9" t="n">
        <f aca="false">((D13-E8-E9-E11)*$J$8*$J$9)+((D13-E8-E9-E11)*$J$8*$J$9*$J$8*$J$9)</f>
        <v>2184.2993519355</v>
      </c>
      <c r="F2" s="9" t="n">
        <f aca="false">((E13-F8-F9-F11)*$J$8*$J$9)+((E13-F8-F9-F11)*$J$8*$J$9*$J$8*$J$9)</f>
        <v>2994.07747177999</v>
      </c>
      <c r="G2" s="10" t="n">
        <f aca="false">((F13-G8-G9-G11)*$J$8*$J$9)+((F13-G8-G9-G11)*$J$8*$J$9*$J$8*$J$9)</f>
        <v>3839.35440412532</v>
      </c>
      <c r="I2" s="12" t="s">
        <v>8</v>
      </c>
      <c r="J2" s="13" t="n">
        <v>300</v>
      </c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12.8" hidden="false" customHeight="false" outlineLevel="0" collapsed="false">
      <c r="A3" s="14" t="s">
        <v>9</v>
      </c>
      <c r="B3" s="15" t="n">
        <v>0</v>
      </c>
      <c r="C3" s="16" t="n">
        <f aca="false">C2*$J$3</f>
        <v>0</v>
      </c>
      <c r="D3" s="16" t="n">
        <f aca="false">D2*$J$3</f>
        <v>0</v>
      </c>
      <c r="E3" s="16" t="n">
        <f aca="false">E2*$J$3</f>
        <v>0</v>
      </c>
      <c r="F3" s="16" t="n">
        <f aca="false">F2*$J$3</f>
        <v>0</v>
      </c>
      <c r="G3" s="17" t="n">
        <f aca="false">G2*$J$3</f>
        <v>0</v>
      </c>
      <c r="I3" s="12" t="s">
        <v>10</v>
      </c>
      <c r="J3" s="18" t="n">
        <v>0</v>
      </c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3" customFormat="true" ht="12.8" hidden="false" customHeight="false" outlineLevel="0" collapsed="false">
      <c r="A4" s="19" t="s">
        <v>11</v>
      </c>
      <c r="B4" s="20" t="n">
        <f aca="false">B2</f>
        <v>620</v>
      </c>
      <c r="C4" s="21" t="n">
        <f aca="false">C3+C2</f>
        <v>884.370204891307</v>
      </c>
      <c r="D4" s="21" t="n">
        <f aca="false">D3+D2</f>
        <v>1653.24108010908</v>
      </c>
      <c r="E4" s="21" t="n">
        <f aca="false">E3+E2</f>
        <v>2184.2993519355</v>
      </c>
      <c r="F4" s="21" t="n">
        <f aca="false">F3+F2</f>
        <v>2994.07747177999</v>
      </c>
      <c r="G4" s="22" t="n">
        <f aca="false">G3+G2</f>
        <v>3839.35440412532</v>
      </c>
      <c r="I4" s="12" t="s">
        <v>12</v>
      </c>
      <c r="J4" s="18" t="n">
        <v>0.2</v>
      </c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A5" s="24"/>
      <c r="B5" s="25"/>
      <c r="C5" s="26"/>
      <c r="D5" s="26"/>
      <c r="E5" s="26"/>
      <c r="F5" s="26"/>
      <c r="G5" s="27"/>
      <c r="I5" s="12" t="s">
        <v>13</v>
      </c>
      <c r="J5" s="18" t="n">
        <v>0.731</v>
      </c>
    </row>
    <row r="6" s="11" customFormat="true" ht="12.8" hidden="false" customHeight="false" outlineLevel="0" collapsed="false">
      <c r="A6" s="14" t="s">
        <v>14</v>
      </c>
      <c r="B6" s="15" t="n">
        <v>453</v>
      </c>
      <c r="C6" s="16" t="n">
        <f aca="false">C4*$J$5</f>
        <v>646.474619775545</v>
      </c>
      <c r="D6" s="16" t="n">
        <f aca="false">D4*$J$5</f>
        <v>1208.51922955974</v>
      </c>
      <c r="E6" s="16" t="n">
        <f aca="false">E4*$J$5</f>
        <v>1596.72282626485</v>
      </c>
      <c r="F6" s="16" t="n">
        <f aca="false">F4*$J$5</f>
        <v>2188.67063187117</v>
      </c>
      <c r="G6" s="17" t="n">
        <f aca="false">G4*$J$5</f>
        <v>2806.56806941561</v>
      </c>
      <c r="I6" s="12" t="s">
        <v>15</v>
      </c>
      <c r="J6" s="18" t="n">
        <v>0.2</v>
      </c>
      <c r="L6" s="0" t="s">
        <v>16</v>
      </c>
      <c r="M6" s="28" t="n">
        <v>364</v>
      </c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1" customFormat="true" ht="12.8" hidden="false" customHeight="false" outlineLevel="0" collapsed="false">
      <c r="A7" s="14" t="s">
        <v>17</v>
      </c>
      <c r="B7" s="15" t="n">
        <v>0</v>
      </c>
      <c r="C7" s="16" t="n">
        <f aca="false">B10</f>
        <v>453</v>
      </c>
      <c r="D7" s="16" t="n">
        <f aca="false">C10</f>
        <v>1054.17461977555</v>
      </c>
      <c r="E7" s="16" t="n">
        <f aca="false">D10</f>
        <v>2198.04638735773</v>
      </c>
      <c r="F7" s="16" t="n">
        <f aca="false">E10</f>
        <v>3388.52729066661</v>
      </c>
      <c r="G7" s="17" t="n">
        <f aca="false">F10</f>
        <v>4724.8566294527</v>
      </c>
      <c r="I7" s="29" t="s">
        <v>18</v>
      </c>
      <c r="J7" s="18" t="n">
        <v>0.1</v>
      </c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1" customFormat="true" ht="12.8" hidden="false" customHeight="false" outlineLevel="0" collapsed="false">
      <c r="A8" s="14" t="s">
        <v>19</v>
      </c>
      <c r="B8" s="15" t="n">
        <v>0</v>
      </c>
      <c r="C8" s="16"/>
      <c r="D8" s="16"/>
      <c r="E8" s="16" t="n">
        <f aca="false">(B10-C9)*0.7</f>
        <v>285.39</v>
      </c>
      <c r="F8" s="16" t="n">
        <f aca="false">(C10-D9)*0.7</f>
        <v>692.669010458594</v>
      </c>
      <c r="G8" s="16" t="n">
        <f aca="false">(D10-E9)*0.7</f>
        <v>1454.03612508123</v>
      </c>
      <c r="I8" s="12" t="s">
        <v>20</v>
      </c>
      <c r="J8" s="18" t="n">
        <f aca="false">M6/(B12+B10)</f>
        <v>0.280647648419429</v>
      </c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1" customFormat="true" ht="12.8" hidden="false" customHeight="false" outlineLevel="0" collapsed="false">
      <c r="A9" s="14" t="s">
        <v>21</v>
      </c>
      <c r="B9" s="30" t="n">
        <v>0</v>
      </c>
      <c r="C9" s="16" t="n">
        <f aca="false">B6*$J$7</f>
        <v>45.3</v>
      </c>
      <c r="D9" s="16" t="n">
        <f aca="false">C6*$J$7</f>
        <v>64.6474619775545</v>
      </c>
      <c r="E9" s="16" t="n">
        <f aca="false">D6*$J$7</f>
        <v>120.851922955974</v>
      </c>
      <c r="F9" s="16" t="n">
        <f aca="false">E6*$J$7</f>
        <v>159.672282626485</v>
      </c>
      <c r="G9" s="17" t="n">
        <f aca="false">F6*$J$7</f>
        <v>218.867063187117</v>
      </c>
      <c r="I9" s="31" t="s">
        <v>22</v>
      </c>
      <c r="J9" s="32" t="n">
        <f aca="false">B4/M6</f>
        <v>1.7032967032967</v>
      </c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3" customFormat="true" ht="12.8" hidden="false" customHeight="false" outlineLevel="0" collapsed="false">
      <c r="A10" s="19" t="s">
        <v>23</v>
      </c>
      <c r="B10" s="20" t="n">
        <f aca="false">B6-B8</f>
        <v>453</v>
      </c>
      <c r="C10" s="21" t="n">
        <f aca="false">C6+C7-C8-C9</f>
        <v>1054.17461977555</v>
      </c>
      <c r="D10" s="21" t="n">
        <f aca="false">D6+D7-D8-D9</f>
        <v>2198.04638735773</v>
      </c>
      <c r="E10" s="21" t="n">
        <f aca="false">E6+E7-E8-E9</f>
        <v>3388.52729066661</v>
      </c>
      <c r="F10" s="21" t="n">
        <f aca="false">F6+F7-F8-F9</f>
        <v>4724.8566294527</v>
      </c>
      <c r="G10" s="22" t="n">
        <f aca="false">G6+G7-G8-G9</f>
        <v>5858.52151059996</v>
      </c>
      <c r="I10" s="33"/>
      <c r="J10" s="34"/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35" customFormat="true" ht="12.8" hidden="false" customHeight="false" outlineLevel="0" collapsed="false">
      <c r="A11" s="14" t="s">
        <v>24</v>
      </c>
      <c r="B11" s="15" t="n">
        <v>0</v>
      </c>
      <c r="C11" s="28"/>
      <c r="D11" s="16"/>
      <c r="E11" s="16" t="n">
        <f aca="false">B12*0.7</f>
        <v>590.8</v>
      </c>
      <c r="F11" s="16" t="n">
        <f aca="false">C12*0.7</f>
        <v>945.28</v>
      </c>
      <c r="G11" s="17" t="n">
        <f aca="false">D12*0.7</f>
        <v>1323.392</v>
      </c>
      <c r="I11" s="33"/>
      <c r="J11" s="34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3" customFormat="true" ht="12.8" hidden="false" customHeight="false" outlineLevel="0" collapsed="false">
      <c r="A12" s="19" t="s">
        <v>25</v>
      </c>
      <c r="B12" s="20" t="n">
        <v>844</v>
      </c>
      <c r="C12" s="21" t="n">
        <f aca="false">B12*(1.6)</f>
        <v>1350.4</v>
      </c>
      <c r="D12" s="21" t="n">
        <f aca="false">C12*(1.4)</f>
        <v>1890.56</v>
      </c>
      <c r="E12" s="21" t="n">
        <f aca="false">D12*(1.4)</f>
        <v>2646.784</v>
      </c>
      <c r="F12" s="21" t="n">
        <f aca="false">E12*(1.4)</f>
        <v>3705.4976</v>
      </c>
      <c r="G12" s="22" t="n">
        <f aca="false">F12*(1.4)-G11</f>
        <v>3864.30464</v>
      </c>
      <c r="I12" s="36" t="s">
        <v>26</v>
      </c>
      <c r="J12" s="37"/>
      <c r="ALW12" s="38"/>
      <c r="ALX12" s="38"/>
      <c r="ALY12" s="38"/>
      <c r="ALZ12" s="38"/>
      <c r="AMA12" s="38"/>
      <c r="AMB12" s="38"/>
      <c r="AMC12" s="0"/>
      <c r="AMD12" s="0"/>
      <c r="AME12" s="0"/>
      <c r="AMF12" s="0"/>
      <c r="AMG12" s="0"/>
      <c r="AMH12" s="0"/>
      <c r="AMI12" s="0"/>
      <c r="AMJ12" s="0"/>
    </row>
    <row r="13" s="23" customFormat="true" ht="12.8" hidden="false" customHeight="false" outlineLevel="0" collapsed="false">
      <c r="A13" s="39" t="s">
        <v>27</v>
      </c>
      <c r="B13" s="40" t="n">
        <f aca="false">B12+B10</f>
        <v>1297</v>
      </c>
      <c r="C13" s="41" t="n">
        <f aca="false">C12+C10</f>
        <v>2404.57461977555</v>
      </c>
      <c r="D13" s="41" t="n">
        <f aca="false">D12+D10</f>
        <v>4088.60638735773</v>
      </c>
      <c r="E13" s="41" t="n">
        <f aca="false">E12+E10</f>
        <v>6035.31129066661</v>
      </c>
      <c r="F13" s="41" t="n">
        <f aca="false">F12+F10</f>
        <v>8430.3542294527</v>
      </c>
      <c r="G13" s="42" t="n">
        <f aca="false">G12+G10</f>
        <v>9722.82615059996</v>
      </c>
      <c r="I13" s="33" t="s">
        <v>28</v>
      </c>
      <c r="J13" s="43" t="n">
        <v>0.04</v>
      </c>
      <c r="ALW13" s="38"/>
      <c r="ALX13" s="38"/>
      <c r="ALY13" s="38"/>
      <c r="ALZ13" s="38"/>
      <c r="AMA13" s="38"/>
      <c r="AMB13" s="38"/>
      <c r="AMC13" s="0"/>
      <c r="AMD13" s="0"/>
      <c r="AME13" s="0"/>
      <c r="AMF13" s="0"/>
      <c r="AMG13" s="0"/>
      <c r="AMH13" s="0"/>
      <c r="AMI13" s="0"/>
      <c r="AMJ13" s="0"/>
    </row>
    <row r="14" s="23" customFormat="true" ht="12.8" hidden="false" customHeight="false" outlineLevel="0" collapsed="false">
      <c r="A14" s="44"/>
      <c r="B14" s="45"/>
      <c r="C14" s="44"/>
      <c r="D14" s="44"/>
      <c r="E14" s="44"/>
      <c r="F14" s="44"/>
      <c r="G14" s="44"/>
      <c r="I14" s="33" t="s">
        <v>29</v>
      </c>
      <c r="J14" s="43" t="n">
        <v>0.02</v>
      </c>
      <c r="ALW14" s="38"/>
      <c r="ALX14" s="38"/>
      <c r="ALY14" s="38"/>
      <c r="ALZ14" s="38"/>
      <c r="AMA14" s="38"/>
      <c r="AMB14" s="38"/>
      <c r="AMC14" s="0"/>
      <c r="AMD14" s="0"/>
      <c r="AME14" s="0"/>
      <c r="AMF14" s="0"/>
      <c r="AMG14" s="0"/>
      <c r="AMH14" s="0"/>
      <c r="AMI14" s="0"/>
      <c r="AMJ14" s="0"/>
    </row>
    <row r="15" customFormat="false" ht="12.8" hidden="false" customHeight="false" outlineLevel="0" collapsed="false">
      <c r="B15" s="46"/>
      <c r="J15" s="47"/>
    </row>
    <row r="16" s="52" customFormat="true" ht="12.8" hidden="false" customHeight="false" outlineLevel="0" collapsed="false">
      <c r="A16" s="48" t="s">
        <v>30</v>
      </c>
      <c r="B16" s="49" t="n">
        <v>784.02</v>
      </c>
      <c r="C16" s="50" t="n">
        <f aca="false">B16*0.95</f>
        <v>744.819</v>
      </c>
      <c r="D16" s="50" t="n">
        <f aca="false">C16*0.95</f>
        <v>707.57805</v>
      </c>
      <c r="E16" s="50" t="n">
        <f aca="false">D16*0.95</f>
        <v>672.1991475</v>
      </c>
      <c r="F16" s="50" t="n">
        <f aca="false">E16*0.97</f>
        <v>652.033173075</v>
      </c>
      <c r="G16" s="51" t="n">
        <f aca="false">F16*0.97</f>
        <v>632.47217788275</v>
      </c>
      <c r="I16" s="0"/>
      <c r="J16" s="47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57" customFormat="true" ht="12.8" hidden="false" customHeight="false" outlineLevel="0" collapsed="false">
      <c r="A17" s="53" t="s">
        <v>31</v>
      </c>
      <c r="B17" s="54" t="n">
        <v>1065.62</v>
      </c>
      <c r="C17" s="55" t="n">
        <f aca="false">B17*0.95</f>
        <v>1012.339</v>
      </c>
      <c r="D17" s="55" t="n">
        <f aca="false">C17*0.95</f>
        <v>961.72205</v>
      </c>
      <c r="E17" s="55" t="n">
        <f aca="false">D17*0.95</f>
        <v>913.6359475</v>
      </c>
      <c r="F17" s="55" t="n">
        <f aca="false">E17*0.97</f>
        <v>886.226869075</v>
      </c>
      <c r="G17" s="56" t="n">
        <f aca="false">F17*0.97</f>
        <v>859.64006300275</v>
      </c>
      <c r="I17" s="0"/>
      <c r="J17" s="47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s="62" customFormat="true" ht="12.8" hidden="false" customHeight="false" outlineLevel="0" collapsed="false">
      <c r="A18" s="58" t="s">
        <v>32</v>
      </c>
      <c r="B18" s="59" t="n">
        <f aca="false">B16*B6+B17*(B7-B8)</f>
        <v>355161.06</v>
      </c>
      <c r="C18" s="60" t="n">
        <f aca="false">C16*C6+C17*(C7-C8)</f>
        <v>940096.146826602</v>
      </c>
      <c r="D18" s="60" t="n">
        <f aca="false">D16*D6+D17*(D7-D8)</f>
        <v>1868944.65622789</v>
      </c>
      <c r="E18" s="60" t="n">
        <f aca="false">E16*E6+E17*(E7-E8)</f>
        <v>2820787.35331453</v>
      </c>
      <c r="F18" s="60" t="n">
        <f aca="false">F16*F6+F17*(F7-F8)</f>
        <v>3816227.90005369</v>
      </c>
      <c r="G18" s="61" t="n">
        <f aca="false">G16*G6+G17*(G7-G8)</f>
        <v>4586804.56368805</v>
      </c>
      <c r="I18" s="0"/>
      <c r="J18" s="47"/>
      <c r="ALW18" s="0"/>
      <c r="ALX18" s="0"/>
      <c r="ALY18" s="0"/>
      <c r="ALZ18" s="0"/>
      <c r="AMA18" s="0"/>
      <c r="AMB18" s="0"/>
      <c r="AMC18" s="0"/>
      <c r="AMD18" s="0"/>
      <c r="AME18" s="0"/>
      <c r="AMF18" s="0"/>
      <c r="AMG18" s="0"/>
      <c r="AMH18" s="0"/>
      <c r="AMI18" s="0"/>
      <c r="AMJ18" s="0"/>
    </row>
    <row r="19" s="57" customFormat="true" ht="12.8" hidden="false" customHeight="false" outlineLevel="0" collapsed="false">
      <c r="A19" s="53" t="s">
        <v>8</v>
      </c>
      <c r="B19" s="54" t="n">
        <v>300</v>
      </c>
      <c r="C19" s="62" t="n">
        <f aca="false">J2</f>
        <v>300</v>
      </c>
      <c r="D19" s="62" t="n">
        <f aca="false">C19</f>
        <v>300</v>
      </c>
      <c r="E19" s="62" t="n">
        <f aca="false">D19</f>
        <v>300</v>
      </c>
      <c r="F19" s="62" t="n">
        <f aca="false">E19</f>
        <v>300</v>
      </c>
      <c r="G19" s="63" t="n">
        <f aca="false">F19</f>
        <v>300</v>
      </c>
      <c r="I19" s="0"/>
      <c r="J19" s="47"/>
      <c r="ALW19" s="0"/>
      <c r="ALX19" s="0"/>
      <c r="ALY19" s="0"/>
      <c r="ALZ19" s="0"/>
      <c r="AMA19" s="0"/>
      <c r="AMB19" s="0"/>
      <c r="AMC19" s="0"/>
      <c r="AMD19" s="0"/>
      <c r="AME19" s="0"/>
      <c r="AMF19" s="0"/>
      <c r="AMG19" s="0"/>
      <c r="AMH19" s="0"/>
      <c r="AMI19" s="0"/>
      <c r="AMJ19" s="0"/>
    </row>
    <row r="20" s="57" customFormat="true" ht="12.8" hidden="false" customHeight="false" outlineLevel="0" collapsed="false">
      <c r="A20" s="58" t="s">
        <v>33</v>
      </c>
      <c r="B20" s="59" t="n">
        <f aca="false">B19*B6</f>
        <v>135900</v>
      </c>
      <c r="C20" s="57" t="n">
        <f aca="false">C19*C6</f>
        <v>193942.385932664</v>
      </c>
      <c r="D20" s="57" t="n">
        <f aca="false">D19*D6</f>
        <v>362555.768867922</v>
      </c>
      <c r="E20" s="57" t="n">
        <f aca="false">E19*E6</f>
        <v>479016.847879455</v>
      </c>
      <c r="F20" s="57" t="n">
        <f aca="false">F19*F6</f>
        <v>656601.189561352</v>
      </c>
      <c r="G20" s="64" t="n">
        <f aca="false">G19*G6</f>
        <v>841970.420824683</v>
      </c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38" customFormat="true" ht="12.8" hidden="false" customHeight="false" outlineLevel="0" collapsed="false">
      <c r="A21" s="65" t="s">
        <v>34</v>
      </c>
      <c r="B21" s="66" t="n">
        <f aca="false">B18-B20</f>
        <v>219261.06</v>
      </c>
      <c r="C21" s="67" t="n">
        <f aca="false">C18-C20</f>
        <v>746153.760893938</v>
      </c>
      <c r="D21" s="67" t="n">
        <f aca="false">D18-D20</f>
        <v>1506388.88735997</v>
      </c>
      <c r="E21" s="67" t="n">
        <f aca="false">E18-E20</f>
        <v>2341770.50543508</v>
      </c>
      <c r="F21" s="67" t="n">
        <f aca="false">F18-F20</f>
        <v>3159626.71049234</v>
      </c>
      <c r="G21" s="68" t="n">
        <f aca="false">G18-G20</f>
        <v>3744834.14286337</v>
      </c>
      <c r="I21" s="69" t="s">
        <v>35</v>
      </c>
      <c r="J21" s="69" t="n">
        <f aca="false">NPV(J13+J14,C21:G21)+B21</f>
        <v>9531134.33704083</v>
      </c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38" customFormat="true" ht="12.8" hidden="false" customHeight="false" outlineLevel="0" collapsed="false">
      <c r="A22" s="57"/>
      <c r="B22" s="59"/>
      <c r="C22" s="57"/>
      <c r="D22" s="57"/>
      <c r="E22" s="57"/>
      <c r="F22" s="57"/>
      <c r="G22" s="57"/>
      <c r="I22" s="69" t="s">
        <v>36</v>
      </c>
      <c r="J22" s="69" t="n">
        <v>9531134.33704083</v>
      </c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38" customFormat="true" ht="12.8" hidden="false" customHeight="false" outlineLevel="0" collapsed="false">
      <c r="A23" s="57"/>
      <c r="B23" s="59"/>
      <c r="C23" s="57"/>
      <c r="D23" s="57"/>
      <c r="E23" s="57"/>
      <c r="F23" s="57"/>
      <c r="G23" s="57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38" customFormat="true" ht="12.8" hidden="false" customHeight="false" outlineLevel="0" collapsed="false">
      <c r="A24" s="35" t="s">
        <v>37</v>
      </c>
      <c r="B24" s="15" t="n">
        <f aca="false">47407*4</f>
        <v>189628</v>
      </c>
      <c r="C24" s="35" t="n">
        <f aca="false">B24*(1.4)</f>
        <v>265479.2</v>
      </c>
      <c r="D24" s="35" t="n">
        <f aca="false">C24*(1.4)</f>
        <v>371670.88</v>
      </c>
      <c r="E24" s="35" t="n">
        <f aca="false">D24*(1.2)</f>
        <v>446005.056</v>
      </c>
      <c r="F24" s="35" t="n">
        <f aca="false">E24*(1+$J$6)</f>
        <v>535206.0672</v>
      </c>
      <c r="G24" s="35" t="n">
        <f aca="false">F24*(1.05)</f>
        <v>561966.37056</v>
      </c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38" customFormat="true" ht="12.8" hidden="false" customHeight="false" outlineLevel="0" collapsed="false">
      <c r="A25" s="35" t="s">
        <v>38</v>
      </c>
      <c r="B25" s="15" t="n">
        <f aca="false">B24/B13</f>
        <v>146.205088666153</v>
      </c>
      <c r="C25" s="35" t="n">
        <f aca="false">C24/C13</f>
        <v>110.405889597546</v>
      </c>
      <c r="D25" s="35" t="n">
        <f aca="false">D24/D13</f>
        <v>90.9040501304389</v>
      </c>
      <c r="E25" s="35" t="n">
        <f aca="false">E24/E13</f>
        <v>73.8992629410402</v>
      </c>
      <c r="F25" s="35" t="n">
        <f aca="false">F24/F13</f>
        <v>63.4855965281005</v>
      </c>
      <c r="G25" s="35" t="n">
        <f aca="false">G24/G13</f>
        <v>57.7986649000531</v>
      </c>
      <c r="I25" s="0"/>
      <c r="J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38" customFormat="true" ht="12.8" hidden="false" customHeight="false" outlineLevel="0" collapsed="false">
      <c r="A26" s="57"/>
      <c r="B26" s="59"/>
      <c r="C26" s="57"/>
      <c r="D26" s="57"/>
      <c r="E26" s="57"/>
      <c r="F26" s="57"/>
      <c r="G26" s="57"/>
      <c r="I26" s="0"/>
      <c r="J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38" customFormat="true" ht="12.8" hidden="false" customHeight="false" outlineLevel="0" collapsed="false">
      <c r="A27" s="70" t="s">
        <v>39</v>
      </c>
      <c r="B27" s="71"/>
      <c r="I27" s="0"/>
      <c r="J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38" customFormat="true" ht="12.8" hidden="false" customHeight="false" outlineLevel="0" collapsed="false">
      <c r="A28" s="72" t="s">
        <v>40</v>
      </c>
      <c r="B28" s="71"/>
      <c r="C28" s="73" t="n">
        <f aca="false">C4/B4-1</f>
        <v>0.426403556276301</v>
      </c>
      <c r="D28" s="73" t="n">
        <f aca="false">D4/C4-1</f>
        <v>0.869399343131733</v>
      </c>
      <c r="E28" s="73" t="n">
        <f aca="false">E4/D4-1</f>
        <v>0.32122252357253</v>
      </c>
      <c r="F28" s="73" t="n">
        <f aca="false">F4/E4-1</f>
        <v>0.370726713409017</v>
      </c>
      <c r="G28" s="73" t="n">
        <f aca="false">G4/F4-1</f>
        <v>0.282316319571653</v>
      </c>
      <c r="I28" s="0"/>
      <c r="J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customFormat="false" ht="12.8" hidden="false" customHeight="false" outlineLevel="0" collapsed="false">
      <c r="A29" s="72" t="s">
        <v>23</v>
      </c>
      <c r="B29" s="71"/>
      <c r="C29" s="73" t="n">
        <f aca="false">C10/B10-1</f>
        <v>1.32709629089524</v>
      </c>
      <c r="D29" s="73" t="n">
        <f aca="false">D10/C10-1</f>
        <v>1.08508756151399</v>
      </c>
      <c r="E29" s="73" t="n">
        <f aca="false">E10/D10-1</f>
        <v>0.541608634902356</v>
      </c>
      <c r="F29" s="73" t="n">
        <f aca="false">F10/E10-1</f>
        <v>0.394368769720962</v>
      </c>
      <c r="G29" s="73" t="n">
        <f aca="false">G10/F10-1</f>
        <v>0.23993635575744</v>
      </c>
    </row>
    <row r="30" customFormat="false" ht="12.8" hidden="false" customHeight="false" outlineLevel="0" collapsed="false">
      <c r="A30" s="0" t="s">
        <v>41</v>
      </c>
      <c r="B30" s="25"/>
      <c r="C30" s="73" t="n">
        <f aca="false">C12/B12-1</f>
        <v>0.6</v>
      </c>
      <c r="D30" s="73" t="n">
        <f aca="false">D12/C12-1</f>
        <v>0.4</v>
      </c>
      <c r="E30" s="73" t="n">
        <f aca="false">E12/D12-1</f>
        <v>0.4</v>
      </c>
      <c r="F30" s="73" t="n">
        <f aca="false">F12/E12-1</f>
        <v>0.4</v>
      </c>
      <c r="G30" s="73" t="n">
        <f aca="false">G12/F12-1</f>
        <v>0.0428571428571427</v>
      </c>
    </row>
    <row r="31" customFormat="false" ht="12.8" hidden="false" customHeight="false" outlineLevel="0" collapsed="false">
      <c r="A31" s="0" t="s">
        <v>42</v>
      </c>
      <c r="B31" s="25"/>
      <c r="C31" s="73" t="n">
        <f aca="false">C13/B13-1</f>
        <v>0.853951133211677</v>
      </c>
      <c r="D31" s="73" t="n">
        <f aca="false">D13/C13-1</f>
        <v>0.70034498149173</v>
      </c>
      <c r="E31" s="73" t="n">
        <f aca="false">E13/D13-1</f>
        <v>0.47612920366417</v>
      </c>
      <c r="F31" s="73" t="n">
        <f aca="false">F13/E13-1</f>
        <v>0.396838344111586</v>
      </c>
      <c r="G31" s="73" t="n">
        <f aca="false">G13/F13-1</f>
        <v>0.153311697939313</v>
      </c>
    </row>
    <row r="32" customFormat="false" ht="12.8" hidden="false" customHeight="false" outlineLevel="0" collapsed="false">
      <c r="A32" s="35" t="s">
        <v>37</v>
      </c>
      <c r="B32" s="25"/>
      <c r="C32" s="73" t="n">
        <f aca="false">C24/B24-1</f>
        <v>0.4</v>
      </c>
      <c r="D32" s="73" t="n">
        <f aca="false">D24/C24-1</f>
        <v>0.4</v>
      </c>
      <c r="E32" s="73" t="n">
        <f aca="false">E24/D24-1</f>
        <v>0.2</v>
      </c>
      <c r="F32" s="73" t="n">
        <f aca="false">F24/E24-1</f>
        <v>0.2</v>
      </c>
      <c r="G32" s="73" t="n">
        <f aca="false">G24/F24-1</f>
        <v>0.05</v>
      </c>
    </row>
    <row r="34" customFormat="false" ht="12.8" hidden="false" customHeight="false" outlineLevel="0" collapsed="false">
      <c r="B34" s="26"/>
    </row>
    <row r="35" customFormat="false" ht="12.8" hidden="false" customHeight="false" outlineLevel="0" collapsed="false">
      <c r="B35" s="26"/>
    </row>
    <row r="36" customFormat="false" ht="12.8" hidden="false" customHeight="false" outlineLevel="0" collapsed="false">
      <c r="B36" s="26"/>
    </row>
    <row r="37" customFormat="false" ht="12.8" hidden="false" customHeight="false" outlineLevel="0" collapsed="false">
      <c r="B37" s="26"/>
    </row>
    <row r="38" customFormat="false" ht="12.8" hidden="false" customHeight="false" outlineLevel="0" collapsed="false">
      <c r="B38" s="26"/>
      <c r="C38" s="74"/>
      <c r="D38" s="74"/>
      <c r="E38" s="74"/>
      <c r="F38" s="74"/>
      <c r="G38" s="74"/>
    </row>
    <row r="39" customFormat="false" ht="12.8" hidden="false" customHeight="false" outlineLevel="0" collapsed="false">
      <c r="B39" s="26"/>
    </row>
    <row r="40" customFormat="false" ht="12.8" hidden="false" customHeight="false" outlineLevel="0" collapsed="false">
      <c r="B40" s="26"/>
      <c r="C40" s="74"/>
      <c r="D40" s="74"/>
      <c r="E40" s="74"/>
      <c r="F40" s="74"/>
      <c r="G40" s="74"/>
    </row>
    <row r="41" customFormat="false" ht="12.8" hidden="false" customHeight="false" outlineLevel="0" collapsed="false">
      <c r="B41" s="26"/>
      <c r="C41" s="74" t="n">
        <v>1077.57104086353</v>
      </c>
      <c r="D41" s="74" t="n">
        <v>2264.57583217407</v>
      </c>
      <c r="E41" s="74" t="n">
        <v>3968.10992314926</v>
      </c>
      <c r="F41" s="74" t="n">
        <v>6415.64933179926</v>
      </c>
      <c r="G41" s="74" t="n">
        <v>9716.1445084809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33"/>
  <sheetViews>
    <sheetView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58" activeCellId="0" sqref="A58"/>
    </sheetView>
  </sheetViews>
  <sheetFormatPr defaultRowHeight="12.8" zeroHeight="false" outlineLevelRow="0" outlineLevelCol="0"/>
  <cols>
    <col collapsed="false" customWidth="true" hidden="false" outlineLevel="0" max="1" min="1" style="0" width="36.12"/>
    <col collapsed="false" customWidth="true" hidden="false" outlineLevel="0" max="2" min="2" style="1" width="10.56"/>
    <col collapsed="false" customWidth="true" hidden="false" outlineLevel="0" max="7" min="3" style="0" width="10.56"/>
    <col collapsed="false" customWidth="true" hidden="false" outlineLevel="0" max="8" min="8" style="0" width="2.4"/>
    <col collapsed="false" customWidth="true" hidden="false" outlineLevel="0" max="9" min="9" style="0" width="29.45"/>
    <col collapsed="false" customWidth="true" hidden="false" outlineLevel="0" max="10" min="10" style="0" width="11.85"/>
    <col collapsed="false" customWidth="false" hidden="false" outlineLevel="0" max="1025" min="11" style="0" width="11.52"/>
  </cols>
  <sheetData>
    <row r="1" customFormat="false" ht="12.8" hidden="false" customHeight="false" outlineLevel="0" collapsed="false">
      <c r="A1" s="2"/>
      <c r="B1" s="3" t="s">
        <v>0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I1" s="70" t="s">
        <v>43</v>
      </c>
      <c r="J1" s="1"/>
    </row>
    <row r="2" s="11" customFormat="true" ht="12.8" hidden="false" customHeight="false" outlineLevel="0" collapsed="false">
      <c r="A2" s="11" t="s">
        <v>7</v>
      </c>
      <c r="B2" s="15" t="n">
        <v>83</v>
      </c>
      <c r="C2" s="11" t="n">
        <f aca="false">((B13-C8-C9-C11)*$J$10*$J$9)+((B13-C8-C9-C11)*$J$10*$J$9*$J$10*$J$9)</f>
        <v>134.000775842014</v>
      </c>
      <c r="D2" s="11" t="n">
        <f aca="false">((C13-D8-D9-D11)*$J$10*$J$9)+((C13-D8-D9-D11)*$J$10*$J$9*$J$10*$J$9)</f>
        <v>288.159694527022</v>
      </c>
      <c r="E2" s="11" t="n">
        <f aca="false">((D13-E8-E9-E11)*$J$10*$J$9)+((D13-E8-E9-E11)*$J$10*$J$9*$J$10*$J$9)</f>
        <v>484.111958581212</v>
      </c>
      <c r="F2" s="11" t="n">
        <f aca="false">((E13-F8-F9-F11)*$J$10*$J$9)+((E13-F8-F9-F11)*$J$10*$J$9*$J$10*$J$9)</f>
        <v>802.6305795677</v>
      </c>
      <c r="G2" s="11" t="n">
        <f aca="false">((F13-G8-G9-G11)*$J$10*$J$9)+((F13-G8-G9-G11)*$J$10*$J$9*$J$10*$J$9)</f>
        <v>1243.15926034959</v>
      </c>
      <c r="I2" s="0" t="s">
        <v>8</v>
      </c>
      <c r="J2" s="75" t="n">
        <v>350</v>
      </c>
      <c r="ALW2" s="0"/>
      <c r="ALX2" s="0"/>
      <c r="ALY2" s="0"/>
      <c r="ALZ2" s="0"/>
      <c r="AMA2" s="0"/>
      <c r="AMB2" s="0"/>
      <c r="AMC2" s="0"/>
      <c r="AMD2" s="0"/>
      <c r="AME2" s="0"/>
      <c r="AMF2" s="0"/>
      <c r="AMG2" s="0"/>
      <c r="AMH2" s="0"/>
      <c r="AMI2" s="0"/>
      <c r="AMJ2" s="0"/>
    </row>
    <row r="3" s="11" customFormat="true" ht="12.8" hidden="false" customHeight="false" outlineLevel="0" collapsed="false">
      <c r="A3" s="11" t="s">
        <v>9</v>
      </c>
      <c r="B3" s="15" t="n">
        <v>0</v>
      </c>
      <c r="C3" s="11" t="n">
        <f aca="false">C2*$J$3</f>
        <v>3.53762048222917</v>
      </c>
      <c r="D3" s="11" t="n">
        <f aca="false">D2*$J$3</f>
        <v>7.60741593551338</v>
      </c>
      <c r="E3" s="11" t="n">
        <f aca="false">E2*$J$3</f>
        <v>12.780555706544</v>
      </c>
      <c r="F3" s="11" t="n">
        <f aca="false">F2*$J$3</f>
        <v>21.1894473005873</v>
      </c>
      <c r="G3" s="11" t="n">
        <f aca="false">G2*$J$3</f>
        <v>32.8194044732292</v>
      </c>
      <c r="I3" s="0" t="s">
        <v>10</v>
      </c>
      <c r="J3" s="47" t="n">
        <v>0.0264</v>
      </c>
      <c r="ALW3" s="0"/>
      <c r="ALX3" s="0"/>
      <c r="ALY3" s="0"/>
      <c r="ALZ3" s="0"/>
      <c r="AMA3" s="0"/>
      <c r="AMB3" s="0"/>
      <c r="AMC3" s="0"/>
      <c r="AMD3" s="0"/>
      <c r="AME3" s="0"/>
      <c r="AMF3" s="0"/>
      <c r="AMG3" s="0"/>
      <c r="AMH3" s="0"/>
      <c r="AMI3" s="0"/>
      <c r="AMJ3" s="0"/>
    </row>
    <row r="4" s="23" customFormat="true" ht="12.8" hidden="false" customHeight="false" outlineLevel="0" collapsed="false">
      <c r="A4" s="23" t="s">
        <v>11</v>
      </c>
      <c r="B4" s="20" t="n">
        <f aca="false">B2</f>
        <v>83</v>
      </c>
      <c r="C4" s="23" t="n">
        <f aca="false">C3+C2</f>
        <v>137.538396324243</v>
      </c>
      <c r="D4" s="23" t="n">
        <f aca="false">D3+D2</f>
        <v>295.767110462535</v>
      </c>
      <c r="E4" s="23" t="n">
        <f aca="false">E3+E2</f>
        <v>496.892514287756</v>
      </c>
      <c r="F4" s="23" t="n">
        <f aca="false">F3+F2</f>
        <v>823.820026868287</v>
      </c>
      <c r="G4" s="23" t="n">
        <f aca="false">G3+G2</f>
        <v>1275.97866482282</v>
      </c>
      <c r="I4" s="0" t="s">
        <v>12</v>
      </c>
      <c r="J4" s="47" t="n">
        <v>0.2</v>
      </c>
      <c r="ALW4" s="0"/>
      <c r="ALX4" s="0"/>
      <c r="ALY4" s="0"/>
      <c r="ALZ4" s="0"/>
      <c r="AMA4" s="0"/>
      <c r="AMB4" s="0"/>
      <c r="AMC4" s="0"/>
      <c r="AMD4" s="0"/>
      <c r="AME4" s="0"/>
      <c r="AMF4" s="0"/>
      <c r="AMG4" s="0"/>
      <c r="AMH4" s="0"/>
      <c r="AMI4" s="0"/>
      <c r="AMJ4" s="0"/>
    </row>
    <row r="5" customFormat="false" ht="12.8" hidden="false" customHeight="false" outlineLevel="0" collapsed="false">
      <c r="B5" s="25"/>
      <c r="I5" s="0" t="s">
        <v>13</v>
      </c>
      <c r="J5" s="47" t="n">
        <v>0.771</v>
      </c>
    </row>
    <row r="6" s="11" customFormat="true" ht="12.8" hidden="false" customHeight="false" outlineLevel="0" collapsed="false">
      <c r="A6" s="11" t="s">
        <v>14</v>
      </c>
      <c r="B6" s="15" t="n">
        <v>64</v>
      </c>
      <c r="C6" s="11" t="n">
        <f aca="false">C4*$J$5</f>
        <v>106.042103565991</v>
      </c>
      <c r="D6" s="11" t="n">
        <f aca="false">D4*$J$5</f>
        <v>228.036442166615</v>
      </c>
      <c r="E6" s="11" t="n">
        <f aca="false">E4*$J$5</f>
        <v>383.10412851586</v>
      </c>
      <c r="F6" s="11" t="n">
        <f aca="false">F4*$J$5</f>
        <v>635.165240715449</v>
      </c>
      <c r="G6" s="11" t="n">
        <f aca="false">G4*$J$5</f>
        <v>983.779550578393</v>
      </c>
      <c r="I6" s="0" t="s">
        <v>15</v>
      </c>
      <c r="J6" s="47" t="n">
        <v>0.2</v>
      </c>
      <c r="L6" s="0" t="s">
        <v>16</v>
      </c>
      <c r="M6" s="28" t="n">
        <v>48</v>
      </c>
      <c r="ALW6" s="0"/>
      <c r="ALX6" s="0"/>
      <c r="ALY6" s="0"/>
      <c r="ALZ6" s="0"/>
      <c r="AMA6" s="0"/>
      <c r="AMB6" s="0"/>
      <c r="AMC6" s="0"/>
      <c r="AMD6" s="0"/>
      <c r="AME6" s="0"/>
      <c r="AMF6" s="0"/>
      <c r="AMG6" s="0"/>
      <c r="AMH6" s="0"/>
      <c r="AMI6" s="0"/>
      <c r="AMJ6" s="0"/>
    </row>
    <row r="7" s="11" customFormat="true" ht="12.8" hidden="false" customHeight="false" outlineLevel="0" collapsed="false">
      <c r="A7" s="11" t="s">
        <v>17</v>
      </c>
      <c r="B7" s="15" t="n">
        <v>0</v>
      </c>
      <c r="C7" s="11" t="n">
        <f aca="false">B10</f>
        <v>64</v>
      </c>
      <c r="D7" s="11" t="n">
        <f aca="false">C10</f>
        <v>163.642103565991</v>
      </c>
      <c r="E7" s="11" t="n">
        <f aca="false">D10</f>
        <v>381.074335376007</v>
      </c>
      <c r="F7" s="11" t="n">
        <f aca="false">E10</f>
        <v>701.054819675205</v>
      </c>
      <c r="G7" s="11" t="n">
        <f aca="false">F10</f>
        <v>1190.78312229249</v>
      </c>
      <c r="I7" s="76" t="s">
        <v>18</v>
      </c>
      <c r="J7" s="47" t="n">
        <v>0.1</v>
      </c>
      <c r="ALW7" s="0"/>
      <c r="ALX7" s="0"/>
      <c r="ALY7" s="0"/>
      <c r="ALZ7" s="0"/>
      <c r="AMA7" s="0"/>
      <c r="AMB7" s="0"/>
      <c r="AMC7" s="0"/>
      <c r="AMD7" s="0"/>
      <c r="AME7" s="0"/>
      <c r="AMF7" s="0"/>
      <c r="AMG7" s="0"/>
      <c r="AMH7" s="0"/>
      <c r="AMI7" s="0"/>
      <c r="AMJ7" s="0"/>
    </row>
    <row r="8" s="11" customFormat="true" ht="12.8" hidden="false" customHeight="false" outlineLevel="0" collapsed="false">
      <c r="A8" s="11" t="s">
        <v>19</v>
      </c>
      <c r="B8" s="15" t="n">
        <v>0</v>
      </c>
      <c r="C8" s="16"/>
      <c r="D8" s="16"/>
      <c r="E8" s="16" t="n">
        <f aca="false">(B10-C9)*0.7</f>
        <v>40.32</v>
      </c>
      <c r="F8" s="16" t="n">
        <f aca="false">(C10-D9)*0.7</f>
        <v>107.126525246575</v>
      </c>
      <c r="G8" s="16" t="n">
        <f aca="false">(D10-E9)*0.7</f>
        <v>250.789483811542</v>
      </c>
      <c r="I8" s="76" t="s">
        <v>44</v>
      </c>
      <c r="J8" s="47" t="n">
        <f aca="false">B24/B25</f>
        <v>0.661424606845513</v>
      </c>
      <c r="ALW8" s="0"/>
      <c r="ALX8" s="0"/>
      <c r="ALY8" s="0"/>
      <c r="ALZ8" s="0"/>
      <c r="AMA8" s="0"/>
      <c r="AMB8" s="0"/>
      <c r="AMC8" s="0"/>
      <c r="AMD8" s="0"/>
      <c r="AME8" s="0"/>
      <c r="AMF8" s="0"/>
      <c r="AMG8" s="0"/>
      <c r="AMH8" s="0"/>
      <c r="AMI8" s="0"/>
      <c r="AMJ8" s="0"/>
    </row>
    <row r="9" s="11" customFormat="true" ht="12.8" hidden="false" customHeight="false" outlineLevel="0" collapsed="false">
      <c r="A9" s="11" t="s">
        <v>21</v>
      </c>
      <c r="B9" s="30" t="n">
        <v>0</v>
      </c>
      <c r="C9" s="11" t="n">
        <f aca="false">B6*$J$7</f>
        <v>6.4</v>
      </c>
      <c r="D9" s="11" t="n">
        <f aca="false">C6*$J$7</f>
        <v>10.6042103565991</v>
      </c>
      <c r="E9" s="11" t="n">
        <f aca="false">D6*$J$7</f>
        <v>22.8036442166615</v>
      </c>
      <c r="F9" s="11" t="n">
        <f aca="false">E6*$J$7</f>
        <v>38.310412851586</v>
      </c>
      <c r="G9" s="11" t="n">
        <f aca="false">F6*$J$7</f>
        <v>63.5165240715449</v>
      </c>
      <c r="I9" s="0" t="s">
        <v>20</v>
      </c>
      <c r="J9" s="47" t="n">
        <v>0.41</v>
      </c>
      <c r="ALW9" s="0"/>
      <c r="ALX9" s="0"/>
      <c r="ALY9" s="0"/>
      <c r="ALZ9" s="0"/>
      <c r="AMA9" s="0"/>
      <c r="AMB9" s="0"/>
      <c r="AMC9" s="0"/>
      <c r="AMD9" s="0"/>
      <c r="AME9" s="0"/>
      <c r="AMF9" s="0"/>
      <c r="AMG9" s="0"/>
      <c r="AMH9" s="0"/>
      <c r="AMI9" s="0"/>
      <c r="AMJ9" s="0"/>
    </row>
    <row r="10" s="23" customFormat="true" ht="12.8" hidden="false" customHeight="false" outlineLevel="0" collapsed="false">
      <c r="A10" s="23" t="s">
        <v>23</v>
      </c>
      <c r="B10" s="20" t="n">
        <f aca="false">B6-B8</f>
        <v>64</v>
      </c>
      <c r="C10" s="23" t="n">
        <f aca="false">C6+C7-C8-C9</f>
        <v>163.642103565991</v>
      </c>
      <c r="D10" s="23" t="n">
        <f aca="false">D6+D7-D8-D9</f>
        <v>381.074335376007</v>
      </c>
      <c r="E10" s="23" t="n">
        <f aca="false">E6+E7-E8-E9</f>
        <v>701.054819675205</v>
      </c>
      <c r="F10" s="23" t="n">
        <f aca="false">F6+F7-F8-F9</f>
        <v>1190.78312229249</v>
      </c>
      <c r="G10" s="23" t="n">
        <f aca="false">G6+G7-G8-G9</f>
        <v>1860.2566649878</v>
      </c>
      <c r="I10" s="0" t="s">
        <v>45</v>
      </c>
      <c r="J10" s="77" t="n">
        <f aca="false">B4/M6</f>
        <v>1.72916666666667</v>
      </c>
      <c r="ALW10" s="0"/>
      <c r="ALX10" s="0"/>
      <c r="ALY10" s="0"/>
      <c r="ALZ10" s="0"/>
      <c r="AMA10" s="0"/>
      <c r="AMB10" s="0"/>
      <c r="AMC10" s="0"/>
      <c r="AMD10" s="0"/>
      <c r="AME10" s="0"/>
      <c r="AMF10" s="0"/>
      <c r="AMG10" s="0"/>
      <c r="AMH10" s="0"/>
      <c r="AMI10" s="0"/>
      <c r="AMJ10" s="0"/>
    </row>
    <row r="11" s="35" customFormat="true" ht="12.8" hidden="false" customHeight="false" outlineLevel="0" collapsed="false">
      <c r="A11" s="35" t="s">
        <v>46</v>
      </c>
      <c r="B11" s="15" t="n">
        <v>0</v>
      </c>
      <c r="C11" s="28"/>
      <c r="D11" s="16"/>
      <c r="E11" s="16" t="n">
        <f aca="false">B12*0.7</f>
        <v>37.1</v>
      </c>
      <c r="F11" s="16" t="n">
        <f aca="false">C12*0.7</f>
        <v>59.36</v>
      </c>
      <c r="G11" s="16" t="n">
        <f aca="false">D12*0.7</f>
        <v>83.104</v>
      </c>
      <c r="I11" s="0"/>
      <c r="J11" s="78"/>
      <c r="ALW11" s="0"/>
      <c r="ALX11" s="0"/>
      <c r="ALY11" s="0"/>
      <c r="ALZ11" s="0"/>
      <c r="AMA11" s="0"/>
      <c r="AMB11" s="0"/>
      <c r="AMC11" s="0"/>
      <c r="AMD11" s="0"/>
      <c r="AME11" s="0"/>
      <c r="AMF11" s="0"/>
      <c r="AMG11" s="0"/>
      <c r="AMH11" s="0"/>
      <c r="AMI11" s="0"/>
      <c r="AMJ11" s="0"/>
    </row>
    <row r="12" s="23" customFormat="true" ht="12.8" hidden="false" customHeight="false" outlineLevel="0" collapsed="false">
      <c r="A12" s="23" t="s">
        <v>25</v>
      </c>
      <c r="B12" s="20" t="n">
        <v>53</v>
      </c>
      <c r="C12" s="23" t="n">
        <f aca="false">B12*(1.6)</f>
        <v>84.8</v>
      </c>
      <c r="D12" s="23" t="n">
        <f aca="false">C12*(1.4)</f>
        <v>118.72</v>
      </c>
      <c r="E12" s="23" t="n">
        <f aca="false">D12*(1.4)</f>
        <v>166.208</v>
      </c>
      <c r="F12" s="23" t="n">
        <f aca="false">E12*(1.4)</f>
        <v>232.6912</v>
      </c>
      <c r="G12" s="23" t="n">
        <f aca="false">F12*(1.4)-G11</f>
        <v>242.66368</v>
      </c>
      <c r="I12" s="0"/>
      <c r="J12" s="78"/>
      <c r="ALW12" s="38"/>
      <c r="ALX12" s="38"/>
      <c r="ALY12" s="38"/>
      <c r="ALZ12" s="38"/>
      <c r="AMA12" s="38"/>
      <c r="AMB12" s="38"/>
      <c r="AMC12" s="38"/>
      <c r="AMD12" s="38"/>
      <c r="AME12" s="38"/>
      <c r="AMF12" s="38"/>
      <c r="AMG12" s="38"/>
      <c r="AMH12" s="0"/>
      <c r="AMI12" s="0"/>
      <c r="AMJ12" s="0"/>
    </row>
    <row r="13" s="23" customFormat="true" ht="12.8" hidden="false" customHeight="false" outlineLevel="0" collapsed="false">
      <c r="A13" s="23" t="s">
        <v>27</v>
      </c>
      <c r="B13" s="20" t="n">
        <f aca="false">B12+B10</f>
        <v>117</v>
      </c>
      <c r="C13" s="23" t="n">
        <f aca="false">C12+C10</f>
        <v>248.442103565991</v>
      </c>
      <c r="D13" s="23" t="n">
        <f aca="false">D12+D10</f>
        <v>499.794335376007</v>
      </c>
      <c r="E13" s="23" t="n">
        <f aca="false">E12+E10</f>
        <v>867.262819675205</v>
      </c>
      <c r="F13" s="23" t="n">
        <f aca="false">F12+F10</f>
        <v>1423.47432229249</v>
      </c>
      <c r="G13" s="23" t="n">
        <f aca="false">G12+G10</f>
        <v>2102.9203449878</v>
      </c>
      <c r="I13" s="70" t="s">
        <v>26</v>
      </c>
      <c r="J13" s="75"/>
      <c r="ALW13" s="38"/>
      <c r="ALX13" s="38"/>
      <c r="ALY13" s="38"/>
      <c r="ALZ13" s="38"/>
      <c r="AMA13" s="38"/>
      <c r="AMB13" s="38"/>
      <c r="AMC13" s="38"/>
      <c r="AMD13" s="38"/>
      <c r="AME13" s="38"/>
      <c r="AMF13" s="38"/>
      <c r="AMG13" s="38"/>
      <c r="AMH13" s="0"/>
      <c r="AMI13" s="0"/>
      <c r="AMJ13" s="0"/>
    </row>
    <row r="14" s="23" customFormat="true" ht="12.8" hidden="false" customHeight="false" outlineLevel="0" collapsed="false">
      <c r="B14" s="20"/>
      <c r="I14" s="0" t="s">
        <v>28</v>
      </c>
      <c r="J14" s="47" t="n">
        <v>0.04</v>
      </c>
      <c r="ALW14" s="38"/>
      <c r="ALX14" s="38"/>
      <c r="ALY14" s="38"/>
      <c r="ALZ14" s="38"/>
      <c r="AMA14" s="38"/>
      <c r="AMB14" s="38"/>
      <c r="AMC14" s="38"/>
      <c r="AMD14" s="38"/>
      <c r="AME14" s="38"/>
      <c r="AMF14" s="38"/>
      <c r="AMG14" s="38"/>
      <c r="AMH14" s="0"/>
      <c r="AMI14" s="0"/>
      <c r="AMJ14" s="0"/>
    </row>
    <row r="15" s="35" customFormat="true" ht="12.8" hidden="false" customHeight="false" outlineLevel="0" collapsed="false">
      <c r="A15" s="0"/>
      <c r="B15" s="46"/>
      <c r="C15" s="0"/>
      <c r="D15" s="0"/>
      <c r="E15" s="0"/>
      <c r="F15" s="0"/>
      <c r="G15" s="0"/>
      <c r="I15" s="0" t="s">
        <v>29</v>
      </c>
      <c r="J15" s="47" t="n">
        <v>0.02</v>
      </c>
      <c r="ALW15" s="0"/>
      <c r="ALX15" s="0"/>
      <c r="ALY15" s="0"/>
      <c r="ALZ15" s="0"/>
      <c r="AMA15" s="0"/>
      <c r="AMB15" s="0"/>
      <c r="AMC15" s="0"/>
      <c r="AMD15" s="0"/>
      <c r="AME15" s="0"/>
      <c r="AMF15" s="0"/>
      <c r="AMG15" s="0"/>
      <c r="AMH15" s="0"/>
      <c r="AMI15" s="0"/>
      <c r="AMJ15" s="0"/>
    </row>
    <row r="16" s="35" customFormat="true" ht="12.8" hidden="false" customHeight="false" outlineLevel="0" collapsed="false">
      <c r="A16" s="52" t="s">
        <v>30</v>
      </c>
      <c r="B16" s="54" t="n">
        <v>690.625</v>
      </c>
      <c r="C16" s="55" t="n">
        <f aca="false">B16*0.95</f>
        <v>656.09375</v>
      </c>
      <c r="D16" s="55" t="n">
        <f aca="false">C16*0.95</f>
        <v>623.2890625</v>
      </c>
      <c r="E16" s="55" t="n">
        <f aca="false">D16*0.95</f>
        <v>592.124609375</v>
      </c>
      <c r="F16" s="55" t="n">
        <f aca="false">E16*0.97</f>
        <v>574.36087109375</v>
      </c>
      <c r="G16" s="55" t="n">
        <f aca="false">F16*0.97</f>
        <v>557.130044960938</v>
      </c>
      <c r="I16" s="0"/>
      <c r="J16" s="0"/>
      <c r="ALW16" s="0"/>
      <c r="ALX16" s="0"/>
      <c r="ALY16" s="0"/>
      <c r="ALZ16" s="0"/>
      <c r="AMA16" s="0"/>
      <c r="AMB16" s="0"/>
      <c r="AMC16" s="0"/>
      <c r="AMD16" s="0"/>
      <c r="AME16" s="0"/>
      <c r="AMF16" s="0"/>
      <c r="AMG16" s="0"/>
      <c r="AMH16" s="0"/>
      <c r="AMI16" s="0"/>
      <c r="AMJ16" s="0"/>
    </row>
    <row r="17" s="35" customFormat="true" ht="12.8" hidden="false" customHeight="false" outlineLevel="0" collapsed="false">
      <c r="A17" s="0" t="s">
        <v>31</v>
      </c>
      <c r="B17" s="79" t="n">
        <v>988.89</v>
      </c>
      <c r="C17" s="55" t="n">
        <f aca="false">B17*0.95</f>
        <v>939.4455</v>
      </c>
      <c r="D17" s="55" t="n">
        <f aca="false">C17*0.95</f>
        <v>892.473225</v>
      </c>
      <c r="E17" s="55" t="n">
        <f aca="false">D17*0.95</f>
        <v>847.84956375</v>
      </c>
      <c r="F17" s="55" t="n">
        <f aca="false">E17*0.97</f>
        <v>822.4140768375</v>
      </c>
      <c r="G17" s="55" t="n">
        <f aca="false">F17*0.97</f>
        <v>797.741654532375</v>
      </c>
      <c r="I17" s="0"/>
      <c r="J17" s="26"/>
      <c r="ALW17" s="0"/>
      <c r="ALX17" s="0"/>
      <c r="ALY17" s="0"/>
      <c r="ALZ17" s="0"/>
      <c r="AMA17" s="0"/>
      <c r="AMB17" s="0"/>
      <c r="AMC17" s="0"/>
      <c r="AMD17" s="0"/>
      <c r="AME17" s="0"/>
      <c r="AMF17" s="0"/>
      <c r="AMG17" s="0"/>
      <c r="AMH17" s="0"/>
      <c r="AMI17" s="0"/>
      <c r="AMJ17" s="0"/>
    </row>
    <row r="18" customFormat="false" ht="12.8" hidden="false" customHeight="false" outlineLevel="0" collapsed="false">
      <c r="A18" s="57" t="s">
        <v>32</v>
      </c>
      <c r="B18" s="59" t="n">
        <f aca="false">B6*B16+(B7-B8)*B17</f>
        <v>44200</v>
      </c>
      <c r="C18" s="60" t="n">
        <f aca="false">C6*C16+(C7-C8)*C17</f>
        <v>129698.0733865</v>
      </c>
      <c r="D18" s="60" t="n">
        <f aca="false">D6*D16+(D7-D8)*D17</f>
        <v>288178.816169189</v>
      </c>
      <c r="E18" s="60" t="n">
        <f aca="false">E6*E16+(E7-E8)*E17</f>
        <v>515753.797041872</v>
      </c>
      <c r="F18" s="60" t="n">
        <f aca="false">F6*F16+(F7-F8)*F17</f>
        <v>853269.05091599</v>
      </c>
      <c r="G18" s="60" t="n">
        <f aca="false">G6*G16+(G7-G8)*G17</f>
        <v>1297965.22565709</v>
      </c>
      <c r="I18" s="52"/>
      <c r="J18" s="52"/>
    </row>
    <row r="19" customFormat="false" ht="12.8" hidden="false" customHeight="false" outlineLevel="0" collapsed="false">
      <c r="A19" s="62" t="s">
        <v>8</v>
      </c>
      <c r="B19" s="54" t="n">
        <v>300</v>
      </c>
      <c r="C19" s="62" t="n">
        <f aca="false">J2</f>
        <v>350</v>
      </c>
      <c r="D19" s="62" t="n">
        <f aca="false">C19</f>
        <v>350</v>
      </c>
      <c r="E19" s="62" t="n">
        <f aca="false">D19</f>
        <v>350</v>
      </c>
      <c r="F19" s="62" t="n">
        <f aca="false">E19</f>
        <v>350</v>
      </c>
      <c r="G19" s="62" t="n">
        <f aca="false">F19</f>
        <v>350</v>
      </c>
      <c r="I19" s="57"/>
      <c r="J19" s="57"/>
    </row>
    <row r="20" s="52" customFormat="true" ht="12.8" hidden="false" customHeight="false" outlineLevel="0" collapsed="false">
      <c r="A20" s="57" t="s">
        <v>33</v>
      </c>
      <c r="B20" s="59" t="n">
        <f aca="false">B19*B10</f>
        <v>19200</v>
      </c>
      <c r="C20" s="57" t="n">
        <f aca="false">C19*C6</f>
        <v>37114.736248097</v>
      </c>
      <c r="D20" s="57" t="n">
        <f aca="false">D19*D6</f>
        <v>79812.7547583151</v>
      </c>
      <c r="E20" s="57" t="n">
        <f aca="false">E19*E6</f>
        <v>134086.444980551</v>
      </c>
      <c r="F20" s="57" t="n">
        <f aca="false">F19*F6</f>
        <v>222307.834250407</v>
      </c>
      <c r="G20" s="57" t="n">
        <f aca="false">G19*G6</f>
        <v>344322.842702438</v>
      </c>
      <c r="I20" s="80" t="s">
        <v>35</v>
      </c>
      <c r="J20" s="81" t="n">
        <f aca="false">NPV(J14+J15,C21:G21)+B21</f>
        <v>1830640.5383794</v>
      </c>
      <c r="ALW20" s="0"/>
      <c r="ALX20" s="0"/>
      <c r="ALY20" s="0"/>
      <c r="ALZ20" s="0"/>
      <c r="AMA20" s="0"/>
      <c r="AMB20" s="0"/>
      <c r="AMC20" s="0"/>
      <c r="AMD20" s="0"/>
      <c r="AME20" s="0"/>
      <c r="AMF20" s="0"/>
      <c r="AMG20" s="0"/>
      <c r="AMH20" s="0"/>
      <c r="AMI20" s="0"/>
      <c r="AMJ20" s="0"/>
    </row>
    <row r="21" s="52" customFormat="true" ht="12.8" hidden="false" customHeight="false" outlineLevel="0" collapsed="false">
      <c r="A21" s="57" t="s">
        <v>34</v>
      </c>
      <c r="B21" s="59" t="n">
        <f aca="false">B18-B20</f>
        <v>25000</v>
      </c>
      <c r="C21" s="57" t="n">
        <f aca="false">C18-C20</f>
        <v>92583.3371384027</v>
      </c>
      <c r="D21" s="57" t="n">
        <f aca="false">D18-D20</f>
        <v>208366.061410874</v>
      </c>
      <c r="E21" s="57" t="n">
        <f aca="false">E18-E20</f>
        <v>381667.352061321</v>
      </c>
      <c r="F21" s="57" t="n">
        <f aca="false">F18-F20</f>
        <v>630961.216665583</v>
      </c>
      <c r="G21" s="57" t="n">
        <f aca="false">G18-G20</f>
        <v>953642.382954656</v>
      </c>
      <c r="I21" s="80" t="s">
        <v>36</v>
      </c>
      <c r="J21" s="81" t="n">
        <v>1830554.50942944</v>
      </c>
      <c r="ALW21" s="0"/>
      <c r="ALX21" s="0"/>
      <c r="ALY21" s="0"/>
      <c r="ALZ21" s="0"/>
      <c r="AMA21" s="0"/>
      <c r="AMB21" s="0"/>
      <c r="AMC21" s="0"/>
      <c r="AMD21" s="0"/>
      <c r="AME21" s="0"/>
      <c r="AMF21" s="0"/>
      <c r="AMG21" s="0"/>
      <c r="AMH21" s="0"/>
      <c r="AMI21" s="0"/>
      <c r="AMJ21" s="0"/>
    </row>
    <row r="22" s="57" customFormat="true" ht="12.8" hidden="false" customHeight="false" outlineLevel="0" collapsed="false">
      <c r="A22" s="72"/>
      <c r="B22" s="71"/>
      <c r="C22" s="38"/>
      <c r="D22" s="38"/>
      <c r="E22" s="38"/>
      <c r="F22" s="38"/>
      <c r="G22" s="38"/>
      <c r="I22" s="38"/>
      <c r="J22" s="38"/>
      <c r="ALW22" s="0"/>
      <c r="ALX22" s="0"/>
      <c r="ALY22" s="0"/>
      <c r="ALZ22" s="0"/>
      <c r="AMA22" s="0"/>
      <c r="AMB22" s="0"/>
      <c r="AMC22" s="0"/>
      <c r="AMD22" s="0"/>
      <c r="AME22" s="0"/>
      <c r="AMF22" s="0"/>
      <c r="AMG22" s="0"/>
      <c r="AMH22" s="0"/>
      <c r="AMI22" s="0"/>
      <c r="AMJ22" s="0"/>
    </row>
    <row r="23" s="62" customFormat="true" ht="12.8" hidden="false" customHeight="false" outlineLevel="0" collapsed="false">
      <c r="A23" s="72"/>
      <c r="B23" s="71"/>
      <c r="C23" s="38"/>
      <c r="D23" s="38"/>
      <c r="E23" s="38"/>
      <c r="F23" s="38"/>
      <c r="G23" s="38"/>
      <c r="I23" s="38"/>
      <c r="J23" s="38"/>
      <c r="ALW23" s="0"/>
      <c r="ALX23" s="0"/>
      <c r="ALY23" s="0"/>
      <c r="ALZ23" s="0"/>
      <c r="AMA23" s="0"/>
      <c r="AMB23" s="0"/>
      <c r="AMC23" s="0"/>
      <c r="AMD23" s="0"/>
      <c r="AME23" s="0"/>
      <c r="AMF23" s="0"/>
      <c r="AMG23" s="0"/>
      <c r="AMH23" s="0"/>
      <c r="AMI23" s="0"/>
      <c r="AMJ23" s="0"/>
    </row>
    <row r="24" s="57" customFormat="true" ht="12.8" hidden="false" customHeight="false" outlineLevel="0" collapsed="false">
      <c r="A24" s="35" t="s">
        <v>47</v>
      </c>
      <c r="B24" s="15" t="n">
        <f aca="false">1430*4</f>
        <v>5720</v>
      </c>
      <c r="C24" s="35"/>
      <c r="D24" s="35"/>
      <c r="E24" s="35"/>
      <c r="F24" s="35"/>
      <c r="G24" s="35"/>
      <c r="I24" s="38"/>
      <c r="J24" s="38"/>
      <c r="ALW24" s="0"/>
      <c r="ALX24" s="0"/>
      <c r="ALY24" s="0"/>
      <c r="ALZ24" s="0"/>
      <c r="AMA24" s="0"/>
      <c r="AMB24" s="0"/>
      <c r="AMC24" s="0"/>
      <c r="AMD24" s="0"/>
      <c r="AME24" s="0"/>
      <c r="AMF24" s="0"/>
      <c r="AMG24" s="0"/>
      <c r="AMH24" s="0"/>
      <c r="AMI24" s="0"/>
      <c r="AMJ24" s="0"/>
    </row>
    <row r="25" s="57" customFormat="true" ht="12.8" hidden="false" customHeight="false" outlineLevel="0" collapsed="false">
      <c r="A25" s="35" t="s">
        <v>37</v>
      </c>
      <c r="B25" s="15" t="n">
        <f aca="false">2162*4</f>
        <v>8648</v>
      </c>
      <c r="C25" s="35" t="n">
        <f aca="false">B25*(1.4)</f>
        <v>12107.2</v>
      </c>
      <c r="D25" s="35" t="n">
        <f aca="false">C25*(1.4)</f>
        <v>16950.08</v>
      </c>
      <c r="E25" s="35" t="n">
        <f aca="false">D25*(1.2)</f>
        <v>20340.096</v>
      </c>
      <c r="F25" s="35" t="n">
        <f aca="false">E25*(1+$J$6)</f>
        <v>24408.1152</v>
      </c>
      <c r="G25" s="35" t="n">
        <f aca="false">F25*(1.05)</f>
        <v>25628.52096</v>
      </c>
      <c r="I25" s="0"/>
      <c r="J25" s="0"/>
      <c r="ALW25" s="0"/>
      <c r="ALX25" s="0"/>
      <c r="ALY25" s="0"/>
      <c r="ALZ25" s="0"/>
      <c r="AMA25" s="0"/>
      <c r="AMB25" s="0"/>
      <c r="AMC25" s="0"/>
      <c r="AMD25" s="0"/>
      <c r="AME25" s="0"/>
      <c r="AMF25" s="0"/>
      <c r="AMG25" s="0"/>
      <c r="AMH25" s="0"/>
      <c r="AMI25" s="0"/>
      <c r="AMJ25" s="0"/>
    </row>
    <row r="26" s="38" customFormat="true" ht="12.8" hidden="false" customHeight="false" outlineLevel="0" collapsed="false">
      <c r="A26" s="35" t="s">
        <v>38</v>
      </c>
      <c r="B26" s="15" t="n">
        <f aca="false">B25/B13</f>
        <v>73.9145299145299</v>
      </c>
      <c r="C26" s="35" t="n">
        <f aca="false">C25/C13</f>
        <v>48.7324806311828</v>
      </c>
      <c r="D26" s="35" t="n">
        <f aca="false">D25/D13</f>
        <v>33.914109865307</v>
      </c>
      <c r="E26" s="35" t="n">
        <f aca="false">E25/E13</f>
        <v>23.4532088065501</v>
      </c>
      <c r="F26" s="35" t="n">
        <f aca="false">F25/F13</f>
        <v>17.146860198146</v>
      </c>
      <c r="G26" s="35" t="n">
        <f aca="false">G25/G13</f>
        <v>12.1871097120175</v>
      </c>
      <c r="I26" s="0"/>
      <c r="J26" s="0"/>
      <c r="ALW26" s="0"/>
      <c r="ALX26" s="0"/>
      <c r="ALY26" s="0"/>
      <c r="ALZ26" s="0"/>
      <c r="AMA26" s="0"/>
      <c r="AMB26" s="0"/>
      <c r="AMC26" s="0"/>
      <c r="AMD26" s="0"/>
      <c r="AME26" s="0"/>
      <c r="AMF26" s="0"/>
      <c r="AMG26" s="0"/>
      <c r="AMH26" s="0"/>
      <c r="AMI26" s="0"/>
      <c r="AMJ26" s="0"/>
    </row>
    <row r="27" s="38" customFormat="true" ht="12.8" hidden="false" customHeight="false" outlineLevel="0" collapsed="false">
      <c r="A27" s="72"/>
      <c r="B27" s="71"/>
      <c r="I27" s="0"/>
      <c r="J27" s="0"/>
      <c r="ALW27" s="0"/>
      <c r="ALX27" s="0"/>
      <c r="ALY27" s="0"/>
      <c r="ALZ27" s="0"/>
      <c r="AMA27" s="0"/>
      <c r="AMB27" s="0"/>
      <c r="AMC27" s="0"/>
      <c r="AMD27" s="0"/>
      <c r="AME27" s="0"/>
      <c r="AMF27" s="0"/>
      <c r="AMG27" s="0"/>
      <c r="AMH27" s="0"/>
      <c r="AMI27" s="0"/>
      <c r="AMJ27" s="0"/>
    </row>
    <row r="28" s="38" customFormat="true" ht="12.8" hidden="false" customHeight="false" outlineLevel="0" collapsed="false">
      <c r="A28" s="70" t="s">
        <v>39</v>
      </c>
      <c r="B28" s="71"/>
      <c r="I28" s="0"/>
      <c r="J28" s="0"/>
      <c r="ALW28" s="0"/>
      <c r="ALX28" s="0"/>
      <c r="ALY28" s="0"/>
      <c r="ALZ28" s="0"/>
      <c r="AMA28" s="0"/>
      <c r="AMB28" s="0"/>
      <c r="AMC28" s="0"/>
      <c r="AMD28" s="0"/>
      <c r="AME28" s="0"/>
      <c r="AMF28" s="0"/>
      <c r="AMG28" s="0"/>
      <c r="AMH28" s="0"/>
      <c r="AMI28" s="0"/>
      <c r="AMJ28" s="0"/>
    </row>
    <row r="29" s="38" customFormat="true" ht="12.8" hidden="false" customHeight="false" outlineLevel="0" collapsed="false">
      <c r="A29" s="72" t="s">
        <v>40</v>
      </c>
      <c r="B29" s="71"/>
      <c r="C29" s="73" t="n">
        <f aca="false">C4/B4-1</f>
        <v>0.657089112340278</v>
      </c>
      <c r="D29" s="73" t="n">
        <f aca="false">D4/C4-1</f>
        <v>1.15043303082633</v>
      </c>
      <c r="E29" s="73" t="n">
        <f aca="false">E4/D4-1</f>
        <v>0.68001274215612</v>
      </c>
      <c r="F29" s="73" t="n">
        <f aca="false">F4/E4-1</f>
        <v>0.65794412912247</v>
      </c>
      <c r="G29" s="73" t="n">
        <f aca="false">G4/F4-1</f>
        <v>0.548856088960827</v>
      </c>
      <c r="I29" s="0"/>
      <c r="J29" s="0"/>
      <c r="ALW29" s="0"/>
      <c r="ALX29" s="0"/>
      <c r="ALY29" s="0"/>
      <c r="ALZ29" s="0"/>
      <c r="AMA29" s="0"/>
      <c r="AMB29" s="0"/>
      <c r="AMC29" s="0"/>
      <c r="AMD29" s="0"/>
      <c r="AME29" s="0"/>
      <c r="AMF29" s="0"/>
      <c r="AMG29" s="0"/>
      <c r="AMH29" s="0"/>
      <c r="AMI29" s="0"/>
      <c r="AMJ29" s="0"/>
    </row>
    <row r="30" s="38" customFormat="true" ht="12.8" hidden="false" customHeight="false" outlineLevel="0" collapsed="false">
      <c r="A30" s="72" t="s">
        <v>23</v>
      </c>
      <c r="B30" s="71"/>
      <c r="C30" s="73" t="n">
        <f aca="false">C10/B10-1</f>
        <v>1.55690786821862</v>
      </c>
      <c r="D30" s="73" t="n">
        <f aca="false">D10/C10-1</f>
        <v>1.32870592024828</v>
      </c>
      <c r="E30" s="73" t="n">
        <f aca="false">E10/D10-1</f>
        <v>0.839679964234465</v>
      </c>
      <c r="F30" s="73" t="n">
        <f aca="false">F10/E10-1</f>
        <v>0.698559212308358</v>
      </c>
      <c r="G30" s="73" t="n">
        <f aca="false">G10/F10-1</f>
        <v>0.562212824621193</v>
      </c>
      <c r="I30" s="0"/>
      <c r="J30" s="0"/>
      <c r="ALW30" s="0"/>
      <c r="ALX30" s="0"/>
      <c r="ALY30" s="0"/>
      <c r="ALZ30" s="0"/>
      <c r="AMA30" s="0"/>
      <c r="AMB30" s="0"/>
      <c r="AMC30" s="0"/>
      <c r="AMD30" s="0"/>
      <c r="AME30" s="0"/>
      <c r="AMF30" s="0"/>
      <c r="AMG30" s="0"/>
      <c r="AMH30" s="0"/>
      <c r="AMI30" s="0"/>
      <c r="AMJ30" s="0"/>
    </row>
    <row r="31" s="38" customFormat="true" ht="12.8" hidden="false" customHeight="false" outlineLevel="0" collapsed="false">
      <c r="A31" s="0" t="s">
        <v>41</v>
      </c>
      <c r="B31" s="25"/>
      <c r="C31" s="73" t="n">
        <f aca="false">C12/B12-1</f>
        <v>0.6</v>
      </c>
      <c r="D31" s="73" t="n">
        <f aca="false">D12/C12-1</f>
        <v>0.4</v>
      </c>
      <c r="E31" s="73" t="n">
        <f aca="false">E12/D12-1</f>
        <v>0.4</v>
      </c>
      <c r="F31" s="73" t="n">
        <f aca="false">F12/E12-1</f>
        <v>0.4</v>
      </c>
      <c r="G31" s="73" t="n">
        <f aca="false">G12/F12-1</f>
        <v>0.0428571428571425</v>
      </c>
      <c r="I31" s="0"/>
      <c r="J31" s="0"/>
      <c r="ALW31" s="0"/>
      <c r="ALX31" s="0"/>
      <c r="ALY31" s="0"/>
      <c r="ALZ31" s="0"/>
      <c r="AMA31" s="0"/>
      <c r="AMB31" s="0"/>
      <c r="AMC31" s="0"/>
      <c r="AMD31" s="0"/>
      <c r="AME31" s="0"/>
      <c r="AMF31" s="0"/>
      <c r="AMG31" s="0"/>
      <c r="AMH31" s="0"/>
      <c r="AMI31" s="0"/>
      <c r="AMJ31" s="0"/>
    </row>
    <row r="32" s="38" customFormat="true" ht="12.8" hidden="false" customHeight="false" outlineLevel="0" collapsed="false">
      <c r="A32" s="0" t="s">
        <v>42</v>
      </c>
      <c r="B32" s="25"/>
      <c r="C32" s="73" t="n">
        <f aca="false">C13/B13-1</f>
        <v>1.12343678261531</v>
      </c>
      <c r="D32" s="73" t="n">
        <f aca="false">D13/C13-1</f>
        <v>1.01171350669735</v>
      </c>
      <c r="E32" s="73" t="n">
        <f aca="false">E13/D13-1</f>
        <v>0.735239394065447</v>
      </c>
      <c r="F32" s="73" t="n">
        <f aca="false">F13/E13-1</f>
        <v>0.641341344283148</v>
      </c>
      <c r="G32" s="73" t="n">
        <f aca="false">G13/F13-1</f>
        <v>0.477315264529018</v>
      </c>
      <c r="I32" s="0"/>
      <c r="J32" s="0"/>
      <c r="ALW32" s="0"/>
      <c r="ALX32" s="0"/>
      <c r="ALY32" s="0"/>
      <c r="ALZ32" s="0"/>
      <c r="AMA32" s="0"/>
      <c r="AMB32" s="0"/>
      <c r="AMC32" s="0"/>
      <c r="AMD32" s="0"/>
      <c r="AME32" s="0"/>
      <c r="AMF32" s="0"/>
      <c r="AMG32" s="0"/>
      <c r="AMH32" s="0"/>
      <c r="AMI32" s="0"/>
      <c r="AMJ32" s="0"/>
    </row>
    <row r="33" s="38" customFormat="true" ht="12.8" hidden="false" customHeight="false" outlineLevel="0" collapsed="false">
      <c r="A33" s="35" t="s">
        <v>37</v>
      </c>
      <c r="B33" s="25"/>
      <c r="C33" s="73" t="n">
        <f aca="false">C25/B25-1</f>
        <v>0.4</v>
      </c>
      <c r="D33" s="73" t="n">
        <f aca="false">D25/C25-1</f>
        <v>0.4</v>
      </c>
      <c r="E33" s="73" t="n">
        <f aca="false">E25/D25-1</f>
        <v>0.2</v>
      </c>
      <c r="F33" s="73" t="n">
        <f aca="false">F25/E25-1</f>
        <v>0.2</v>
      </c>
      <c r="G33" s="73" t="n">
        <f aca="false">G25/F25-1</f>
        <v>0.05</v>
      </c>
      <c r="I33" s="0"/>
      <c r="J33" s="0"/>
      <c r="ALW33" s="0"/>
      <c r="ALX33" s="0"/>
      <c r="ALY33" s="0"/>
      <c r="ALZ33" s="0"/>
      <c r="AMA33" s="0"/>
      <c r="AMB33" s="0"/>
      <c r="AMC33" s="0"/>
      <c r="AMD33" s="0"/>
      <c r="AME33" s="0"/>
      <c r="AMF33" s="0"/>
      <c r="AMG33" s="0"/>
      <c r="AMH33" s="0"/>
      <c r="AMI33" s="0"/>
      <c r="AMJ33" s="0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860</TotalTime>
  <Application>LibreOffice/5.4.4.2$Windows_X86_64 LibreOffice_project/2524958677847fb3bb44820e40380acbe820f960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2023-03-02T12:46:37Z</dcterms:created>
  <dc:creator/>
  <dc:description/>
  <dc:language>en-US</dc:language>
  <cp:lastModifiedBy/>
  <dcterms:modified xsi:type="dcterms:W3CDTF">2023-03-09T18:31:47Z</dcterms:modified>
  <cp:revision>9</cp:revision>
  <dc:subject/>
  <dc:title/>
</cp:coreProperties>
</file>