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DD6EC7C9-5A26-FD4B-BDF3-76D8A1C93870}" xr6:coauthVersionLast="43" xr6:coauthVersionMax="43" xr10:uidLastSave="{00000000-0000-0000-0000-000000000000}"/>
  <bookViews>
    <workbookView xWindow="40840" yWindow="1200" windowWidth="27300" windowHeight="19740" xr2:uid="{00000000-000D-0000-FFFF-FFFF00000000}"/>
  </bookViews>
  <sheets>
    <sheet name="Task05_Param_Summary" sheetId="1" r:id="rId1"/>
  </sheets>
  <definedNames>
    <definedName name="mpk2nmol">Task05_Param_Summary!$M$13</definedName>
    <definedName name="Ms2nMd">Task05_Param_Summary!$M$27</definedName>
    <definedName name="nmol2mpk">Task05_Param_Summary!$M$14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1" l="1"/>
  <c r="G29" i="1"/>
  <c r="E29" i="1"/>
  <c r="D29" i="1"/>
  <c r="I21" i="1" l="1"/>
  <c r="H21" i="1"/>
  <c r="G21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I23" i="1"/>
  <c r="I22" i="1"/>
  <c r="H22" i="1"/>
  <c r="G22" i="1"/>
  <c r="I19" i="1"/>
  <c r="G19" i="1"/>
  <c r="G17" i="1"/>
  <c r="H17" i="1"/>
  <c r="I17" i="1"/>
  <c r="H16" i="1"/>
  <c r="I16" i="1"/>
  <c r="G16" i="1"/>
  <c r="D23" i="1" l="1"/>
  <c r="G20" i="1"/>
  <c r="E20" i="1"/>
  <c r="D18" i="1" s="1"/>
  <c r="D20" i="1"/>
  <c r="H10" i="1"/>
  <c r="G10" i="1"/>
  <c r="H9" i="1"/>
  <c r="G9" i="1"/>
  <c r="H8" i="1"/>
  <c r="G8" i="1"/>
  <c r="E19" i="1"/>
  <c r="E10" i="1"/>
  <c r="D10" i="1"/>
  <c r="E9" i="1"/>
  <c r="D9" i="1"/>
  <c r="E8" i="1"/>
  <c r="D8" i="1"/>
  <c r="D24" i="1" l="1"/>
  <c r="G24" i="1" s="1"/>
  <c r="G23" i="1"/>
  <c r="E18" i="1"/>
  <c r="H19" i="1"/>
  <c r="G15" i="1"/>
  <c r="M27" i="1"/>
  <c r="M13" i="1"/>
  <c r="M14" i="1" s="1"/>
  <c r="E15" i="1" l="1"/>
  <c r="E13" i="1" s="1"/>
  <c r="D15" i="1"/>
  <c r="D13" i="1" s="1"/>
  <c r="E23" i="1"/>
  <c r="H20" i="1"/>
  <c r="H15" i="1" s="1"/>
  <c r="H13" i="1" s="1"/>
  <c r="G13" i="1"/>
  <c r="E24" i="1" l="1"/>
  <c r="H24" i="1" s="1"/>
  <c r="H23" i="1"/>
</calcChain>
</file>

<file path=xl/sharedStrings.xml><?xml version="1.0" encoding="utf-8"?>
<sst xmlns="http://schemas.openxmlformats.org/spreadsheetml/2006/main" count="108" uniqueCount="67">
  <si>
    <t>V1</t>
  </si>
  <si>
    <t>k12</t>
  </si>
  <si>
    <t>k21</t>
  </si>
  <si>
    <t>keD</t>
  </si>
  <si>
    <t>keT</t>
  </si>
  <si>
    <t>keL</t>
  </si>
  <si>
    <t>keDT</t>
  </si>
  <si>
    <t>keTL</t>
  </si>
  <si>
    <t>Vm</t>
  </si>
  <si>
    <t>Km</t>
  </si>
  <si>
    <t>kon_DT</t>
  </si>
  <si>
    <t>kon_TL</t>
  </si>
  <si>
    <t>CL</t>
  </si>
  <si>
    <t>T0</t>
  </si>
  <si>
    <t>L0</t>
  </si>
  <si>
    <t>units</t>
  </si>
  <si>
    <t>L/d</t>
  </si>
  <si>
    <t>nM</t>
  </si>
  <si>
    <t>1/d</t>
  </si>
  <si>
    <t>Kd_DT</t>
  </si>
  <si>
    <t>Kd_TL</t>
  </si>
  <si>
    <t>VEGF trap = .0005, 100 possibly fov Beva</t>
  </si>
  <si>
    <t xml:space="preserve">use similar </t>
  </si>
  <si>
    <t>1/(nM day)</t>
  </si>
  <si>
    <t>Yang16</t>
  </si>
  <si>
    <t>Css</t>
  </si>
  <si>
    <t>1 minute to 1 day (need reference)</t>
  </si>
  <si>
    <t>Kss_DT</t>
  </si>
  <si>
    <t>tau</t>
  </si>
  <si>
    <t>Parameter</t>
  </si>
  <si>
    <t>Reference</t>
  </si>
  <si>
    <t>d</t>
  </si>
  <si>
    <t>dose</t>
  </si>
  <si>
    <t>10 pM ~ IL6, 1 uM ~ Herceptin</t>
  </si>
  <si>
    <t>mg/kg</t>
  </si>
  <si>
    <t>Median of Fig 5-18 from rowland and tozer.  Using dose rather than CL to explore</t>
  </si>
  <si>
    <t>Give every 21 days.  Using dose to explore range</t>
  </si>
  <si>
    <t>Yang16 - Fig12 1e6 for mAb, but maybe 1e8 for something smaller (like blino)</t>
  </si>
  <si>
    <t>Ms2nMd</t>
  </si>
  <si>
    <t>Q</t>
  </si>
  <si>
    <t>V2</t>
  </si>
  <si>
    <t>L</t>
  </si>
  <si>
    <t>CL = dose*mpk2nmol/(CL*tau)</t>
  </si>
  <si>
    <t>Conversion: mpk2nmol</t>
  </si>
  <si>
    <t>F</t>
  </si>
  <si>
    <t>ka</t>
  </si>
  <si>
    <t>-</t>
  </si>
  <si>
    <t>nmol/d</t>
  </si>
  <si>
    <t>Plot_order</t>
  </si>
  <si>
    <t>Table_order</t>
  </si>
  <si>
    <t>derived</t>
  </si>
  <si>
    <t>AFIR</t>
  </si>
  <si>
    <t>0.0001-1</t>
  </si>
  <si>
    <t>Tfold</t>
  </si>
  <si>
    <t>reasonable ranges (AFIR paper)</t>
  </si>
  <si>
    <t>I know siltuximab.  Not sure others…</t>
  </si>
  <si>
    <t>AFIR = Kss*Tfold/Css = Kd*Tfold/(dose/(CL*tau)) --&gt;
dose = (Kd + koff/kon)*Tfold*CL*tau/AFIR</t>
  </si>
  <si>
    <t>min_sol</t>
  </si>
  <si>
    <t>max_sol</t>
  </si>
  <si>
    <t>min_mem</t>
  </si>
  <si>
    <t>max_mem</t>
  </si>
  <si>
    <t>10 pM ~ IL6, 0.5 uM C5 or 1 uM ~ Herceptin</t>
  </si>
  <si>
    <t>type_sol</t>
  </si>
  <si>
    <t>type_mem</t>
  </si>
  <si>
    <t>Lfold</t>
  </si>
  <si>
    <t>Conversion: nmol2mpk</t>
  </si>
  <si>
    <t>Kd_DT + keDT/kon_DT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</si>
</sst>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rgb="FF0432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Fill="1"/>
    <xf numFmtId="11" fontId="0" fillId="0" borderId="0" xfId="0" applyNumberFormat="1" applyFill="1"/>
    <xf numFmtId="0" fontId="14" fillId="0" borderId="0" xfId="0" applyFont="1" applyFill="1"/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NumberFormat="1" applyFont="1" applyFill="1" applyAlignment="1">
      <alignment horizontal="center"/>
    </xf>
    <xf numFmtId="0" fontId="18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9" fillId="0" borderId="0" xfId="0" applyNumberFormat="1" applyFont="1" applyFill="1" applyAlignment="1">
      <alignment horizontal="center"/>
    </xf>
    <xf numFmtId="164" fontId="18" fillId="0" borderId="0" xfId="0" applyNumberFormat="1" applyFont="1" applyFill="1" applyAlignment="1">
      <alignment horizontal="center"/>
    </xf>
    <xf numFmtId="0" fontId="20" fillId="0" borderId="0" xfId="0" applyNumberFormat="1" applyFont="1" applyFill="1" applyAlignment="1">
      <alignment horizontal="center"/>
    </xf>
    <xf numFmtId="165" fontId="18" fillId="0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44456-42A2-3D4A-B14C-1737E6FCE0B1}" name="Table1" displayName="Table1" ref="A1:K29" totalsRowShown="0" headerRowDxfId="12" dataDxfId="11">
  <autoFilter ref="A1:K29" xr:uid="{33B61081-9DA4-A642-AE1F-70B00DEEC51F}"/>
  <sortState xmlns:xlrd2="http://schemas.microsoft.com/office/spreadsheetml/2017/richdata2" ref="A2:K28">
    <sortCondition ref="B1:B28"/>
  </sortState>
  <tableColumns count="11">
    <tableColumn id="1" xr3:uid="{C8277EEB-8EE6-714C-B0D8-AA771A54F03E}" name="Plot_order" dataDxfId="10"/>
    <tableColumn id="10" xr3:uid="{74705C21-AFE8-ED44-BA81-8B8820AB3C5E}" name="Table_order" dataDxfId="9"/>
    <tableColumn id="9" xr3:uid="{B831687D-7D9C-A249-A6B3-14A4022A2962}" name="Parameter" dataDxfId="8"/>
    <tableColumn id="12" xr3:uid="{4AA6C4FF-1DEE-5A46-B9F7-4A71B4D7C2B6}" name="min_sol" dataDxfId="7"/>
    <tableColumn id="11" xr3:uid="{96F85E11-BCDA-1949-BB5E-E05A59A70D10}" name="max_sol" dataDxfId="6"/>
    <tableColumn id="14" xr3:uid="{D1EF92C0-437B-724D-B8FB-3558ED78ACD2}" name="type_sol" dataDxfId="5"/>
    <tableColumn id="8" xr3:uid="{D6FA3125-F69C-314F-AD05-3E9A42B33BBC}" name="min_mem" dataDxfId="4"/>
    <tableColumn id="6" xr3:uid="{15482AA6-F040-9E4B-A9AB-80B4EDAB0721}" name="max_mem" dataDxfId="3"/>
    <tableColumn id="15" xr3:uid="{8D90BA64-AEBE-6E4E-B385-A54A7AF68827}" name="type_mem" dataDxfId="2"/>
    <tableColumn id="4" xr3:uid="{F264790B-6115-634D-BB49-151AB79FEF95}" name="units" dataDxfId="1"/>
    <tableColumn id="5" xr3:uid="{CDC9DF67-3B1F-2C47-BF7C-1E440D4775CB}" name="Refere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A5" zoomScale="163" workbookViewId="0">
      <selection activeCell="G21" sqref="G21"/>
    </sheetView>
  </sheetViews>
  <sheetFormatPr baseColWidth="10" defaultRowHeight="16" x14ac:dyDescent="0.2"/>
  <cols>
    <col min="1" max="1" width="3.5" style="1" customWidth="1"/>
    <col min="2" max="2" width="4.6640625" style="1" customWidth="1"/>
    <col min="3" max="3" width="17" style="1" customWidth="1"/>
    <col min="4" max="9" width="10.5" style="4" customWidth="1"/>
    <col min="10" max="10" width="10.33203125" style="1" customWidth="1"/>
    <col min="11" max="11" width="50.6640625" style="1" customWidth="1"/>
    <col min="12" max="12" width="21.33203125" style="1" customWidth="1"/>
    <col min="13" max="16384" width="10.83203125" style="1"/>
  </cols>
  <sheetData>
    <row r="1" spans="1:13" x14ac:dyDescent="0.2">
      <c r="A1" s="1" t="s">
        <v>48</v>
      </c>
      <c r="B1" s="1" t="s">
        <v>49</v>
      </c>
      <c r="C1" s="1" t="s">
        <v>29</v>
      </c>
      <c r="D1" s="7" t="s">
        <v>57</v>
      </c>
      <c r="E1" s="7" t="s">
        <v>58</v>
      </c>
      <c r="F1" s="4" t="s">
        <v>62</v>
      </c>
      <c r="G1" s="7" t="s">
        <v>59</v>
      </c>
      <c r="H1" s="7" t="s">
        <v>60</v>
      </c>
      <c r="I1" s="7" t="s">
        <v>63</v>
      </c>
      <c r="J1" s="1" t="s">
        <v>15</v>
      </c>
      <c r="K1" s="1" t="s">
        <v>30</v>
      </c>
    </row>
    <row r="2" spans="1:13" x14ac:dyDescent="0.2">
      <c r="A2" s="4" t="s">
        <v>46</v>
      </c>
      <c r="B2" s="4">
        <v>1</v>
      </c>
      <c r="C2" s="1" t="s">
        <v>44</v>
      </c>
      <c r="D2" s="7">
        <v>0</v>
      </c>
      <c r="E2" s="7">
        <v>0</v>
      </c>
      <c r="F2" s="4">
        <v>1</v>
      </c>
      <c r="G2" s="7">
        <v>0</v>
      </c>
      <c r="H2" s="7">
        <v>0</v>
      </c>
      <c r="I2" s="7">
        <v>1</v>
      </c>
      <c r="J2" s="1" t="s">
        <v>46</v>
      </c>
    </row>
    <row r="3" spans="1:13" x14ac:dyDescent="0.2">
      <c r="A3" s="4" t="s">
        <v>46</v>
      </c>
      <c r="B3" s="4">
        <v>2</v>
      </c>
      <c r="C3" s="1" t="s">
        <v>45</v>
      </c>
      <c r="D3" s="7">
        <v>1</v>
      </c>
      <c r="E3" s="7">
        <v>1</v>
      </c>
      <c r="F3" s="4">
        <v>1</v>
      </c>
      <c r="G3" s="7">
        <v>1</v>
      </c>
      <c r="H3" s="7">
        <v>1</v>
      </c>
      <c r="I3" s="7">
        <v>1</v>
      </c>
      <c r="J3" s="1" t="s">
        <v>46</v>
      </c>
    </row>
    <row r="4" spans="1:13" x14ac:dyDescent="0.2">
      <c r="A4" s="4" t="s">
        <v>46</v>
      </c>
      <c r="B4" s="4">
        <v>3</v>
      </c>
      <c r="C4" s="1" t="s">
        <v>12</v>
      </c>
      <c r="D4" s="7">
        <v>2.4</v>
      </c>
      <c r="E4" s="7">
        <v>2.4</v>
      </c>
      <c r="F4" s="4">
        <v>1</v>
      </c>
      <c r="G4" s="7">
        <v>2.4</v>
      </c>
      <c r="H4" s="7">
        <v>2.4</v>
      </c>
      <c r="I4" s="7">
        <v>1</v>
      </c>
      <c r="J4" s="1" t="s">
        <v>16</v>
      </c>
      <c r="K4" s="1" t="s">
        <v>35</v>
      </c>
    </row>
    <row r="5" spans="1:13" x14ac:dyDescent="0.2">
      <c r="A5" s="4" t="s">
        <v>46</v>
      </c>
      <c r="B5" s="4">
        <v>4</v>
      </c>
      <c r="C5" s="1" t="s">
        <v>39</v>
      </c>
      <c r="D5" s="7">
        <v>0.5</v>
      </c>
      <c r="E5" s="7">
        <v>0.5</v>
      </c>
      <c r="F5" s="4">
        <v>1</v>
      </c>
      <c r="G5" s="7">
        <v>0.5</v>
      </c>
      <c r="H5" s="7">
        <v>0.5</v>
      </c>
      <c r="I5" s="7">
        <v>1</v>
      </c>
      <c r="J5" s="1" t="s">
        <v>16</v>
      </c>
    </row>
    <row r="6" spans="1:13" x14ac:dyDescent="0.2">
      <c r="A6" s="4" t="s">
        <v>46</v>
      </c>
      <c r="B6" s="4">
        <v>5</v>
      </c>
      <c r="C6" s="1" t="s">
        <v>0</v>
      </c>
      <c r="D6" s="7">
        <v>3</v>
      </c>
      <c r="E6" s="7">
        <v>3</v>
      </c>
      <c r="F6" s="4">
        <v>1</v>
      </c>
      <c r="G6" s="7">
        <v>3</v>
      </c>
      <c r="H6" s="7">
        <v>3</v>
      </c>
      <c r="I6" s="7">
        <v>1</v>
      </c>
      <c r="J6" s="1" t="s">
        <v>41</v>
      </c>
    </row>
    <row r="7" spans="1:13" x14ac:dyDescent="0.2">
      <c r="A7" s="4" t="s">
        <v>46</v>
      </c>
      <c r="B7" s="4">
        <v>6</v>
      </c>
      <c r="C7" s="1" t="s">
        <v>40</v>
      </c>
      <c r="D7" s="7">
        <v>3</v>
      </c>
      <c r="E7" s="7">
        <v>3</v>
      </c>
      <c r="F7" s="4">
        <v>1</v>
      </c>
      <c r="G7" s="7">
        <v>3</v>
      </c>
      <c r="H7" s="7">
        <v>3</v>
      </c>
      <c r="I7" s="7">
        <v>1</v>
      </c>
      <c r="J7" s="1" t="s">
        <v>41</v>
      </c>
    </row>
    <row r="8" spans="1:13" x14ac:dyDescent="0.2">
      <c r="A8" s="4" t="s">
        <v>46</v>
      </c>
      <c r="B8" s="4">
        <v>7</v>
      </c>
      <c r="C8" s="1" t="s">
        <v>3</v>
      </c>
      <c r="D8" s="7">
        <f>D4/D6</f>
        <v>0.79999999999999993</v>
      </c>
      <c r="E8" s="7">
        <f>E4/E6</f>
        <v>0.79999999999999993</v>
      </c>
      <c r="F8" s="4">
        <v>1</v>
      </c>
      <c r="G8" s="7">
        <f>G4/G6</f>
        <v>0.79999999999999993</v>
      </c>
      <c r="H8" s="7">
        <f>H4/H6</f>
        <v>0.79999999999999993</v>
      </c>
      <c r="I8" s="7">
        <v>1</v>
      </c>
      <c r="J8" s="1" t="s">
        <v>18</v>
      </c>
    </row>
    <row r="9" spans="1:13" x14ac:dyDescent="0.2">
      <c r="A9" s="4" t="s">
        <v>46</v>
      </c>
      <c r="B9" s="4">
        <v>8</v>
      </c>
      <c r="C9" s="1" t="s">
        <v>1</v>
      </c>
      <c r="D9" s="6">
        <f>D5/D6</f>
        <v>0.16666666666666666</v>
      </c>
      <c r="E9" s="6">
        <f>E5/E6</f>
        <v>0.16666666666666666</v>
      </c>
      <c r="F9" s="4">
        <v>1</v>
      </c>
      <c r="G9" s="6">
        <f>G5/G6</f>
        <v>0.16666666666666666</v>
      </c>
      <c r="H9" s="6">
        <f>H5/H6</f>
        <v>0.16666666666666666</v>
      </c>
      <c r="I9" s="7">
        <v>1</v>
      </c>
      <c r="J9" s="1" t="s">
        <v>18</v>
      </c>
    </row>
    <row r="10" spans="1:13" x14ac:dyDescent="0.2">
      <c r="A10" s="4" t="s">
        <v>46</v>
      </c>
      <c r="B10" s="4">
        <v>9</v>
      </c>
      <c r="C10" s="1" t="s">
        <v>2</v>
      </c>
      <c r="D10" s="6">
        <f>D5/D7</f>
        <v>0.16666666666666666</v>
      </c>
      <c r="E10" s="6">
        <f>E5/E7</f>
        <v>0.16666666666666666</v>
      </c>
      <c r="F10" s="4">
        <v>1</v>
      </c>
      <c r="G10" s="6">
        <f>G5/G7</f>
        <v>0.16666666666666666</v>
      </c>
      <c r="H10" s="6">
        <f>H5/H7</f>
        <v>0.16666666666666666</v>
      </c>
      <c r="I10" s="7">
        <v>1</v>
      </c>
      <c r="J10" s="1" t="s">
        <v>18</v>
      </c>
    </row>
    <row r="11" spans="1:13" x14ac:dyDescent="0.2">
      <c r="A11" s="4" t="s">
        <v>46</v>
      </c>
      <c r="B11" s="4">
        <v>10</v>
      </c>
      <c r="C11" s="1" t="s">
        <v>8</v>
      </c>
      <c r="D11" s="7">
        <v>0</v>
      </c>
      <c r="E11" s="7">
        <v>0</v>
      </c>
      <c r="F11" s="4">
        <v>1</v>
      </c>
      <c r="G11" s="7">
        <v>0</v>
      </c>
      <c r="H11" s="7">
        <v>0</v>
      </c>
      <c r="I11" s="7">
        <v>1</v>
      </c>
      <c r="J11" s="1" t="s">
        <v>47</v>
      </c>
    </row>
    <row r="12" spans="1:13" x14ac:dyDescent="0.2">
      <c r="A12" s="4" t="s">
        <v>46</v>
      </c>
      <c r="B12" s="4">
        <v>11</v>
      </c>
      <c r="C12" s="1" t="s">
        <v>9</v>
      </c>
      <c r="D12" s="7">
        <v>1</v>
      </c>
      <c r="E12" s="7">
        <v>1</v>
      </c>
      <c r="F12" s="4">
        <v>1</v>
      </c>
      <c r="G12" s="7">
        <v>1</v>
      </c>
      <c r="H12" s="7">
        <v>1</v>
      </c>
      <c r="I12" s="7">
        <v>1</v>
      </c>
      <c r="J12" s="1" t="s">
        <v>17</v>
      </c>
    </row>
    <row r="13" spans="1:13" x14ac:dyDescent="0.2">
      <c r="A13" s="4" t="s">
        <v>46</v>
      </c>
      <c r="B13" s="4">
        <v>12</v>
      </c>
      <c r="C13" s="1" t="s">
        <v>25</v>
      </c>
      <c r="D13" s="7">
        <f>D15*mpk2nmol/(D4*D14)</f>
        <v>0.25700000000000001</v>
      </c>
      <c r="E13" s="7">
        <f>E15*mpk2nmol/(E4*E14)</f>
        <v>40320005760</v>
      </c>
      <c r="F13" s="4" t="s">
        <v>50</v>
      </c>
      <c r="G13" s="7">
        <f>G15*mpk2nmol/(G4*G14)</f>
        <v>4.7133333333333347</v>
      </c>
      <c r="H13" s="7">
        <f>H15*mpk2nmol/(H4*H14)</f>
        <v>4733866666.666667</v>
      </c>
      <c r="I13" s="7" t="s">
        <v>50</v>
      </c>
      <c r="J13" s="1" t="s">
        <v>17</v>
      </c>
      <c r="K13" s="1" t="s">
        <v>42</v>
      </c>
      <c r="L13" s="1" t="s">
        <v>43</v>
      </c>
      <c r="M13" s="1">
        <f>70*0.001/150000*1000000000</f>
        <v>466.66666666666674</v>
      </c>
    </row>
    <row r="14" spans="1:13" x14ac:dyDescent="0.2">
      <c r="A14" s="4" t="s">
        <v>46</v>
      </c>
      <c r="B14" s="4">
        <v>13</v>
      </c>
      <c r="C14" s="1" t="s">
        <v>28</v>
      </c>
      <c r="D14" s="7">
        <v>21</v>
      </c>
      <c r="E14" s="7">
        <v>21</v>
      </c>
      <c r="F14" s="4">
        <v>1</v>
      </c>
      <c r="G14" s="7">
        <v>21</v>
      </c>
      <c r="H14" s="7">
        <v>21</v>
      </c>
      <c r="I14" s="7">
        <v>1</v>
      </c>
      <c r="J14" s="1" t="s">
        <v>31</v>
      </c>
      <c r="K14" s="1" t="s">
        <v>36</v>
      </c>
      <c r="L14" s="1" t="s">
        <v>65</v>
      </c>
      <c r="M14" s="1">
        <f>1/mpk2nmol</f>
        <v>2.1428571428571425E-3</v>
      </c>
    </row>
    <row r="15" spans="1:13" ht="34" x14ac:dyDescent="0.2">
      <c r="A15" s="4"/>
      <c r="B15" s="4">
        <v>14</v>
      </c>
      <c r="C15" s="1" t="s">
        <v>32</v>
      </c>
      <c r="D15" s="15">
        <f>D29*D18*D4*D14/E16*nmol2mpk</f>
        <v>2.7755999999999996E-2</v>
      </c>
      <c r="E15" s="10">
        <f>E29*E18*E4*E14/D16*nmol2mpk</f>
        <v>4354560622.079999</v>
      </c>
      <c r="F15" s="11" t="s">
        <v>50</v>
      </c>
      <c r="G15" s="14">
        <f>G29*G18*G4*G14/H16</f>
        <v>0.50904000000000005</v>
      </c>
      <c r="H15" s="14">
        <f>H29*H18*H4*H14/G16</f>
        <v>511257600</v>
      </c>
      <c r="I15" s="14" t="s">
        <v>50</v>
      </c>
      <c r="J15" s="1" t="s">
        <v>34</v>
      </c>
      <c r="K15" s="8" t="s">
        <v>56</v>
      </c>
    </row>
    <row r="16" spans="1:13" x14ac:dyDescent="0.2">
      <c r="A16" s="4"/>
      <c r="B16" s="4">
        <v>14.5</v>
      </c>
      <c r="C16" s="1" t="s">
        <v>51</v>
      </c>
      <c r="D16" s="7">
        <v>1E-4</v>
      </c>
      <c r="E16" s="7">
        <v>1</v>
      </c>
      <c r="F16" s="4">
        <v>0</v>
      </c>
      <c r="G16" s="12">
        <f>Table1[[#This Row],[min_sol]]</f>
        <v>1E-4</v>
      </c>
      <c r="H16" s="12">
        <f>Table1[[#This Row],[max_sol]]</f>
        <v>1</v>
      </c>
      <c r="I16" s="12">
        <f>Table1[[#This Row],[type_sol]]</f>
        <v>0</v>
      </c>
      <c r="J16" s="1" t="s">
        <v>46</v>
      </c>
      <c r="K16" s="1" t="s">
        <v>52</v>
      </c>
    </row>
    <row r="17" spans="1:13" x14ac:dyDescent="0.2">
      <c r="A17" s="4"/>
      <c r="B17" s="4">
        <v>15</v>
      </c>
      <c r="C17" s="1" t="s">
        <v>13</v>
      </c>
      <c r="D17" s="9">
        <v>1E-4</v>
      </c>
      <c r="E17" s="9">
        <v>1000</v>
      </c>
      <c r="F17" s="4">
        <v>0</v>
      </c>
      <c r="G17" s="12">
        <f>Table1[[#This Row],[min_sol]]</f>
        <v>1E-4</v>
      </c>
      <c r="H17" s="12">
        <f>Table1[[#This Row],[max_sol]]</f>
        <v>1000</v>
      </c>
      <c r="I17" s="12">
        <f>Table1[[#This Row],[type_sol]]</f>
        <v>0</v>
      </c>
      <c r="J17" s="1" t="s">
        <v>17</v>
      </c>
      <c r="K17" s="1" t="s">
        <v>61</v>
      </c>
    </row>
    <row r="18" spans="1:13" x14ac:dyDescent="0.2">
      <c r="A18" s="4"/>
      <c r="B18" s="4">
        <v>15.5</v>
      </c>
      <c r="C18" s="1" t="s">
        <v>53</v>
      </c>
      <c r="D18" s="10">
        <f>D19/E20</f>
        <v>7</v>
      </c>
      <c r="E18" s="10">
        <f>E19/D20</f>
        <v>40320</v>
      </c>
      <c r="F18" s="11" t="s">
        <v>50</v>
      </c>
      <c r="G18" s="14">
        <v>0.1</v>
      </c>
      <c r="H18" s="14">
        <v>10</v>
      </c>
      <c r="I18" s="14">
        <v>0</v>
      </c>
      <c r="J18" s="1" t="s">
        <v>46</v>
      </c>
      <c r="K18" s="1" t="s">
        <v>54</v>
      </c>
    </row>
    <row r="19" spans="1:13" x14ac:dyDescent="0.2">
      <c r="A19" s="4"/>
      <c r="B19" s="4">
        <v>17</v>
      </c>
      <c r="C19" s="1" t="s">
        <v>4</v>
      </c>
      <c r="D19" s="7">
        <v>1</v>
      </c>
      <c r="E19" s="7">
        <f>1*24*60</f>
        <v>1440</v>
      </c>
      <c r="F19" s="4">
        <v>0</v>
      </c>
      <c r="G19" s="12">
        <f>Table1[[#This Row],[min_sol]]</f>
        <v>1</v>
      </c>
      <c r="H19" s="12">
        <f>Table1[[#This Row],[max_sol]]</f>
        <v>1440</v>
      </c>
      <c r="I19" s="12">
        <f>Table1[[#This Row],[type_sol]]</f>
        <v>0</v>
      </c>
      <c r="J19" s="1" t="s">
        <v>18</v>
      </c>
      <c r="K19" s="3" t="s">
        <v>26</v>
      </c>
    </row>
    <row r="20" spans="1:13" x14ac:dyDescent="0.2">
      <c r="A20" s="4"/>
      <c r="B20" s="4">
        <v>19</v>
      </c>
      <c r="C20" s="1" t="s">
        <v>6</v>
      </c>
      <c r="D20" s="13">
        <f>1/28</f>
        <v>3.5714285714285712E-2</v>
      </c>
      <c r="E20" s="13">
        <f>1/7</f>
        <v>0.14285714285714285</v>
      </c>
      <c r="F20" s="11">
        <v>0</v>
      </c>
      <c r="G20" s="14">
        <f>G19/H18</f>
        <v>0.1</v>
      </c>
      <c r="H20" s="14">
        <f>H19/G18</f>
        <v>14400</v>
      </c>
      <c r="I20" s="14" t="s">
        <v>50</v>
      </c>
      <c r="J20" s="1" t="s">
        <v>18</v>
      </c>
    </row>
    <row r="21" spans="1:13" x14ac:dyDescent="0.2">
      <c r="A21" s="4"/>
      <c r="B21" s="4">
        <v>16</v>
      </c>
      <c r="C21" s="1" t="s">
        <v>14</v>
      </c>
      <c r="D21" s="7">
        <v>1E-4</v>
      </c>
      <c r="E21" s="7">
        <v>1000</v>
      </c>
      <c r="F21" s="4">
        <v>0</v>
      </c>
      <c r="G21" s="12">
        <f>Table1[[#This Row],[min_sol]]</f>
        <v>1E-4</v>
      </c>
      <c r="H21" s="12">
        <f>Table1[[#This Row],[max_sol]]</f>
        <v>1000</v>
      </c>
      <c r="I21" s="12">
        <f>Table1[[#This Row],[type_sol]]</f>
        <v>0</v>
      </c>
      <c r="J21" s="1" t="s">
        <v>17</v>
      </c>
      <c r="K21" s="1" t="s">
        <v>33</v>
      </c>
    </row>
    <row r="22" spans="1:13" x14ac:dyDescent="0.2">
      <c r="A22" s="4"/>
      <c r="B22" s="4">
        <v>17.5</v>
      </c>
      <c r="C22" s="1" t="s">
        <v>64</v>
      </c>
      <c r="D22" s="7">
        <v>0.1</v>
      </c>
      <c r="E22" s="7">
        <v>10</v>
      </c>
      <c r="F22" s="4">
        <v>0</v>
      </c>
      <c r="G22" s="12">
        <f>Table1[[#This Row],[min_sol]]</f>
        <v>0.1</v>
      </c>
      <c r="H22" s="12">
        <f>Table1[[#This Row],[max_sol]]</f>
        <v>10</v>
      </c>
      <c r="I22" s="12">
        <f>Table1[[#This Row],[type_sol]]</f>
        <v>0</v>
      </c>
      <c r="J22" s="1" t="s">
        <v>46</v>
      </c>
      <c r="K22" s="1" t="s">
        <v>55</v>
      </c>
    </row>
    <row r="23" spans="1:13" x14ac:dyDescent="0.2">
      <c r="A23" s="4"/>
      <c r="B23" s="4">
        <v>18</v>
      </c>
      <c r="C23" s="1" t="s">
        <v>5</v>
      </c>
      <c r="D23" s="9">
        <f>G19</f>
        <v>1</v>
      </c>
      <c r="E23" s="9">
        <f>H19</f>
        <v>1440</v>
      </c>
      <c r="F23" s="4">
        <v>0</v>
      </c>
      <c r="G23" s="12">
        <f>Table1[[#This Row],[min_sol]]</f>
        <v>1</v>
      </c>
      <c r="H23" s="12">
        <f>Table1[[#This Row],[max_sol]]</f>
        <v>1440</v>
      </c>
      <c r="I23" s="12">
        <f>Table1[[#This Row],[type_sol]]</f>
        <v>0</v>
      </c>
      <c r="J23" s="1" t="s">
        <v>18</v>
      </c>
      <c r="K23" s="3" t="s">
        <v>26</v>
      </c>
    </row>
    <row r="24" spans="1:13" x14ac:dyDescent="0.2">
      <c r="A24" s="4"/>
      <c r="B24" s="4">
        <v>20</v>
      </c>
      <c r="C24" s="1" t="s">
        <v>7</v>
      </c>
      <c r="D24" s="10">
        <f>D23/E22</f>
        <v>0.1</v>
      </c>
      <c r="E24" s="10">
        <f>E23/D22</f>
        <v>14400</v>
      </c>
      <c r="F24" s="11" t="s">
        <v>50</v>
      </c>
      <c r="G24" s="12">
        <f>Table1[[#This Row],[min_sol]]</f>
        <v>0.1</v>
      </c>
      <c r="H24" s="12">
        <f>Table1[[#This Row],[max_sol]]</f>
        <v>14400</v>
      </c>
      <c r="I24" s="12" t="str">
        <f>Table1[[#This Row],[type_sol]]</f>
        <v>derived</v>
      </c>
      <c r="J24" s="1" t="s">
        <v>18</v>
      </c>
      <c r="K24" s="3"/>
    </row>
    <row r="25" spans="1:13" x14ac:dyDescent="0.2">
      <c r="A25" s="4"/>
      <c r="B25" s="4">
        <v>21</v>
      </c>
      <c r="C25" s="1" t="s">
        <v>19</v>
      </c>
      <c r="D25" s="7">
        <v>1E-3</v>
      </c>
      <c r="E25" s="7">
        <v>100</v>
      </c>
      <c r="F25" s="4">
        <v>0</v>
      </c>
      <c r="G25" s="12">
        <f>Table1[[#This Row],[min_sol]]</f>
        <v>1E-3</v>
      </c>
      <c r="H25" s="12">
        <f>Table1[[#This Row],[max_sol]]</f>
        <v>100</v>
      </c>
      <c r="I25" s="12">
        <f>Table1[[#This Row],[type_sol]]</f>
        <v>0</v>
      </c>
      <c r="J25" s="1" t="s">
        <v>17</v>
      </c>
      <c r="K25" s="1" t="s">
        <v>21</v>
      </c>
    </row>
    <row r="26" spans="1:13" x14ac:dyDescent="0.2">
      <c r="A26" s="4"/>
      <c r="B26" s="4">
        <v>22</v>
      </c>
      <c r="C26" s="1" t="s">
        <v>20</v>
      </c>
      <c r="D26" s="7">
        <v>1E-3</v>
      </c>
      <c r="E26" s="7">
        <v>1000</v>
      </c>
      <c r="F26" s="4">
        <v>0</v>
      </c>
      <c r="G26" s="12">
        <f>Table1[[#This Row],[min_sol]]</f>
        <v>1E-3</v>
      </c>
      <c r="H26" s="12">
        <f>Table1[[#This Row],[max_sol]]</f>
        <v>1000</v>
      </c>
      <c r="I26" s="12">
        <f>Table1[[#This Row],[type_sol]]</f>
        <v>0</v>
      </c>
      <c r="J26" s="1" t="s">
        <v>17</v>
      </c>
      <c r="K26" s="1" t="s">
        <v>22</v>
      </c>
    </row>
    <row r="27" spans="1:13" x14ac:dyDescent="0.2">
      <c r="A27" s="4"/>
      <c r="B27" s="4">
        <v>23</v>
      </c>
      <c r="C27" s="1" t="s">
        <v>10</v>
      </c>
      <c r="D27" s="7">
        <v>1</v>
      </c>
      <c r="E27" s="7">
        <v>10000</v>
      </c>
      <c r="F27" s="4">
        <v>0</v>
      </c>
      <c r="G27" s="12">
        <f>Table1[[#This Row],[min_sol]]</f>
        <v>1</v>
      </c>
      <c r="H27" s="12">
        <f>Table1[[#This Row],[max_sol]]</f>
        <v>10000</v>
      </c>
      <c r="I27" s="12">
        <f>Table1[[#This Row],[type_sol]]</f>
        <v>0</v>
      </c>
      <c r="J27" s="1" t="s">
        <v>23</v>
      </c>
      <c r="K27" s="3" t="s">
        <v>37</v>
      </c>
      <c r="L27" s="1" t="s">
        <v>38</v>
      </c>
      <c r="M27" s="1">
        <f>1/1000000000*24*60*60</f>
        <v>8.6400000000000013E-5</v>
      </c>
    </row>
    <row r="28" spans="1:13" x14ac:dyDescent="0.2">
      <c r="A28" s="4"/>
      <c r="B28" s="4">
        <v>24</v>
      </c>
      <c r="C28" s="1" t="s">
        <v>11</v>
      </c>
      <c r="D28" s="7">
        <v>1</v>
      </c>
      <c r="E28" s="7">
        <v>10000</v>
      </c>
      <c r="F28" s="4">
        <v>0</v>
      </c>
      <c r="G28" s="12">
        <f>Table1[[#This Row],[min_sol]]</f>
        <v>1</v>
      </c>
      <c r="H28" s="12">
        <f>Table1[[#This Row],[max_sol]]</f>
        <v>10000</v>
      </c>
      <c r="I28" s="12">
        <f>Table1[[#This Row],[type_sol]]</f>
        <v>0</v>
      </c>
      <c r="J28" s="1" t="s">
        <v>23</v>
      </c>
      <c r="K28" s="1" t="s">
        <v>24</v>
      </c>
      <c r="L28" s="2"/>
    </row>
    <row r="29" spans="1:13" x14ac:dyDescent="0.2">
      <c r="A29" s="4"/>
      <c r="B29" s="4">
        <v>25</v>
      </c>
      <c r="C29" s="1" t="s">
        <v>27</v>
      </c>
      <c r="D29" s="7">
        <f>D25+ D20/D27</f>
        <v>3.6714285714285713E-2</v>
      </c>
      <c r="E29" s="7">
        <f>E25+ E20/E27</f>
        <v>100.00001428571429</v>
      </c>
      <c r="F29" s="4" t="s">
        <v>50</v>
      </c>
      <c r="G29" s="7">
        <f>G25+ G20/G27</f>
        <v>0.10100000000000001</v>
      </c>
      <c r="H29" s="7">
        <f>H25+ H20/H27</f>
        <v>101.44</v>
      </c>
      <c r="I29" s="7" t="s">
        <v>50</v>
      </c>
      <c r="J29" s="1" t="s">
        <v>17</v>
      </c>
      <c r="K29" s="1" t="s">
        <v>66</v>
      </c>
    </row>
    <row r="30" spans="1:13" x14ac:dyDescent="0.2">
      <c r="D30" s="5"/>
      <c r="E30" s="5"/>
      <c r="F30" s="5"/>
      <c r="G30" s="5"/>
      <c r="H30" s="5"/>
      <c r="I30" s="5"/>
    </row>
    <row r="32" spans="1:13" x14ac:dyDescent="0.2">
      <c r="D32" s="5"/>
      <c r="E32" s="5"/>
      <c r="F32" s="5"/>
      <c r="G32" s="5"/>
      <c r="H32" s="5"/>
      <c r="I32" s="5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Task05_Param_Summary</vt:lpstr>
      <vt:lpstr>mpk2nmol</vt:lpstr>
      <vt:lpstr>Ms2nMd</vt:lpstr>
      <vt:lpstr>nmol2mpk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2019-09-18T17:21:23Z</dcterms:created>
  <dcterms:modified xsi:type="dcterms:W3CDTF">2019-10-11T19:26:36Z</dcterms:modified>
</cp:coreProperties>
</file>