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anss\OneDrive\Рабочий стол\VKR_IPO_Begusheva\"/>
    </mc:Choice>
  </mc:AlternateContent>
  <xr:revisionPtr revIDLastSave="0" documentId="8_{76020F7B-CEC7-4CDE-82B0-B63EB9B2F02A}" xr6:coauthVersionLast="47" xr6:coauthVersionMax="47" xr10:uidLastSave="{00000000-0000-0000-0000-000000000000}"/>
  <bookViews>
    <workbookView xWindow="-120" yWindow="-120" windowWidth="29040" windowHeight="15720" activeTab="1" xr2:uid="{9CA43D5C-FD83-C242-BAF9-FA342BB850D6}"/>
  </bookViews>
  <sheets>
    <sheet name="Исходник" sheetId="1" r:id="rId1"/>
    <sheet name="Модель" sheetId="2" r:id="rId2"/>
  </sheets>
  <externalReferences>
    <externalReference r:id="rId3"/>
  </externalReferences>
  <definedNames>
    <definedName name="_xlnm._FilterDatabase" localSheetId="0" hidden="1">Исходник!$A$1:$AR$152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2" l="1"/>
  <c r="R52" i="2"/>
  <c r="R26" i="2"/>
  <c r="R27" i="2"/>
  <c r="R3" i="2"/>
  <c r="R109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8" i="2"/>
  <c r="R29" i="2"/>
  <c r="R30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5" i="2"/>
  <c r="R76" i="2"/>
  <c r="R77" i="2"/>
  <c r="R78" i="2"/>
  <c r="R79" i="2"/>
  <c r="R80" i="2"/>
  <c r="R81" i="2"/>
  <c r="R82" i="2"/>
  <c r="R83" i="2"/>
  <c r="R84" i="2"/>
  <c r="R85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10" i="2"/>
  <c r="R111" i="2"/>
  <c r="R113" i="2"/>
  <c r="R114" i="2"/>
  <c r="R4" i="2"/>
  <c r="R5" i="2"/>
  <c r="R6" i="2"/>
  <c r="R7" i="2"/>
  <c r="R8" i="2"/>
  <c r="R9" i="2"/>
  <c r="R10" i="2"/>
  <c r="R11" i="2"/>
  <c r="R2" i="2"/>
  <c r="Z39" i="2"/>
  <c r="AA3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2" i="2"/>
  <c r="AA2" i="2"/>
  <c r="D114" i="2" l="1"/>
  <c r="G114" i="2" s="1"/>
  <c r="P113" i="2"/>
  <c r="K113" i="2"/>
  <c r="G113" i="2"/>
  <c r="K112" i="2"/>
  <c r="P112" i="2"/>
  <c r="M111" i="2"/>
  <c r="O111" i="2"/>
  <c r="H111" i="2"/>
  <c r="E111" i="2"/>
  <c r="P111" i="2"/>
  <c r="P110" i="2"/>
  <c r="E110" i="2"/>
  <c r="AA109" i="2"/>
  <c r="AA110" i="2"/>
  <c r="AA111" i="2"/>
  <c r="AA112" i="2"/>
  <c r="AA113" i="2"/>
  <c r="AA114" i="2"/>
  <c r="Z109" i="2"/>
  <c r="Z110" i="2"/>
  <c r="Z111" i="2"/>
  <c r="Z112" i="2"/>
  <c r="Z113" i="2"/>
  <c r="Z114" i="2"/>
  <c r="Y110" i="2"/>
  <c r="Y111" i="2"/>
  <c r="Y112" i="2"/>
  <c r="Y113" i="2"/>
  <c r="Y114" i="2"/>
  <c r="X109" i="2"/>
  <c r="X110" i="2"/>
  <c r="X111" i="2"/>
  <c r="X112" i="2"/>
  <c r="X113" i="2"/>
  <c r="X114" i="2"/>
  <c r="W109" i="2"/>
  <c r="W110" i="2"/>
  <c r="W111" i="2"/>
  <c r="W112" i="2"/>
  <c r="W113" i="2"/>
  <c r="W114" i="2"/>
  <c r="V109" i="2"/>
  <c r="V110" i="2"/>
  <c r="V111" i="2"/>
  <c r="V112" i="2"/>
  <c r="V113" i="2"/>
  <c r="V114" i="2"/>
  <c r="U109" i="2"/>
  <c r="U110" i="2"/>
  <c r="U111" i="2"/>
  <c r="U112" i="2"/>
  <c r="U113" i="2"/>
  <c r="U114" i="2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M109" i="2"/>
  <c r="H109" i="2"/>
  <c r="G109" i="2"/>
  <c r="Q113" i="2"/>
  <c r="Q114" i="2"/>
  <c r="Q112" i="2"/>
  <c r="Q111" i="2"/>
  <c r="Q110" i="2"/>
  <c r="Q109" i="2"/>
  <c r="P114" i="2" l="1"/>
  <c r="AS3" i="1"/>
  <c r="AS2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2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2" i="2"/>
  <c r="T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2" i="2"/>
  <c r="V108" i="2" l="1"/>
  <c r="P108" i="2"/>
  <c r="O108" i="2"/>
  <c r="M108" i="2"/>
  <c r="K108" i="2"/>
  <c r="H108" i="2"/>
  <c r="G108" i="2"/>
  <c r="E108" i="2"/>
  <c r="V107" i="2"/>
  <c r="P107" i="2"/>
  <c r="M107" i="2"/>
  <c r="H107" i="2"/>
  <c r="V106" i="2"/>
  <c r="P106" i="2"/>
  <c r="O106" i="2"/>
  <c r="M106" i="2"/>
  <c r="H106" i="2"/>
  <c r="E106" i="2"/>
  <c r="V105" i="2"/>
  <c r="K105" i="2"/>
  <c r="V104" i="2"/>
  <c r="P104" i="2"/>
  <c r="L104" i="2"/>
  <c r="K104" i="2"/>
  <c r="G104" i="2"/>
  <c r="E104" i="2"/>
  <c r="V103" i="2"/>
  <c r="P103" i="2"/>
  <c r="O103" i="2"/>
  <c r="M103" i="2"/>
  <c r="L103" i="2"/>
  <c r="K103" i="2"/>
  <c r="J103" i="2"/>
  <c r="H103" i="2"/>
  <c r="E103" i="2"/>
  <c r="V102" i="2"/>
  <c r="G102" i="2"/>
  <c r="E102" i="2"/>
  <c r="V101" i="2"/>
  <c r="P101" i="2"/>
  <c r="G101" i="2"/>
  <c r="E101" i="2"/>
  <c r="V100" i="2"/>
  <c r="P100" i="2"/>
  <c r="L100" i="2"/>
  <c r="K100" i="2"/>
  <c r="J100" i="2"/>
  <c r="G100" i="2"/>
  <c r="E100" i="2"/>
  <c r="V99" i="2"/>
  <c r="P99" i="2"/>
  <c r="O99" i="2"/>
  <c r="M99" i="2"/>
  <c r="L99" i="2"/>
  <c r="K99" i="2"/>
  <c r="H99" i="2"/>
  <c r="G99" i="2"/>
  <c r="E99" i="2"/>
  <c r="V98" i="2"/>
  <c r="P98" i="2"/>
  <c r="M98" i="2"/>
  <c r="H98" i="2"/>
  <c r="O98" i="2" s="1"/>
  <c r="G98" i="2"/>
  <c r="E98" i="2"/>
  <c r="V97" i="2"/>
  <c r="P97" i="2"/>
  <c r="O97" i="2"/>
  <c r="M97" i="2"/>
  <c r="L97" i="2"/>
  <c r="H97" i="2"/>
  <c r="G97" i="2"/>
  <c r="E97" i="2"/>
  <c r="V96" i="2"/>
  <c r="E96" i="2"/>
  <c r="V95" i="2"/>
  <c r="P95" i="2"/>
  <c r="O95" i="2"/>
  <c r="M95" i="2"/>
  <c r="H95" i="2"/>
  <c r="G95" i="2"/>
  <c r="V94" i="2"/>
  <c r="P94" i="2"/>
  <c r="O94" i="2"/>
  <c r="M94" i="2"/>
  <c r="H94" i="2"/>
  <c r="G94" i="2"/>
  <c r="E94" i="2"/>
  <c r="V93" i="2"/>
  <c r="P93" i="2"/>
  <c r="E93" i="2"/>
  <c r="V92" i="2"/>
  <c r="P92" i="2"/>
  <c r="V91" i="2"/>
  <c r="L91" i="2"/>
  <c r="K91" i="2"/>
  <c r="G91" i="2"/>
  <c r="V90" i="2"/>
  <c r="P90" i="2"/>
  <c r="O90" i="2"/>
  <c r="M90" i="2"/>
  <c r="L90" i="2"/>
  <c r="K90" i="2"/>
  <c r="H90" i="2"/>
  <c r="G90" i="2"/>
  <c r="E90" i="2"/>
  <c r="V89" i="2"/>
  <c r="P89" i="2"/>
  <c r="O89" i="2"/>
  <c r="M89" i="2"/>
  <c r="H89" i="2"/>
  <c r="G89" i="2"/>
  <c r="E89" i="2"/>
  <c r="V88" i="2"/>
  <c r="P88" i="2"/>
  <c r="V87" i="2"/>
  <c r="P87" i="2"/>
  <c r="O87" i="2"/>
  <c r="M87" i="2"/>
  <c r="K87" i="2"/>
  <c r="H87" i="2"/>
  <c r="G87" i="2"/>
  <c r="E87" i="2"/>
  <c r="V86" i="2"/>
  <c r="P86" i="2"/>
  <c r="V85" i="2"/>
  <c r="P85" i="2"/>
  <c r="O85" i="2"/>
  <c r="M85" i="2"/>
  <c r="H85" i="2"/>
  <c r="G85" i="2"/>
  <c r="E85" i="2"/>
  <c r="V84" i="2"/>
  <c r="P84" i="2"/>
  <c r="O84" i="2"/>
  <c r="M84" i="2"/>
  <c r="L84" i="2"/>
  <c r="K84" i="2"/>
  <c r="H84" i="2"/>
  <c r="G84" i="2"/>
  <c r="E84" i="2"/>
  <c r="V83" i="2"/>
  <c r="P83" i="2"/>
  <c r="O83" i="2"/>
  <c r="M83" i="2"/>
  <c r="L83" i="2"/>
  <c r="K83" i="2"/>
  <c r="H83" i="2"/>
  <c r="G83" i="2"/>
  <c r="E83" i="2"/>
  <c r="V82" i="2"/>
  <c r="O82" i="2"/>
  <c r="M82" i="2"/>
  <c r="K82" i="2"/>
  <c r="H82" i="2"/>
  <c r="G82" i="2"/>
  <c r="E82" i="2"/>
  <c r="V81" i="2"/>
  <c r="P81" i="2"/>
  <c r="O81" i="2"/>
  <c r="M81" i="2"/>
  <c r="K81" i="2"/>
  <c r="H81" i="2"/>
  <c r="G81" i="2"/>
  <c r="E81" i="2"/>
  <c r="V80" i="2"/>
  <c r="P80" i="2"/>
  <c r="L80" i="2"/>
  <c r="K80" i="2"/>
  <c r="G80" i="2"/>
  <c r="V79" i="2"/>
  <c r="G79" i="2"/>
  <c r="V78" i="2"/>
  <c r="P78" i="2"/>
  <c r="L78" i="2"/>
  <c r="K78" i="2"/>
  <c r="J78" i="2"/>
  <c r="G78" i="2"/>
  <c r="E78" i="2"/>
  <c r="V77" i="2"/>
  <c r="P77" i="2"/>
  <c r="O77" i="2"/>
  <c r="M77" i="2"/>
  <c r="H77" i="2"/>
  <c r="G77" i="2"/>
  <c r="E77" i="2"/>
  <c r="V76" i="2"/>
  <c r="P76" i="2"/>
  <c r="O76" i="2"/>
  <c r="M76" i="2"/>
  <c r="L76" i="2"/>
  <c r="K76" i="2"/>
  <c r="H76" i="2"/>
  <c r="E76" i="2"/>
  <c r="V75" i="2"/>
  <c r="M75" i="2"/>
  <c r="L75" i="2"/>
  <c r="K75" i="2"/>
  <c r="H75" i="2"/>
  <c r="G75" i="2"/>
  <c r="V74" i="2"/>
  <c r="P74" i="2"/>
  <c r="O74" i="2"/>
  <c r="M74" i="2"/>
  <c r="K74" i="2"/>
  <c r="H74" i="2"/>
  <c r="G74" i="2"/>
  <c r="V73" i="2"/>
  <c r="P73" i="2"/>
  <c r="O73" i="2"/>
  <c r="M73" i="2"/>
  <c r="K73" i="2"/>
  <c r="H73" i="2"/>
  <c r="G73" i="2"/>
  <c r="E73" i="2"/>
  <c r="V72" i="2"/>
  <c r="O72" i="2"/>
  <c r="M72" i="2"/>
  <c r="K72" i="2"/>
  <c r="H72" i="2"/>
  <c r="G72" i="2"/>
  <c r="E72" i="2"/>
  <c r="V71" i="2"/>
  <c r="P71" i="2"/>
  <c r="L71" i="2"/>
  <c r="K71" i="2"/>
  <c r="G71" i="2"/>
  <c r="E71" i="2"/>
  <c r="V70" i="2"/>
  <c r="P70" i="2"/>
  <c r="O70" i="2"/>
  <c r="M70" i="2"/>
  <c r="L70" i="2"/>
  <c r="K70" i="2"/>
  <c r="H70" i="2"/>
  <c r="G70" i="2"/>
  <c r="E70" i="2"/>
  <c r="V69" i="2"/>
  <c r="P69" i="2"/>
  <c r="G69" i="2"/>
  <c r="E69" i="2"/>
  <c r="V68" i="2"/>
  <c r="P68" i="2"/>
  <c r="O68" i="2"/>
  <c r="M68" i="2"/>
  <c r="K68" i="2"/>
  <c r="H68" i="2"/>
  <c r="G68" i="2"/>
  <c r="E68" i="2"/>
  <c r="V67" i="2"/>
  <c r="P67" i="2"/>
  <c r="O67" i="2"/>
  <c r="M67" i="2"/>
  <c r="L67" i="2"/>
  <c r="K67" i="2"/>
  <c r="H67" i="2"/>
  <c r="G67" i="2"/>
  <c r="V66" i="2"/>
  <c r="P66" i="2"/>
  <c r="O66" i="2"/>
  <c r="M66" i="2"/>
  <c r="H66" i="2"/>
  <c r="G66" i="2"/>
  <c r="E66" i="2"/>
  <c r="V65" i="2"/>
  <c r="P65" i="2"/>
  <c r="O65" i="2"/>
  <c r="M65" i="2"/>
  <c r="L65" i="2"/>
  <c r="K65" i="2"/>
  <c r="J65" i="2"/>
  <c r="H65" i="2"/>
  <c r="G65" i="2"/>
  <c r="E65" i="2"/>
  <c r="V64" i="2"/>
  <c r="P64" i="2"/>
  <c r="O64" i="2"/>
  <c r="M64" i="2"/>
  <c r="H64" i="2"/>
  <c r="E64" i="2"/>
  <c r="V63" i="2"/>
  <c r="P63" i="2"/>
  <c r="O63" i="2"/>
  <c r="M63" i="2"/>
  <c r="H63" i="2"/>
  <c r="G63" i="2"/>
  <c r="E63" i="2"/>
  <c r="V62" i="2"/>
  <c r="P62" i="2"/>
  <c r="O62" i="2"/>
  <c r="M62" i="2"/>
  <c r="K62" i="2"/>
  <c r="H62" i="2"/>
  <c r="G62" i="2"/>
  <c r="E62" i="2"/>
  <c r="V61" i="2"/>
  <c r="O61" i="2"/>
  <c r="M61" i="2"/>
  <c r="H61" i="2"/>
  <c r="G61" i="2"/>
  <c r="V60" i="2"/>
  <c r="P60" i="2"/>
  <c r="O60" i="2"/>
  <c r="M60" i="2"/>
  <c r="L60" i="2"/>
  <c r="H60" i="2"/>
  <c r="E60" i="2"/>
  <c r="V59" i="2"/>
  <c r="G59" i="2"/>
  <c r="V58" i="2"/>
  <c r="L58" i="2"/>
  <c r="K58" i="2"/>
  <c r="D58" i="2"/>
  <c r="G58" i="2" s="1"/>
  <c r="V57" i="2"/>
  <c r="P57" i="2"/>
  <c r="O57" i="2"/>
  <c r="M57" i="2"/>
  <c r="H57" i="2"/>
  <c r="E57" i="2"/>
  <c r="V56" i="2"/>
  <c r="O56" i="2"/>
  <c r="M56" i="2"/>
  <c r="H56" i="2"/>
  <c r="G56" i="2"/>
  <c r="E56" i="2"/>
  <c r="V55" i="2"/>
  <c r="P55" i="2"/>
  <c r="O55" i="2"/>
  <c r="M55" i="2"/>
  <c r="H55" i="2"/>
  <c r="G55" i="2"/>
  <c r="E55" i="2"/>
  <c r="V54" i="2"/>
  <c r="O54" i="2"/>
  <c r="M54" i="2"/>
  <c r="H54" i="2"/>
  <c r="G54" i="2"/>
  <c r="V53" i="2"/>
  <c r="O53" i="2"/>
  <c r="M53" i="2"/>
  <c r="L53" i="2"/>
  <c r="H53" i="2"/>
  <c r="G53" i="2"/>
  <c r="V52" i="2"/>
  <c r="P52" i="2"/>
  <c r="O52" i="2"/>
  <c r="M52" i="2"/>
  <c r="H52" i="2"/>
  <c r="G52" i="2"/>
  <c r="E52" i="2"/>
  <c r="V51" i="2"/>
  <c r="P51" i="2"/>
  <c r="O51" i="2"/>
  <c r="H51" i="2"/>
  <c r="E51" i="2"/>
  <c r="V50" i="2"/>
  <c r="P50" i="2"/>
  <c r="O50" i="2"/>
  <c r="M50" i="2"/>
  <c r="H50" i="2"/>
  <c r="G50" i="2"/>
  <c r="E50" i="2"/>
  <c r="V49" i="2"/>
  <c r="P49" i="2"/>
  <c r="O49" i="2"/>
  <c r="M49" i="2"/>
  <c r="H49" i="2"/>
  <c r="G49" i="2"/>
  <c r="E49" i="2"/>
  <c r="V48" i="2"/>
  <c r="P48" i="2"/>
  <c r="O48" i="2"/>
  <c r="M48" i="2"/>
  <c r="H48" i="2"/>
  <c r="G48" i="2"/>
  <c r="E48" i="2"/>
  <c r="V47" i="2"/>
  <c r="K47" i="2"/>
  <c r="V46" i="2"/>
  <c r="P46" i="2"/>
  <c r="M46" i="2"/>
  <c r="K46" i="2"/>
  <c r="H46" i="2"/>
  <c r="G46" i="2"/>
  <c r="E46" i="2"/>
  <c r="V45" i="2"/>
  <c r="P45" i="2"/>
  <c r="O45" i="2"/>
  <c r="M45" i="2"/>
  <c r="H45" i="2"/>
  <c r="E45" i="2"/>
  <c r="V44" i="2"/>
  <c r="P44" i="2"/>
  <c r="O44" i="2"/>
  <c r="M44" i="2"/>
  <c r="L44" i="2"/>
  <c r="K44" i="2"/>
  <c r="H44" i="2"/>
  <c r="G44" i="2"/>
  <c r="E44" i="2"/>
  <c r="V43" i="2"/>
  <c r="P43" i="2"/>
  <c r="O43" i="2"/>
  <c r="M43" i="2"/>
  <c r="L43" i="2"/>
  <c r="K43" i="2"/>
  <c r="H43" i="2"/>
  <c r="E43" i="2"/>
  <c r="V42" i="2"/>
  <c r="P42" i="2"/>
  <c r="O42" i="2"/>
  <c r="M42" i="2"/>
  <c r="K42" i="2"/>
  <c r="H42" i="2"/>
  <c r="G42" i="2"/>
  <c r="E42" i="2"/>
  <c r="V41" i="2"/>
  <c r="P41" i="2"/>
  <c r="O41" i="2"/>
  <c r="M41" i="2"/>
  <c r="L41" i="2"/>
  <c r="K41" i="2"/>
  <c r="H41" i="2"/>
  <c r="G41" i="2"/>
  <c r="E41" i="2"/>
  <c r="V40" i="2"/>
  <c r="P40" i="2"/>
  <c r="O40" i="2"/>
  <c r="L40" i="2"/>
  <c r="K40" i="2"/>
  <c r="H40" i="2"/>
  <c r="E40" i="2"/>
  <c r="V39" i="2"/>
  <c r="G39" i="2"/>
  <c r="V38" i="2"/>
  <c r="P38" i="2"/>
  <c r="O38" i="2"/>
  <c r="M38" i="2"/>
  <c r="L38" i="2"/>
  <c r="K38" i="2"/>
  <c r="H38" i="2"/>
  <c r="G38" i="2"/>
  <c r="E38" i="2"/>
  <c r="V37" i="2"/>
  <c r="O37" i="2"/>
  <c r="M37" i="2"/>
  <c r="L37" i="2"/>
  <c r="K37" i="2"/>
  <c r="H37" i="2"/>
  <c r="G37" i="2"/>
  <c r="E37" i="2"/>
  <c r="V36" i="2"/>
  <c r="P36" i="2"/>
  <c r="O36" i="2"/>
  <c r="M36" i="2"/>
  <c r="K36" i="2"/>
  <c r="H36" i="2"/>
  <c r="G36" i="2"/>
  <c r="E36" i="2"/>
  <c r="V35" i="2"/>
  <c r="O35" i="2"/>
  <c r="M35" i="2"/>
  <c r="H35" i="2"/>
  <c r="E35" i="2"/>
  <c r="V34" i="2"/>
  <c r="P34" i="2"/>
  <c r="O34" i="2"/>
  <c r="M34" i="2"/>
  <c r="H34" i="2"/>
  <c r="G34" i="2"/>
  <c r="E34" i="2"/>
  <c r="V33" i="2"/>
  <c r="P33" i="2"/>
  <c r="O33" i="2"/>
  <c r="M33" i="2"/>
  <c r="K33" i="2"/>
  <c r="H33" i="2"/>
  <c r="G33" i="2"/>
  <c r="E33" i="2"/>
  <c r="V32" i="2"/>
  <c r="G32" i="2"/>
  <c r="E32" i="2"/>
  <c r="V31" i="2"/>
  <c r="P31" i="2"/>
  <c r="O31" i="2"/>
  <c r="M31" i="2"/>
  <c r="L31" i="2"/>
  <c r="K31" i="2"/>
  <c r="H31" i="2"/>
  <c r="G31" i="2"/>
  <c r="E31" i="2"/>
  <c r="V30" i="2"/>
  <c r="K30" i="2"/>
  <c r="G30" i="2"/>
  <c r="E30" i="2"/>
  <c r="V29" i="2"/>
  <c r="O29" i="2"/>
  <c r="K29" i="2"/>
  <c r="G29" i="2"/>
  <c r="V28" i="2"/>
  <c r="P28" i="2"/>
  <c r="K28" i="2"/>
  <c r="E28" i="2"/>
  <c r="V27" i="2"/>
  <c r="P27" i="2"/>
  <c r="O27" i="2"/>
  <c r="M27" i="2"/>
  <c r="L27" i="2"/>
  <c r="K27" i="2"/>
  <c r="H27" i="2"/>
  <c r="G27" i="2"/>
  <c r="E27" i="2"/>
  <c r="V26" i="2"/>
  <c r="P26" i="2"/>
  <c r="M26" i="2"/>
  <c r="H26" i="2"/>
  <c r="E26" i="2"/>
  <c r="V25" i="2"/>
  <c r="P25" i="2"/>
  <c r="E25" i="2"/>
  <c r="V24" i="2"/>
  <c r="M24" i="2"/>
  <c r="L24" i="2"/>
  <c r="K24" i="2"/>
  <c r="H24" i="2"/>
  <c r="G24" i="2"/>
  <c r="E24" i="2"/>
  <c r="V23" i="2"/>
  <c r="P23" i="2"/>
  <c r="O23" i="2"/>
  <c r="M23" i="2"/>
  <c r="H23" i="2"/>
  <c r="G23" i="2"/>
  <c r="E23" i="2"/>
  <c r="V22" i="2"/>
  <c r="P22" i="2"/>
  <c r="O22" i="2"/>
  <c r="M22" i="2"/>
  <c r="K22" i="2"/>
  <c r="H22" i="2"/>
  <c r="G22" i="2"/>
  <c r="E22" i="2"/>
  <c r="V21" i="2"/>
  <c r="P21" i="2"/>
  <c r="O21" i="2"/>
  <c r="L21" i="2"/>
  <c r="K21" i="2"/>
  <c r="H21" i="2"/>
  <c r="G21" i="2"/>
  <c r="E21" i="2"/>
  <c r="V20" i="2"/>
  <c r="P20" i="2"/>
  <c r="G20" i="2"/>
  <c r="V19" i="2"/>
  <c r="P19" i="2"/>
  <c r="O19" i="2"/>
  <c r="M19" i="2"/>
  <c r="L19" i="2"/>
  <c r="K19" i="2"/>
  <c r="H19" i="2"/>
  <c r="G19" i="2"/>
  <c r="V18" i="2"/>
  <c r="P18" i="2"/>
  <c r="O18" i="2"/>
  <c r="M18" i="2"/>
  <c r="K18" i="2"/>
  <c r="H18" i="2"/>
  <c r="G18" i="2"/>
  <c r="E18" i="2"/>
  <c r="V17" i="2"/>
  <c r="E17" i="2"/>
  <c r="V16" i="2"/>
  <c r="P16" i="2"/>
  <c r="O16" i="2"/>
  <c r="M16" i="2"/>
  <c r="K16" i="2"/>
  <c r="H16" i="2"/>
  <c r="G16" i="2"/>
  <c r="E16" i="2"/>
  <c r="V15" i="2"/>
  <c r="E15" i="2"/>
  <c r="V14" i="2"/>
  <c r="P14" i="2"/>
  <c r="M14" i="2"/>
  <c r="L14" i="2"/>
  <c r="K14" i="2"/>
  <c r="H14" i="2"/>
  <c r="G14" i="2"/>
  <c r="E14" i="2"/>
  <c r="V13" i="2"/>
  <c r="P13" i="2"/>
  <c r="O13" i="2"/>
  <c r="M13" i="2"/>
  <c r="H13" i="2"/>
  <c r="G13" i="2"/>
  <c r="F13" i="2"/>
  <c r="E13" i="2"/>
  <c r="V12" i="2"/>
  <c r="O12" i="2"/>
  <c r="M12" i="2"/>
  <c r="L12" i="2"/>
  <c r="H12" i="2"/>
  <c r="G12" i="2"/>
  <c r="E12" i="2"/>
  <c r="V11" i="2"/>
  <c r="P11" i="2"/>
  <c r="O11" i="2"/>
  <c r="M11" i="2"/>
  <c r="H11" i="2"/>
  <c r="E11" i="2"/>
  <c r="V10" i="2"/>
  <c r="O10" i="2"/>
  <c r="M10" i="2"/>
  <c r="K10" i="2"/>
  <c r="H10" i="2"/>
  <c r="G10" i="2"/>
  <c r="E10" i="2"/>
  <c r="V9" i="2"/>
  <c r="V8" i="2"/>
  <c r="E8" i="2"/>
  <c r="V7" i="2"/>
  <c r="P7" i="2"/>
  <c r="O7" i="2"/>
  <c r="M7" i="2"/>
  <c r="L7" i="2"/>
  <c r="H7" i="2"/>
  <c r="G7" i="2"/>
  <c r="E7" i="2"/>
  <c r="V6" i="2"/>
  <c r="E6" i="2"/>
  <c r="V5" i="2"/>
  <c r="P5" i="2"/>
  <c r="O5" i="2"/>
  <c r="M5" i="2"/>
  <c r="L5" i="2"/>
  <c r="K5" i="2"/>
  <c r="H5" i="2"/>
  <c r="G5" i="2"/>
  <c r="E5" i="2"/>
  <c r="V4" i="2"/>
  <c r="O4" i="2"/>
  <c r="M4" i="2"/>
  <c r="H4" i="2"/>
  <c r="G4" i="2"/>
  <c r="E4" i="2"/>
  <c r="V3" i="2"/>
  <c r="P3" i="2"/>
  <c r="O3" i="2"/>
  <c r="M3" i="2"/>
  <c r="K3" i="2"/>
  <c r="H3" i="2"/>
  <c r="G3" i="2"/>
  <c r="E3" i="2"/>
  <c r="V2" i="2"/>
  <c r="E2" i="2"/>
  <c r="AR119" i="1"/>
  <c r="AB108" i="2" s="1"/>
  <c r="AR118" i="1"/>
  <c r="AB107" i="2" s="1"/>
  <c r="J118" i="1"/>
  <c r="I118" i="1"/>
  <c r="AR117" i="1"/>
  <c r="AB106" i="2" s="1"/>
  <c r="AR116" i="1"/>
  <c r="AB105" i="2" s="1"/>
  <c r="AR115" i="1"/>
  <c r="AB104" i="2" s="1"/>
  <c r="AR114" i="1"/>
  <c r="AB103" i="2" s="1"/>
  <c r="AR113" i="1"/>
  <c r="AB102" i="2" s="1"/>
  <c r="J113" i="1"/>
  <c r="I113" i="1"/>
  <c r="AR112" i="1"/>
  <c r="AB101" i="2" s="1"/>
  <c r="AR111" i="1"/>
  <c r="AB100" i="2" s="1"/>
  <c r="AR110" i="1"/>
  <c r="AR109" i="1"/>
  <c r="AB99" i="2" s="1"/>
  <c r="AR108" i="1"/>
  <c r="AB98" i="2" s="1"/>
  <c r="AR107" i="1"/>
  <c r="AB97" i="2" s="1"/>
  <c r="AR106" i="1"/>
  <c r="AB96" i="2" s="1"/>
  <c r="AR105" i="1"/>
  <c r="AB95" i="2" s="1"/>
  <c r="AR104" i="1"/>
  <c r="AB94" i="2" s="1"/>
  <c r="AR103" i="1"/>
  <c r="AB93" i="2" s="1"/>
  <c r="AR102" i="1"/>
  <c r="AB92" i="2" s="1"/>
  <c r="AR101" i="1"/>
  <c r="AB91" i="2" s="1"/>
  <c r="AR100" i="1"/>
  <c r="AR99" i="1"/>
  <c r="AB90" i="2" s="1"/>
  <c r="AR98" i="1"/>
  <c r="AB89" i="2" s="1"/>
  <c r="AR97" i="1"/>
  <c r="AB88" i="2" s="1"/>
  <c r="AR96" i="1"/>
  <c r="AB87" i="2" s="1"/>
  <c r="AR95" i="1"/>
  <c r="AB114" i="2" s="1"/>
  <c r="AR94" i="1"/>
  <c r="AB86" i="2" s="1"/>
  <c r="AR93" i="1"/>
  <c r="AB85" i="2" s="1"/>
  <c r="AR92" i="1"/>
  <c r="AB84" i="2" s="1"/>
  <c r="AC91" i="1"/>
  <c r="AR91" i="1" s="1"/>
  <c r="AB83" i="2" s="1"/>
  <c r="AR90" i="1"/>
  <c r="AB82" i="2" s="1"/>
  <c r="AR89" i="1"/>
  <c r="AB81" i="2" s="1"/>
  <c r="AR88" i="1"/>
  <c r="AB80" i="2" s="1"/>
  <c r="AR87" i="1"/>
  <c r="AB79" i="2" s="1"/>
  <c r="AR86" i="1"/>
  <c r="AB78" i="2" s="1"/>
  <c r="AR85" i="1"/>
  <c r="AB77" i="2" s="1"/>
  <c r="AR84" i="1"/>
  <c r="AB76" i="2" s="1"/>
  <c r="AR83" i="1"/>
  <c r="AB75" i="2" s="1"/>
  <c r="AR82" i="1"/>
  <c r="AB113" i="2" s="1"/>
  <c r="AR81" i="1"/>
  <c r="AB74" i="2" s="1"/>
  <c r="J81" i="1"/>
  <c r="I81" i="1"/>
  <c r="AR80" i="1"/>
  <c r="AB73" i="2" s="1"/>
  <c r="AR79" i="1"/>
  <c r="AR78" i="1"/>
  <c r="AR77" i="1"/>
  <c r="AB72" i="2" s="1"/>
  <c r="AR76" i="1"/>
  <c r="AB71" i="2" s="1"/>
  <c r="AR75" i="1"/>
  <c r="AB70" i="2" s="1"/>
  <c r="AR74" i="1"/>
  <c r="AB69" i="2" s="1"/>
  <c r="AR73" i="1"/>
  <c r="AB68" i="2" s="1"/>
  <c r="AR72" i="1"/>
  <c r="AB112" i="2" s="1"/>
  <c r="AR71" i="1"/>
  <c r="AB67" i="2" s="1"/>
  <c r="AR70" i="1"/>
  <c r="AB66" i="2" s="1"/>
  <c r="AR69" i="1"/>
  <c r="AB65" i="2" s="1"/>
  <c r="AR68" i="1"/>
  <c r="AB64" i="2" s="1"/>
  <c r="AR67" i="1"/>
  <c r="AB63" i="2" s="1"/>
  <c r="AR66" i="1"/>
  <c r="AB62" i="2" s="1"/>
  <c r="AR65" i="1"/>
  <c r="AB61" i="2" s="1"/>
  <c r="AR64" i="1"/>
  <c r="AB60" i="2" s="1"/>
  <c r="AR63" i="1"/>
  <c r="AB59" i="2" s="1"/>
  <c r="AR62" i="1"/>
  <c r="AR61" i="1"/>
  <c r="AB58" i="2" s="1"/>
  <c r="AR60" i="1"/>
  <c r="AB57" i="2" s="1"/>
  <c r="AR59" i="1"/>
  <c r="AB56" i="2" s="1"/>
  <c r="AR58" i="1"/>
  <c r="AB55" i="2" s="1"/>
  <c r="AR57" i="1"/>
  <c r="AB54" i="2" s="1"/>
  <c r="AR56" i="1"/>
  <c r="AB53" i="2" s="1"/>
  <c r="AR55" i="1"/>
  <c r="AB52" i="2" s="1"/>
  <c r="AR54" i="1"/>
  <c r="AB51" i="2" s="1"/>
  <c r="AR53" i="1"/>
  <c r="AB50" i="2" s="1"/>
  <c r="AR52" i="1"/>
  <c r="AB49" i="2" s="1"/>
  <c r="AR51" i="1"/>
  <c r="AB48" i="2" s="1"/>
  <c r="AR50" i="1"/>
  <c r="AB47" i="2" s="1"/>
  <c r="AR49" i="1"/>
  <c r="AB111" i="2" s="1"/>
  <c r="AR48" i="1"/>
  <c r="AB46" i="2" s="1"/>
  <c r="AR47" i="1"/>
  <c r="AB45" i="2" s="1"/>
  <c r="AR46" i="1"/>
  <c r="AB44" i="2" s="1"/>
  <c r="AR45" i="1"/>
  <c r="AB43" i="2" s="1"/>
  <c r="AR44" i="1"/>
  <c r="AB42" i="2" s="1"/>
  <c r="AR43" i="1"/>
  <c r="AB41" i="2" s="1"/>
  <c r="AR42" i="1"/>
  <c r="AB110" i="2" s="1"/>
  <c r="AR41" i="1"/>
  <c r="AB40" i="2" s="1"/>
  <c r="AR40" i="1"/>
  <c r="AB39" i="2" s="1"/>
  <c r="AR39" i="1"/>
  <c r="AB38" i="2" s="1"/>
  <c r="AR38" i="1"/>
  <c r="AB37" i="2" s="1"/>
  <c r="AR37" i="1"/>
  <c r="AB36" i="2" s="1"/>
  <c r="AR36" i="1"/>
  <c r="AB35" i="2" s="1"/>
  <c r="AR35" i="1"/>
  <c r="AB34" i="2" s="1"/>
  <c r="AR34" i="1"/>
  <c r="AB33" i="2" s="1"/>
  <c r="AR33" i="1"/>
  <c r="AB32" i="2" s="1"/>
  <c r="AR32" i="1"/>
  <c r="AB31" i="2" s="1"/>
  <c r="AR31" i="1"/>
  <c r="AB30" i="2" s="1"/>
  <c r="AR30" i="1"/>
  <c r="AB29" i="2" s="1"/>
  <c r="AR29" i="1"/>
  <c r="AB28" i="2" s="1"/>
  <c r="AR28" i="1"/>
  <c r="AB27" i="2" s="1"/>
  <c r="AR27" i="1"/>
  <c r="AB26" i="2" s="1"/>
  <c r="I27" i="1"/>
  <c r="AR26" i="1"/>
  <c r="AB25" i="2" s="1"/>
  <c r="AR25" i="1"/>
  <c r="AB24" i="2" s="1"/>
  <c r="AR24" i="1"/>
  <c r="AB23" i="2" s="1"/>
  <c r="AR23" i="1"/>
  <c r="AB22" i="2" s="1"/>
  <c r="AR22" i="1"/>
  <c r="AB21" i="2" s="1"/>
  <c r="AR21" i="1"/>
  <c r="AB20" i="2" s="1"/>
  <c r="AR20" i="1"/>
  <c r="AB19" i="2" s="1"/>
  <c r="AR19" i="1"/>
  <c r="AB18" i="2" s="1"/>
  <c r="AR18" i="1"/>
  <c r="AB17" i="2" s="1"/>
  <c r="AR17" i="1"/>
  <c r="AB16" i="2" s="1"/>
  <c r="AR16" i="1"/>
  <c r="AB15" i="2" s="1"/>
  <c r="AR15" i="1"/>
  <c r="AB14" i="2" s="1"/>
  <c r="AR14" i="1"/>
  <c r="AB13" i="2" s="1"/>
  <c r="AR13" i="1"/>
  <c r="AB12" i="2" s="1"/>
  <c r="AR12" i="1"/>
  <c r="AB11" i="2" s="1"/>
  <c r="AR11" i="1"/>
  <c r="AB10" i="2" s="1"/>
  <c r="AR10" i="1"/>
  <c r="AB9" i="2" s="1"/>
  <c r="AR9" i="1"/>
  <c r="AB8" i="2" s="1"/>
  <c r="AR8" i="1"/>
  <c r="AB7" i="2" s="1"/>
  <c r="AR7" i="1"/>
  <c r="AB6" i="2" s="1"/>
  <c r="AR6" i="1"/>
  <c r="AB5" i="2" s="1"/>
  <c r="AR5" i="1"/>
  <c r="AB4" i="2" s="1"/>
  <c r="U5" i="1"/>
  <c r="AR4" i="1"/>
  <c r="AB2" i="2" s="1"/>
  <c r="F4" i="1"/>
  <c r="Y2" i="2" s="1"/>
  <c r="AR3" i="1"/>
  <c r="AB3" i="2" s="1"/>
  <c r="F3" i="1"/>
  <c r="Y3" i="2" s="1"/>
  <c r="AR2" i="1"/>
  <c r="AB109" i="2" s="1"/>
  <c r="Q2" i="1"/>
  <c r="F2" i="1"/>
  <c r="Y109" i="2" s="1"/>
  <c r="H58" i="2" l="1"/>
  <c r="M58" i="2"/>
  <c r="O58" i="2"/>
  <c r="P58" i="2"/>
  <c r="E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tc={D9D96DE3-CA9F-4A95-AD3B-0B2877DCE82D}</author>
    <author>tc={CB6C8FFA-09E7-46B8-ABC9-D9F361B97B8A}</author>
    <author>tc={B7DC53A7-03D3-4FCB-BB99-BEF6F4009228}</author>
    <author>tc={607F3BC3-1EAF-4D4D-AED2-A0702C92AC68}</author>
    <author>tc={3802CA11-FC96-4A2C-8CFD-69B42330C3BB}</author>
    <author>tc={B052D05C-6E9B-4B6B-A59D-550EAB6D0B0B}</author>
    <author>tc={BF8451B7-45D7-4934-B56A-B45E90550B64}</author>
    <author>tc={F6E9A4C3-A3F0-4D6A-8796-78DAE3849246}</author>
    <author>tc={10891E4C-5F49-4D09-B0F9-10789DD69DE5}</author>
    <author>tc={BF1BB57E-C68C-47FC-BBA7-6A173DCFD92F}</author>
  </authors>
  <commentList>
    <comment ref="AS62" authorId="0" shapeId="0" xr:uid="{D9D96DE3-CA9F-4A95-AD3B-0B2877DCE82D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По КУ нет информации
</t>
      </text>
    </comment>
    <comment ref="B122" authorId="1" shapeId="0" xr:uid="{CB6C8FFA-09E7-46B8-ABC9-D9F361B97B8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Luxoft</t>
      </text>
    </comment>
    <comment ref="B123" authorId="2" shapeId="0" xr:uid="{B7DC53A7-03D3-4FCB-BB99-BEF6F400922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Moscow Exchange MICEX-RTS OAO</t>
      </text>
    </comment>
    <comment ref="B124" authorId="3" shapeId="0" xr:uid="{607F3BC3-1EAF-4D4D-AED2-A0702C92AC6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Platforma Utinet.ru OAO</t>
      </text>
    </comment>
    <comment ref="B125" authorId="4" shapeId="0" xr:uid="{3802CA11-FC96-4A2C-8CFD-69B42330C3B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Black Earth Farming Ltd</t>
      </text>
    </comment>
    <comment ref="B126" authorId="5" shapeId="0" xr:uid="{B052D05C-6E9B-4B6B-A59D-550EAB6D0B0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Raven Russia Ltd</t>
      </text>
    </comment>
    <comment ref="B127" authorId="6" shapeId="0" xr:uid="{BF8451B7-45D7-4934-B56A-B45E90550B64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Rambler Media Ltd</t>
      </text>
    </comment>
    <comment ref="B128" authorId="7" shapeId="0" xr:uid="{F6E9A4C3-A3F0-4D6A-8796-78DAE38492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Khleb Altaya APK</t>
      </text>
    </comment>
    <comment ref="B129" authorId="8" shapeId="0" xr:uid="{10891E4C-5F49-4D09-B0F9-10789DD69DE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Highland Gold Mining Ltd</t>
      </text>
    </comment>
    <comment ref="B130" authorId="9" shapeId="0" xr:uid="{BF1BB57E-C68C-47FC-BBA7-6A173DCFD92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Mobile TeleSystems OAO - MTS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tc={924EF0CC-D5F0-4D3D-9461-7F28F98F73D8}</author>
    <author>tc={6439B8FE-2671-461A-B5F2-CCD14767D15D}</author>
    <author>tc={11181106-8DCD-4DA7-9FC0-6FD23C553128}</author>
    <author>tc={72350963-3A6F-41DB-A350-8EE6F209991C}</author>
    <author>tc={C4AAC0EE-05A8-433B-84F5-1E81C53996FE}</author>
    <author>tc={DCB3BD5E-9D99-4154-B6FF-968B0B45006A}</author>
    <author>tc={36DDE505-D1E1-47DF-9B94-6A66CA6C8151}</author>
    <author>Элина Бегушева</author>
  </authors>
  <commentList>
    <comment ref="D1" authorId="0" shapeId="0" xr:uid="{1CC86F2A-C909-4370-B195-4AD36A5233BF}">
      <text>
        <r>
          <rPr>
            <sz val="12"/>
            <color theme="1"/>
            <rFont val="Aptos Narrow"/>
            <scheme val="minor"/>
          </rPr>
          <t>======
ID#AAABYPSlnHk
Элина Бегушева    (2024-11-07 11:06:24)
число директоров в совете</t>
        </r>
      </text>
    </comment>
    <comment ref="E1" authorId="0" shapeId="0" xr:uid="{8DD6E760-615F-4D2B-805E-5345A4ADE082}">
      <text>
        <r>
          <rPr>
            <sz val="12"/>
            <color theme="1"/>
            <rFont val="Aptos Narrow"/>
            <scheme val="minor"/>
          </rPr>
          <t>======
ID#AAABYPSlnHw
Элина Бегушева    (2024-11-07 11:06:24)
доля независимых директоров в сд</t>
        </r>
      </text>
    </comment>
    <comment ref="F1" authorId="0" shapeId="0" xr:uid="{57CBE07E-83E9-4170-A58C-3DD70F0326A3}">
      <text>
        <r>
          <rPr>
            <sz val="12"/>
            <color theme="1"/>
            <rFont val="Aptos Narrow"/>
            <scheme val="minor"/>
          </rPr>
          <t>======
ID#AAABYPSlnII
Элина Бегушева    (2024-11-07 11:06:24)
фиктивная - 1, если комитет есть, 0 иначе</t>
        </r>
      </text>
    </comment>
    <comment ref="H1" authorId="0" shapeId="0" xr:uid="{66084718-D8AD-4EAF-851C-BD898AB6154A}">
      <text>
        <r>
          <rPr>
            <sz val="12"/>
            <color theme="1"/>
            <rFont val="Aptos Narrow"/>
            <scheme val="minor"/>
          </rPr>
          <t>======
ID#AAABYPSlnHs
Элина Бегушева    (2024-11-07 11:06:24)
смотрим наличие опыта в области финансов, если опыт есть - 1 у директора, иначе 0</t>
        </r>
      </text>
    </comment>
    <comment ref="J1" authorId="0" shapeId="0" xr:uid="{1AAEE9A3-26DA-4E21-A4B3-20DEE1411147}">
      <text>
        <r>
          <rPr>
            <sz val="12"/>
            <color theme="1"/>
            <rFont val="Aptos Narrow"/>
            <scheme val="minor"/>
          </rPr>
          <t>======
ID#AAABYPSlnHg
Элина Бегушева    (2024-11-07 11:06:24)
фиктивная - 1, если лидер - независимый, 0 иначе</t>
        </r>
      </text>
    </comment>
    <comment ref="K1" authorId="0" shapeId="0" xr:uid="{12D365A4-0B3E-436B-8463-5120C2716689}">
      <text>
        <r>
          <rPr>
            <sz val="12"/>
            <color theme="1"/>
            <rFont val="Aptos Narrow"/>
            <scheme val="minor"/>
          </rPr>
          <t>======
ID#AAABYPSlnH4
Элина Бегушева    (2024-11-07 11:06:24)
общее число директорских должностей в других компаниях, занимаемых директорами эмитента, на данный момент</t>
        </r>
      </text>
    </comment>
    <comment ref="L1" authorId="0" shapeId="0" xr:uid="{02059C12-89E5-4A91-9E83-80709A96E854}">
      <text>
        <r>
          <rPr>
            <sz val="12"/>
            <color theme="1"/>
            <rFont val="Aptos Narrow"/>
            <scheme val="minor"/>
          </rPr>
          <t>======
ID#AAABYPSlnIQ
Элина Бегушева    (2024-11-07 11:06:24)
общее число директорских должностей, занимаемых директорами эмитента в других советах, в прошлом
(смотрим за последние 3 года)</t>
        </r>
      </text>
    </comment>
    <comment ref="M1" authorId="0" shapeId="0" xr:uid="{575FB65F-10F4-4B4C-B953-54E716C98FA3}">
      <text>
        <r>
          <rPr>
            <sz val="12"/>
            <color theme="1"/>
            <rFont val="Aptos Narrow"/>
            <scheme val="minor"/>
          </rPr>
          <t>======
ID#AAABYPSlnIE
Элина Бегушева    (2024-11-07 11:06:24)
0 - отсутствие вышки, 1 - бакалавр, 2 - магистр
------
ID#AAABY-eAVUY
Элина Бегушева    (2024-11-19 11:47:25)
0 - довузовская история (школа/техникум/колледж)
1 - оконченное высшее или вышка+повышение квалификации
2 - MBA/магистратура/аспирантура/кандидат/доктор</t>
        </r>
      </text>
    </comment>
    <comment ref="N1" authorId="0" shapeId="0" xr:uid="{01E0E559-ABE3-466D-99D9-F7E7616EC92C}">
      <text>
        <r>
          <rPr>
            <sz val="12"/>
            <color theme="1"/>
            <rFont val="Aptos Narrow"/>
            <scheme val="minor"/>
          </rPr>
          <t>======
ID#AAABYPSlnH8
Элина Бегушева    (2024-11-07 11:06:24)
Количество комитетов, созданных советом директоров</t>
        </r>
      </text>
    </comment>
    <comment ref="O1" authorId="0" shapeId="0" xr:uid="{B495F7CB-9380-4027-B400-FB04F11E52A9}">
      <text>
        <r>
          <rPr>
            <sz val="12"/>
            <color theme="1"/>
            <rFont val="Aptos Narrow"/>
            <scheme val="minor"/>
          </rPr>
          <t>======
ID#AAABYPSlnHo
Элина Бегушева    (2024-11-07 11:06:24)
Процент директоров с опытом работы в отрасли.</t>
        </r>
      </text>
    </comment>
    <comment ref="P1" authorId="0" shapeId="0" xr:uid="{13D7B2D3-7B4F-4BA1-8340-6EBC744CB559}">
      <text>
        <r>
          <rPr>
            <sz val="12"/>
            <color theme="1"/>
            <rFont val="Aptos Narrow"/>
            <scheme val="minor"/>
          </rPr>
          <t>======
ID#AAABY9Crrlc
Элина Бегушева    (2024-11-18 18:39:59)
Судим по имени + образованию + опыту</t>
        </r>
      </text>
    </comment>
    <comment ref="S1" authorId="1" shapeId="0" xr:uid="{924EF0CC-D5F0-4D3D-9461-7F28F98F73D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Log</t>
      </text>
    </comment>
    <comment ref="T1" authorId="2" shapeId="0" xr:uid="{6439B8FE-2671-461A-B5F2-CCD14767D15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Log</t>
      </text>
    </comment>
    <comment ref="U1" authorId="3" shapeId="0" xr:uid="{11181106-8DCD-4DA7-9FC0-6FD23C55312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Log</t>
      </text>
    </comment>
    <comment ref="C2" authorId="0" shapeId="0" xr:uid="{82FC1399-0D3C-4ACD-93AC-094EB1158DCA}">
      <text>
        <r>
          <rPr>
            <sz val="12"/>
            <color theme="1"/>
            <rFont val="Aptos Narrow"/>
            <scheme val="minor"/>
          </rPr>
          <t>======
ID#AAABYPSlnH0
Элина Бегушева    (2024-11-07 11:06:24)
нет открытых данных про директоров</t>
        </r>
      </text>
    </comment>
    <comment ref="U2" authorId="4" shapeId="0" xr:uid="{72350963-3A6F-41DB-A350-8EE6F209991C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Искала сама
</t>
      </text>
    </comment>
    <comment ref="W2" authorId="5" shapeId="0" xr:uid="{C4AAC0EE-05A8-433B-84F5-1E81C53996FE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Искала сама
</t>
      </text>
    </comment>
    <comment ref="C5" authorId="0" shapeId="0" xr:uid="{53D73528-0F62-4494-B72C-89F80C8D53BD}">
      <text>
        <r>
          <rPr>
            <sz val="12"/>
            <color theme="1"/>
            <rFont val="Aptos Narrow"/>
            <scheme val="minor"/>
          </rPr>
          <t>======
ID#AAABY-cuTSo
Элина Бегушева    (2024-11-20 12:04:11)
С сайта</t>
        </r>
      </text>
    </comment>
    <comment ref="C6" authorId="0" shapeId="0" xr:uid="{27485D25-1418-41F2-90AF-BB22A79EC5E6}">
      <text>
        <r>
          <rPr>
            <sz val="12"/>
            <color theme="1"/>
            <rFont val="Aptos Narrow"/>
            <scheme val="minor"/>
          </rPr>
          <t>======
ID#AAABY-cuTSw
Элина Бегушева    (2024-11-20 12:08:08)
Инфа с сайта, в проспекте нерелевантная инфа</t>
        </r>
      </text>
    </comment>
    <comment ref="C8" authorId="0" shapeId="0" xr:uid="{88E592B1-DC84-42FC-A30A-E4F5DD156791}">
      <text>
        <r>
          <rPr>
            <sz val="12"/>
            <color theme="1"/>
            <rFont val="Aptos Narrow"/>
            <scheme val="minor"/>
          </rPr>
          <t>======
ID#AAABYP2GJHM
Элина Бегушева    (2024-11-07 15:11:19)
Нет открытых данных про директоров</t>
        </r>
      </text>
    </comment>
    <comment ref="C11" authorId="0" shapeId="0" xr:uid="{ED68CBC0-6F00-4759-87C5-AE8DA56E58CF}">
      <text>
        <r>
          <rPr>
            <sz val="12"/>
            <color theme="1"/>
            <rFont val="Aptos Narrow"/>
            <scheme val="minor"/>
          </rPr>
          <t>======
ID#AAABRmHr470
Элина Бегушева    (2024-11-19 22:06:18)
Инфа с сайта</t>
        </r>
      </text>
    </comment>
    <comment ref="U52" authorId="6" shapeId="0" xr:uid="{DCB3BD5E-9D99-4154-B6FF-968B0B45006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Сама нашла</t>
      </text>
    </comment>
    <comment ref="C59" authorId="0" shapeId="0" xr:uid="{C3441EA3-6BBE-49D7-B861-304621E13776}">
      <text>
        <r>
          <rPr>
            <sz val="12"/>
            <color theme="1"/>
            <rFont val="Aptos Narrow"/>
            <scheme val="minor"/>
          </rPr>
          <t>======
ID#AAABZY3E2Yc
Элина Бегушева    (2024-11-24 23:26:55)
что это</t>
        </r>
      </text>
    </comment>
    <comment ref="C61" authorId="0" shapeId="0" xr:uid="{2CB68E7F-A6C7-40B6-886F-5A20A885C66A}">
      <text>
        <r>
          <rPr>
            <sz val="12"/>
            <color theme="1"/>
            <rFont val="Aptos Narrow"/>
            <scheme val="minor"/>
          </rPr>
          <t>======
ID#AAABZ47ZSGo
Элина Бегушева    (2024-12-05 17:00:47)
Переизбрали совет</t>
        </r>
      </text>
    </comment>
    <comment ref="U74" authorId="7" shapeId="0" xr:uid="{36DDE505-D1E1-47DF-9B94-6A66CA6C8151}">
      <text>
        <t xml:space="preserve"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Сама нашла
</t>
      </text>
    </comment>
    <comment ref="C75" authorId="0" shapeId="0" xr:uid="{E0DE85C2-B6B7-412C-B171-4A86B44490C4}">
      <text>
        <r>
          <rPr>
            <sz val="12"/>
            <color theme="1"/>
            <rFont val="Aptos Narrow"/>
            <scheme val="minor"/>
          </rPr>
          <t>======
ID#AAABZ1zqEXk
Элина Бегушева    (2024-12-04 00:36:54)
RGI International Ltd
------
ID#AAABZ1zqEXo
Элина Бегушева    (2024-12-04 00:46:24)
через вэйбэк не ищется</t>
        </r>
      </text>
    </comment>
    <comment ref="C78" authorId="0" shapeId="0" xr:uid="{76F7AC93-CF6C-4998-9BA1-EB316D91E595}">
      <text>
        <r>
          <rPr>
            <sz val="12"/>
            <color theme="1"/>
            <rFont val="Aptos Narrow"/>
            <scheme val="minor"/>
          </rPr>
          <t>======
ID#AAABaCwcbsk
Элина Бегушева    (2024-12-10 11:42:35)
Не тот го скачала
------
ID#AAABaD6Z_m8
Элина Бегушева    (2024-12-10 21:14:19)
Берем ближайший доступный - из ГО 2007</t>
        </r>
      </text>
    </comment>
    <comment ref="C81" authorId="0" shapeId="0" xr:uid="{9B580277-B46F-458D-81B5-6C16D9E7042B}">
      <text>
        <r>
          <rPr>
            <sz val="12"/>
            <color theme="1"/>
            <rFont val="Aptos Narrow"/>
            <scheme val="minor"/>
          </rPr>
          <t>======
ID#AAABaCwcbso
Элина Бегушева    (2024-12-10 11:42:58)
В го 2006 данные только о совете, выбранном после IPO
------
ID#AAABaD6Z_nA
Элина Бегушева    (2024-12-10 21:42:13)
Про совет до декабря 2006 года информации нет
------
ID#AAABaD6Z_nI
Элина Бегушева    (2024-12-10 21:51:57)
собираем ближайшую доступную информацию - декабрь 2006</t>
        </r>
      </text>
    </comment>
    <comment ref="C83" authorId="0" shapeId="0" xr:uid="{1E1D416D-4BF3-4FE3-9707-E32D07F5DD70}">
      <text>
        <r>
          <rPr>
            <sz val="12"/>
            <color theme="1"/>
            <rFont val="Aptos Narrow"/>
            <scheme val="minor"/>
          </rPr>
          <t>======
ID#AAABaCwcbss
Элина Бегушева    (2024-12-10 11:44:23)
Нет данных в найденном материале о СД
------
ID#AAABaD6Z_nM
Элина Бегушева    (2024-12-10 22:03:14)
Исходим из того, что в в 2006 и 2007 СД не менялся, собираем инфу с сайта</t>
        </r>
      </text>
    </comment>
    <comment ref="C87" authorId="0" shapeId="0" xr:uid="{4DCF5FA3-BCBF-4840-B905-70AFA314B905}">
      <text>
        <r>
          <rPr>
            <sz val="12"/>
            <color theme="1"/>
            <rFont val="Aptos Narrow"/>
            <scheme val="minor"/>
          </rPr>
          <t>======
ID#AAABaCwcbs0
Элина Бегушева    (2024-12-10 11:55:55)
С сайта</t>
        </r>
      </text>
    </comment>
    <comment ref="C88" authorId="0" shapeId="0" xr:uid="{AAEF0691-0DBC-4078-8F0E-1F8F937456A3}">
      <text>
        <r>
          <rPr>
            <sz val="12"/>
            <color theme="1"/>
            <rFont val="Aptos Narrow"/>
            <scheme val="minor"/>
          </rPr>
          <t>======
ID#AAABaCwcbs4
Элина Бегушева    (2024-12-10 12:05:26)
Нет ГО</t>
        </r>
      </text>
    </comment>
    <comment ref="C92" authorId="0" shapeId="0" xr:uid="{943527C9-21FC-41E9-A4EE-D23C879A4727}">
      <text>
        <r>
          <rPr>
            <sz val="12"/>
            <color theme="1"/>
            <rFont val="Aptos Narrow"/>
            <scheme val="minor"/>
          </rPr>
          <t>======
ID#AAABaCwcbs8
Элина Бегушева    (2024-12-10 12:21:48)
Изменился в 2006 СД
------
ID#AAABaD6Z_nU
Элина Бегушева    (2024-12-10 22:35:35)
Совет поменялся, инфа с сайта</t>
        </r>
      </text>
    </comment>
    <comment ref="C93" authorId="0" shapeId="0" xr:uid="{99CCB868-D156-4E7E-9F38-5554B16035AD}">
      <text>
        <r>
          <rPr>
            <sz val="12"/>
            <color theme="1"/>
            <rFont val="Aptos Narrow"/>
            <scheme val="minor"/>
          </rPr>
          <t>======
ID#AAABaCwcbtA
Элина Бегушева    (2024-12-10 12:29:14)
Нужно смотреть на сайт оставшуюся инфу</t>
        </r>
      </text>
    </comment>
    <comment ref="K94" authorId="0" shapeId="0" xr:uid="{D2FD4658-2EE6-4037-8C34-BC9DF08CDBFD}">
      <text>
        <r>
          <rPr>
            <sz val="12"/>
            <color theme="1"/>
            <rFont val="Aptos Narrow"/>
            <scheme val="minor"/>
          </rPr>
          <t>======
ID#AAABZ-vnNdE
Элина Бегушева    (2024-12-08 22:23:37)
непонятно, нынешний ли опыт считается или и прошлый, и нынешний</t>
        </r>
      </text>
    </comment>
    <comment ref="C95" authorId="0" shapeId="0" xr:uid="{93CAD79A-0E19-4D8C-91CC-33D1BFB9F068}">
      <text>
        <r>
          <rPr>
            <sz val="12"/>
            <color theme="1"/>
            <rFont val="Aptos Narrow"/>
            <scheme val="minor"/>
          </rPr>
          <t>======
ID#AAABaCwcbtE
Элина Бегушева    (2024-12-10 12:31:18)
На сайте ищем</t>
        </r>
      </text>
    </comment>
    <comment ref="C99" authorId="0" shapeId="0" xr:uid="{BA68DC79-D33E-4A5B-9081-F341063C1884}">
      <text>
        <r>
          <rPr>
            <sz val="12"/>
            <color theme="1"/>
            <rFont val="Aptos Narrow"/>
            <scheme val="minor"/>
          </rPr>
          <t>======
ID#AAABZ-vnNdI
Элина Бегушева    (2024-12-08 22:29:53)
C сайта</t>
        </r>
      </text>
    </comment>
    <comment ref="C103" authorId="0" shapeId="0" xr:uid="{C9A04683-96B9-4229-9454-8CD7FDFAA946}">
      <text>
        <r>
          <rPr>
            <sz val="12"/>
            <color theme="1"/>
            <rFont val="Aptos Narrow"/>
            <scheme val="minor"/>
          </rPr>
          <t>======
ID#AAABaU57Hd4
Элина Бегушева    (2024-12-11 13:52:35)
С сайта</t>
        </r>
      </text>
    </comment>
    <comment ref="C105" authorId="0" shapeId="0" xr:uid="{CA5F40F7-B7C3-407F-907F-B1B4B8A74AA8}">
      <text>
        <r>
          <rPr>
            <sz val="12"/>
            <color theme="1"/>
            <rFont val="Aptos Narrow"/>
            <scheme val="minor"/>
          </rPr>
          <t>======
ID#AAABZ-1L26E
Элина Бегушева    (2024-12-09 17:36:24)
В отчете 2004 и проспекте (ближайшем существующем на сайте) сильно разнится информация о директорах, из-за чего берем ГО</t>
        </r>
      </text>
    </comment>
    <comment ref="C112" authorId="8" shapeId="0" xr:uid="{65DC0D66-5B6C-45D5-A916-3AA3444905C7}">
      <text>
        <r>
          <rPr>
            <b/>
            <sz val="9"/>
            <color indexed="81"/>
            <rFont val="Tahoma"/>
            <charset val="1"/>
          </rPr>
          <t>Элина Бегушева:</t>
        </r>
        <r>
          <rPr>
            <sz val="9"/>
            <color indexed="81"/>
            <rFont val="Tahoma"/>
            <charset val="1"/>
          </rPr>
          <t xml:space="preserve">
из отчета о результатах выпуска
</t>
        </r>
      </text>
    </comment>
  </commentList>
</comments>
</file>

<file path=xl/sharedStrings.xml><?xml version="1.0" encoding="utf-8"?>
<sst xmlns="http://schemas.openxmlformats.org/spreadsheetml/2006/main" count="963" uniqueCount="469">
  <si>
    <t>Year</t>
  </si>
  <si>
    <t>Ticker</t>
  </si>
  <si>
    <t>IPO_year</t>
  </si>
  <si>
    <t>Nationality</t>
  </si>
  <si>
    <t>Sector</t>
  </si>
  <si>
    <t>Total_Value</t>
  </si>
  <si>
    <t xml:space="preserve">Total_Shares </t>
  </si>
  <si>
    <t>Offer_Price</t>
  </si>
  <si>
    <t>Current_Range_High</t>
  </si>
  <si>
    <t xml:space="preserve">Current_Range_Low </t>
  </si>
  <si>
    <t>perc_from_Price_Range</t>
  </si>
  <si>
    <t>% Change Price Offer/1 Day</t>
  </si>
  <si>
    <t>ADTV_1_Day</t>
  </si>
  <si>
    <t>Underpricing_month</t>
  </si>
  <si>
    <t>Underpricing</t>
  </si>
  <si>
    <t xml:space="preserve">ADTV1_month </t>
  </si>
  <si>
    <t>IMOEX_1Day</t>
  </si>
  <si>
    <t>IMOEX_1Month</t>
  </si>
  <si>
    <t>Global_Coordinators</t>
  </si>
  <si>
    <t>Global_Co-Ordinator_Parent</t>
  </si>
  <si>
    <t>Total_coordinators</t>
  </si>
  <si>
    <t>Free_Float</t>
  </si>
  <si>
    <t>Exchange</t>
  </si>
  <si>
    <t>Total_number_Exchange</t>
  </si>
  <si>
    <t>Age</t>
  </si>
  <si>
    <t>Total_assets</t>
  </si>
  <si>
    <t>Total_liabilities</t>
  </si>
  <si>
    <t>Current_assets</t>
  </si>
  <si>
    <t>Current_liabilities</t>
  </si>
  <si>
    <t>R_D</t>
  </si>
  <si>
    <t>Total_debt</t>
  </si>
  <si>
    <t>Net_debt</t>
  </si>
  <si>
    <t>Equity</t>
  </si>
  <si>
    <t>Revenue</t>
  </si>
  <si>
    <t>EBITDA</t>
  </si>
  <si>
    <t>Net_income</t>
  </si>
  <si>
    <t>CAPEX</t>
  </si>
  <si>
    <t>RD_Assets</t>
  </si>
  <si>
    <t>EBITDA_Margin</t>
  </si>
  <si>
    <t>Net_Income_Margin</t>
  </si>
  <si>
    <t>Net Debt_EBITDA</t>
  </si>
  <si>
    <t>ROA</t>
  </si>
  <si>
    <t>ROE</t>
  </si>
  <si>
    <t>Current_ratio</t>
  </si>
  <si>
    <t>LMBZ</t>
  </si>
  <si>
    <t>Russian Federation</t>
  </si>
  <si>
    <t>Forestry &amp; Paper</t>
  </si>
  <si>
    <t>Uniservis Capital</t>
  </si>
  <si>
    <t>Moscow Exchange</t>
  </si>
  <si>
    <t>OZPH</t>
  </si>
  <si>
    <t>Healthcare</t>
  </si>
  <si>
    <t>SberCIB; VTB Capital; Alfa-Bank; Tinkoff;</t>
  </si>
  <si>
    <t>DATA</t>
  </si>
  <si>
    <t>TMT</t>
  </si>
  <si>
    <t>VTB Capital; Gazprombank</t>
  </si>
  <si>
    <t>APRI</t>
  </si>
  <si>
    <t>Real Estate/Property</t>
  </si>
  <si>
    <t>Ivolga Capital</t>
  </si>
  <si>
    <t>PRMD</t>
  </si>
  <si>
    <t>Pharma</t>
  </si>
  <si>
    <t>Aton; Gazprombank</t>
  </si>
  <si>
    <t>VSEH</t>
  </si>
  <si>
    <t>Consumer</t>
  </si>
  <si>
    <t>SberCIB; VTB Capital; Alfa-Bank; Aton; Tinkoff; СовкомбанкКИБ</t>
  </si>
  <si>
    <t>IVAT</t>
  </si>
  <si>
    <t>SberCIB; Alfa-Bank; Tinkoff</t>
  </si>
  <si>
    <t>ELMT</t>
  </si>
  <si>
    <t>VTB Capital; Ренессанс; СовкомбанкКИБ</t>
  </si>
  <si>
    <t>St Petersburg</t>
  </si>
  <si>
    <t>KLVZ</t>
  </si>
  <si>
    <t>Finam</t>
  </si>
  <si>
    <t>DIAS</t>
  </si>
  <si>
    <t>SberCIB; BCS; Gazprombank</t>
  </si>
  <si>
    <t>DELI</t>
  </si>
  <si>
    <t>SberCIB; VTB Capital; Tinkoff; Gazprombank</t>
  </si>
  <si>
    <t>UGLD</t>
  </si>
  <si>
    <t>Metal &amp; Mining</t>
  </si>
  <si>
    <t>SberCIB; VTB Capital; Alfa-Bank; Gazprombank</t>
  </si>
  <si>
    <t>EUTR</t>
  </si>
  <si>
    <t>Finam; BCS; Gazprombank</t>
  </si>
  <si>
    <t>HNFG</t>
  </si>
  <si>
    <t xml:space="preserve">SberCIB; Tinkoff; BCS </t>
  </si>
  <si>
    <t>ASTR</t>
  </si>
  <si>
    <t>SberCIB; VTB Capital; Tinkoff</t>
  </si>
  <si>
    <t>GECO</t>
  </si>
  <si>
    <t>Biotech</t>
  </si>
  <si>
    <t>Alor; IVA Partners</t>
  </si>
  <si>
    <t>WUSH</t>
  </si>
  <si>
    <t>SberCIB; VTB Capital; Gazprombank</t>
  </si>
  <si>
    <t>SFTL</t>
  </si>
  <si>
    <t>Cyprus</t>
  </si>
  <si>
    <t>Computers &amp; Electronics</t>
  </si>
  <si>
    <t>Credit Suisse; JPMorgan; VTB Capital</t>
  </si>
  <si>
    <t>London Stock Exchange; Moscow Exchange</t>
  </si>
  <si>
    <t>CIAN</t>
  </si>
  <si>
    <t>Morgan Stanley; Goldman Sachs; JPMorgan; BofA Securities; Renaissance Capital; VTB Capital; Alfa CIB; Raiffesenbank; Tinkoff</t>
  </si>
  <si>
    <t>New York Stock Exchange-NYSE</t>
  </si>
  <si>
    <t>GEMC</t>
  </si>
  <si>
    <t>Citi; JPMorgan; VTB Capital</t>
  </si>
  <si>
    <t>SGZH</t>
  </si>
  <si>
    <t>JPMorgan; UBS; VTB Capital</t>
  </si>
  <si>
    <t>FIXP</t>
  </si>
  <si>
    <t>Retail</t>
  </si>
  <si>
    <t>BofA Securities; Citi; JPMorgan; Morgan Stanley; VTB Capital</t>
  </si>
  <si>
    <t>OZON</t>
  </si>
  <si>
    <t>Morgan Stanley; Goldman Sachs; Citi; Sberbank CIB; VTB Capital; UBS; Renaissance Capital</t>
  </si>
  <si>
    <t>NASDAQ-US</t>
  </si>
  <si>
    <t>SMLT</t>
  </si>
  <si>
    <t>VTB Capital</t>
  </si>
  <si>
    <t>FLOT</t>
  </si>
  <si>
    <t>Transportation</t>
  </si>
  <si>
    <t>VTB Capital; Citi; Sberbank CIB; JPMorgan; BofA Securities</t>
  </si>
  <si>
    <t>GRQ</t>
  </si>
  <si>
    <t>Singapore</t>
  </si>
  <si>
    <t>Agribusiness</t>
  </si>
  <si>
    <t>-</t>
  </si>
  <si>
    <t>Singapore Exchange-Catalist</t>
  </si>
  <si>
    <t>HHR</t>
  </si>
  <si>
    <t>Morgan Stanley; Goldman Sachs; Credit Suisse; Sberbank CIB; VTB Capital; BofA Merril Lynch</t>
  </si>
  <si>
    <t>ENPL</t>
  </si>
  <si>
    <t>Jersey</t>
  </si>
  <si>
    <t>Metal &amp; Steel</t>
  </si>
  <si>
    <t>Citi; Credit Suisse; JPMorgan; BofA Securities; Sberbank CIB; VTB Capital</t>
  </si>
  <si>
    <t>GTRK</t>
  </si>
  <si>
    <t>BCS Holding International Ltd - BCS Group; Citi</t>
  </si>
  <si>
    <t>OBUV</t>
  </si>
  <si>
    <t>BCS Holding International Ltd - BCS Group; Citi; Renaissance Capital; Sberbank CIB</t>
  </si>
  <si>
    <t>Moscow</t>
  </si>
  <si>
    <t>PLZL</t>
  </si>
  <si>
    <t>Mining-General</t>
  </si>
  <si>
    <t>Goldman Sachs; JPMorgan; Sberbank CIB, VTB Capital</t>
  </si>
  <si>
    <t>Common Stock/Ordinary Shares; Global Depositary Receipts</t>
  </si>
  <si>
    <t>DSKY</t>
  </si>
  <si>
    <t>Credit Suisse; Goldman Sachs; Morgan Stanley</t>
  </si>
  <si>
    <t>RNFT</t>
  </si>
  <si>
    <t>Oil &amp; Gas</t>
  </si>
  <si>
    <t>VTB Capital; Sberbank CIB</t>
  </si>
  <si>
    <t>NKHP</t>
  </si>
  <si>
    <t>UWGN</t>
  </si>
  <si>
    <t>LNTA</t>
  </si>
  <si>
    <t>London Stock Exchange; Moscow Interbank Currency Exchange (MICEX)</t>
  </si>
  <si>
    <t>ALRS</t>
  </si>
  <si>
    <t>Mining</t>
  </si>
  <si>
    <t>Goldman Sachs; JPMorgan; Morgan Stanley; VTB Capital</t>
  </si>
  <si>
    <t>Moscow Interbank Currency Exchange (MICEX)</t>
  </si>
  <si>
    <t>QIWI</t>
  </si>
  <si>
    <t>Credit Suisse; JPMorgan</t>
  </si>
  <si>
    <t>MSST</t>
  </si>
  <si>
    <t>Professional Services</t>
  </si>
  <si>
    <t>MFON</t>
  </si>
  <si>
    <t>Telecommunications</t>
  </si>
  <si>
    <t>Morgan Stanley; Sberbank CIB</t>
  </si>
  <si>
    <t>MDMG</t>
  </si>
  <si>
    <t>Deutsche Bank; JPMorgan</t>
  </si>
  <si>
    <t>London Stock Exchange</t>
  </si>
  <si>
    <t>RPO</t>
  </si>
  <si>
    <t>United Kingdom</t>
  </si>
  <si>
    <t>BofA Securities</t>
  </si>
  <si>
    <t>PHOR</t>
  </si>
  <si>
    <t>Chemicals</t>
  </si>
  <si>
    <t>Citi; Renaissance Capital; Sberbank CIB</t>
  </si>
  <si>
    <t>London Stock Exchange; Moscow Interbank Currency Exchange (MICEX); Russian Trading System</t>
  </si>
  <si>
    <t>GLPR</t>
  </si>
  <si>
    <t>Deutsche Bank; Morgan Stanley; Sberbank CIB; Goldman Sachs</t>
  </si>
  <si>
    <t>YNDX</t>
  </si>
  <si>
    <t>Netherlands</t>
  </si>
  <si>
    <t>Morgan Stanley; Deutsche Bank; Goldman Sachs</t>
  </si>
  <si>
    <t>ETLN</t>
  </si>
  <si>
    <t>Guernsey</t>
  </si>
  <si>
    <t>Credit Suisse; Renaissance Capital; VTB Capital</t>
  </si>
  <si>
    <t>AGRO</t>
  </si>
  <si>
    <t>Food &amp; Beverage</t>
  </si>
  <si>
    <t>Credit Suisse; Alfa Bank; Renaissance Capital</t>
  </si>
  <si>
    <t>HMSG</t>
  </si>
  <si>
    <t>Machinery</t>
  </si>
  <si>
    <t>JPMorgan; Morgan Stanley; Renaissance Capital</t>
  </si>
  <si>
    <t>MSTT</t>
  </si>
  <si>
    <t>Construction/Building</t>
  </si>
  <si>
    <t>Deutsche Bank; JP Morgan Sberbank CIB</t>
  </si>
  <si>
    <t>Russian Trading System</t>
  </si>
  <si>
    <t>LIFE</t>
  </si>
  <si>
    <t>TRCN</t>
  </si>
  <si>
    <t>JPMorgan; Morgan Stanley; Sberbank CIB</t>
  </si>
  <si>
    <t>MAIL</t>
  </si>
  <si>
    <t>Virgin Islands (British)</t>
  </si>
  <si>
    <t>Goldman Sachs; JPMorgan</t>
  </si>
  <si>
    <t>OKEY</t>
  </si>
  <si>
    <t>Luxembourg</t>
  </si>
  <si>
    <t>Goldman Sachs; VTB Capital</t>
  </si>
  <si>
    <t>IRC</t>
  </si>
  <si>
    <t>Hong Kong (China)</t>
  </si>
  <si>
    <t>Hong Kong Exchange-Main Board</t>
  </si>
  <si>
    <t>RNAV</t>
  </si>
  <si>
    <t>DIOD</t>
  </si>
  <si>
    <t>KBTK</t>
  </si>
  <si>
    <t>UBS; Sberbank CIB</t>
  </si>
  <si>
    <t>PRTK</t>
  </si>
  <si>
    <t>Renaissance Capital; UBS</t>
  </si>
  <si>
    <t>Moscow Interbank Currency Exchange (MICEX); Russian Trading System</t>
  </si>
  <si>
    <t>RSEA</t>
  </si>
  <si>
    <t>Renaissance Capital; VTB Capital</t>
  </si>
  <si>
    <t>RUAL</t>
  </si>
  <si>
    <t>BNP Paribas; Credit Suisse</t>
  </si>
  <si>
    <t>Hong Kong Exchange-Main Board; Paris</t>
  </si>
  <si>
    <t>EXI</t>
  </si>
  <si>
    <t>Isle of Man</t>
  </si>
  <si>
    <t>BofA Securities; ING</t>
  </si>
  <si>
    <t>ISKJ</t>
  </si>
  <si>
    <t xml:space="preserve">Öhman </t>
  </si>
  <si>
    <t>GLTR</t>
  </si>
  <si>
    <t>Deutsche Bank</t>
  </si>
  <si>
    <t>TGK13</t>
  </si>
  <si>
    <t>Utility &amp; Energy</t>
  </si>
  <si>
    <t>Renaissance Capital; ABN AMRO Bank</t>
  </si>
  <si>
    <t>IFSNR</t>
  </si>
  <si>
    <t>Renaissance Capital</t>
  </si>
  <si>
    <t>LSRG</t>
  </si>
  <si>
    <t>Credit Suisse; Deutsche Bank</t>
  </si>
  <si>
    <t>NCSP</t>
  </si>
  <si>
    <t>Morgan Stanley; Troika Dialog</t>
  </si>
  <si>
    <t>EDCL</t>
  </si>
  <si>
    <t>Cayman Islands</t>
  </si>
  <si>
    <t xml:space="preserve">JPMorgan; UBS </t>
  </si>
  <si>
    <t>MVID</t>
  </si>
  <si>
    <t>URKA</t>
  </si>
  <si>
    <t>Chemicals-Fertilizers</t>
  </si>
  <si>
    <t>Citigroup; UBS; Renaissance Capital</t>
  </si>
  <si>
    <t>London Stock Exchange; Moscow</t>
  </si>
  <si>
    <t>OGKB</t>
  </si>
  <si>
    <t>Deutsche Bank, UBS Investment Bank, Тройка Диалог</t>
  </si>
  <si>
    <t>MOEX, LSE</t>
  </si>
  <si>
    <t>FESHG</t>
  </si>
  <si>
    <t>ROST</t>
  </si>
  <si>
    <t>Dining &amp; Lodging</t>
  </si>
  <si>
    <t>PIK</t>
  </si>
  <si>
    <t>Deutsche Bank; Morgan Stanley; Nomura</t>
  </si>
  <si>
    <t>DIXY</t>
  </si>
  <si>
    <t>Deutsche Bank; Renaissance Capital</t>
  </si>
  <si>
    <t>PHSTQ</t>
  </si>
  <si>
    <t>Citi; UBS</t>
  </si>
  <si>
    <t>AFIDLQ</t>
  </si>
  <si>
    <t>Deutsche Bank; Morgan Stanley</t>
  </si>
  <si>
    <t>NTRI</t>
  </si>
  <si>
    <t>MAGN</t>
  </si>
  <si>
    <t>39 517 861</t>
  </si>
  <si>
    <t>ABN AMRO Rothschild; Morgan Stanley; Renaissance Capital</t>
  </si>
  <si>
    <t>VGAS</t>
  </si>
  <si>
    <t>London Stock Exchange-AIM</t>
  </si>
  <si>
    <t>OGKC</t>
  </si>
  <si>
    <t>Deutsche Bank; Goldman Sachs; Merrill Lynch; Alfa Bank</t>
  </si>
  <si>
    <t>INTE</t>
  </si>
  <si>
    <t>Morgan Stanley; Renaissance Capital; Alfa Bank</t>
  </si>
  <si>
    <t>SITRIQ</t>
  </si>
  <si>
    <t>Credit Suisse Goldman Sachs International Renaissance Capital</t>
  </si>
  <si>
    <t>PMTL</t>
  </si>
  <si>
    <t>Deutsche Bank; Merrill Lynch International; UBS</t>
  </si>
  <si>
    <t>MLD</t>
  </si>
  <si>
    <t>Credit Suisse; Merrill Lynch International</t>
  </si>
  <si>
    <t>WTCM</t>
  </si>
  <si>
    <t>Troika Dialog</t>
  </si>
  <si>
    <t>RASP</t>
  </si>
  <si>
    <t>Credit Suisse; Deutsche UFG</t>
  </si>
  <si>
    <t>SVST</t>
  </si>
  <si>
    <t>Metal &amp; Steel-Processing</t>
  </si>
  <si>
    <t>Citigroup; Deutsche Bank; UBS</t>
  </si>
  <si>
    <t>CHZN</t>
  </si>
  <si>
    <t>Credit Suisse; Troika Dialog; HSBC; Alfa Capital Markets</t>
  </si>
  <si>
    <t>HALS</t>
  </si>
  <si>
    <t>Deutsche Bank; Nomura; UBS</t>
  </si>
  <si>
    <t>TMKS</t>
  </si>
  <si>
    <t>Credit Suisse; Commerzbank Group; Renaissance Capital</t>
  </si>
  <si>
    <t>OGKE</t>
  </si>
  <si>
    <t>Credit Suisse; Deutsche Bank; Sberbank CIB</t>
  </si>
  <si>
    <t>PTR</t>
  </si>
  <si>
    <t>Ireland</t>
  </si>
  <si>
    <t>Davy</t>
  </si>
  <si>
    <t>Irish Stock Exchange-All Market; London Stock Exchange-AIM</t>
  </si>
  <si>
    <t>BLNG</t>
  </si>
  <si>
    <t>ROSN</t>
  </si>
  <si>
    <t>ABN AMRO Bank; Sberbank CIB; Commerzbank Group; JPMorgan; Morgan Stanley</t>
  </si>
  <si>
    <t>CTCM</t>
  </si>
  <si>
    <t>United States</t>
  </si>
  <si>
    <t>Morgan Stanley</t>
  </si>
  <si>
    <t>CHEQ</t>
  </si>
  <si>
    <t>MGNT</t>
  </si>
  <si>
    <t>Deutsche UFG</t>
  </si>
  <si>
    <t>VRPH</t>
  </si>
  <si>
    <t>GRAZ</t>
  </si>
  <si>
    <t>DrKW, MDM</t>
  </si>
  <si>
    <t>CMST</t>
  </si>
  <si>
    <t>Deutsche UFG, Goldman Sachs International, Renaissance Capital</t>
  </si>
  <si>
    <t>NLMK</t>
  </si>
  <si>
    <t>UBS; Merril Lynch International</t>
  </si>
  <si>
    <t>AMV</t>
  </si>
  <si>
    <t>Auto/Truck</t>
  </si>
  <si>
    <t>UBS; Alfa Capital Markets</t>
  </si>
  <si>
    <t>UEN</t>
  </si>
  <si>
    <t>NVTK</t>
  </si>
  <si>
    <t>Morgan Stanley; UBS</t>
  </si>
  <si>
    <t>London Stock Exchange; Moscow; Portal</t>
  </si>
  <si>
    <t>EVR</t>
  </si>
  <si>
    <t>PJP</t>
  </si>
  <si>
    <t>Credit Suisse First Boston; Morgan Stanley</t>
  </si>
  <si>
    <t>SVAV</t>
  </si>
  <si>
    <t>Deutsche UFG, Troika Dialog</t>
  </si>
  <si>
    <t>LEKZ</t>
  </si>
  <si>
    <t>SSA</t>
  </si>
  <si>
    <t>Holding Companies</t>
  </si>
  <si>
    <t>OIVS</t>
  </si>
  <si>
    <t>ING, Rosbank, Troika Dialog</t>
  </si>
  <si>
    <t>SCON</t>
  </si>
  <si>
    <t>MTL</t>
  </si>
  <si>
    <t>JPMorgan, Morgan Stanley, UBS Investment Bank, Troika Dialog</t>
  </si>
  <si>
    <t>Moscow; New York Stock Exchange-NYSE</t>
  </si>
  <si>
    <t>KLNA</t>
  </si>
  <si>
    <t>Consumer Products</t>
  </si>
  <si>
    <t>IRKT</t>
  </si>
  <si>
    <t>Aerospace</t>
  </si>
  <si>
    <t>Credit Suisse First Boston; MDM Bank</t>
  </si>
  <si>
    <t>APTK</t>
  </si>
  <si>
    <t>ING, MDM Bank</t>
  </si>
  <si>
    <t>RBCI</t>
  </si>
  <si>
    <t>Aton Capital, Alfa Bank</t>
  </si>
  <si>
    <t>WBD</t>
  </si>
  <si>
    <t>Troika Dialog, Alfa Bank, ING Barings</t>
  </si>
  <si>
    <t>IPO Date</t>
  </si>
  <si>
    <t>Company</t>
  </si>
  <si>
    <t>Board_size</t>
  </si>
  <si>
    <t>Independence</t>
  </si>
  <si>
    <t>Audit_committee</t>
  </si>
  <si>
    <t>Mean_age</t>
  </si>
  <si>
    <t>Economic_education</t>
  </si>
  <si>
    <t>Gender_variability</t>
  </si>
  <si>
    <t>Independent_leader</t>
  </si>
  <si>
    <t>Current_exp</t>
  </si>
  <si>
    <t>Past_exp</t>
  </si>
  <si>
    <t>Education</t>
  </si>
  <si>
    <t>Number_of_committees</t>
  </si>
  <si>
    <t>Industry_education</t>
  </si>
  <si>
    <t>Foreign_directors</t>
  </si>
  <si>
    <t>Underpricing_1</t>
  </si>
  <si>
    <t>Underpricing_30</t>
  </si>
  <si>
    <t>Age_of_company</t>
  </si>
  <si>
    <t>Industry</t>
  </si>
  <si>
    <t>Arenadata</t>
  </si>
  <si>
    <t>Озон Фармацевтика</t>
  </si>
  <si>
    <t>Promomed</t>
  </si>
  <si>
    <t>VseInstrumenty.ru</t>
  </si>
  <si>
    <t>IVA Technologies</t>
  </si>
  <si>
    <t>Element Group</t>
  </si>
  <si>
    <t>Crystall</t>
  </si>
  <si>
    <t>Diasoft</t>
  </si>
  <si>
    <t>Delimobil</t>
  </si>
  <si>
    <t>UGC</t>
  </si>
  <si>
    <t>Eurotrance</t>
  </si>
  <si>
    <t>Henderson</t>
  </si>
  <si>
    <t>Astra Group</t>
  </si>
  <si>
    <t xml:space="preserve">Genetico </t>
  </si>
  <si>
    <t>Whoosh</t>
  </si>
  <si>
    <t>Softline Holding Plc</t>
  </si>
  <si>
    <t>Cian plc</t>
  </si>
  <si>
    <t>United Medical Group CY PLC</t>
  </si>
  <si>
    <t>Segezha Pulp and Paper Mill OAO</t>
  </si>
  <si>
    <t>Fix Price Group Ltd</t>
  </si>
  <si>
    <t>Ozon Holdings plc</t>
  </si>
  <si>
    <t>Samolet Development OOO</t>
  </si>
  <si>
    <t>Sovcomflot PAO</t>
  </si>
  <si>
    <t>Don Agro International Ltd</t>
  </si>
  <si>
    <t>HeadHunter Group plc</t>
  </si>
  <si>
    <t>EN+ Group plc</t>
  </si>
  <si>
    <t>GlobalTruck Management OAO</t>
  </si>
  <si>
    <t>OR PJSC</t>
  </si>
  <si>
    <t>Polyus</t>
  </si>
  <si>
    <t>Detsky Mir PAO</t>
  </si>
  <si>
    <t>RussNeft OAO</t>
  </si>
  <si>
    <t>Novorossiysk Grain Plant OAO - NKHP</t>
  </si>
  <si>
    <t>Research &amp; Production Corp United Wagon Co PAO</t>
  </si>
  <si>
    <t>Lenta Ltd</t>
  </si>
  <si>
    <t>ALROSA OAO</t>
  </si>
  <si>
    <t> LXFT</t>
  </si>
  <si>
    <t>QIWI plc</t>
  </si>
  <si>
    <t>MOEX</t>
  </si>
  <si>
    <t>Multisistema OJSC</t>
  </si>
  <si>
    <t>MegaFon OAO</t>
  </si>
  <si>
    <t>RusPetro plc</t>
  </si>
  <si>
    <t>UTII</t>
  </si>
  <si>
    <t>OJSC PhosAgro OAO</t>
  </si>
  <si>
    <t>Global Ports Investments plc</t>
  </si>
  <si>
    <t>Yandex NV</t>
  </si>
  <si>
    <t>Etalon Group Ltd</t>
  </si>
  <si>
    <t>Ros Agro plc</t>
  </si>
  <si>
    <t>Mostotrest OAO</t>
  </si>
  <si>
    <t>Pharmsynthez OAO</t>
  </si>
  <si>
    <t>TransContainer OAO</t>
  </si>
  <si>
    <t>Mail.ru Group Ltd</t>
  </si>
  <si>
    <t>O'KEY Group SA</t>
  </si>
  <si>
    <t>IRC Ltd</t>
  </si>
  <si>
    <t>AutoTracker</t>
  </si>
  <si>
    <t>Diod OAO</t>
  </si>
  <si>
    <t>Kuzbass Fuel Co OAO</t>
  </si>
  <si>
    <t>Protek</t>
  </si>
  <si>
    <t>Russian Sea ZAO</t>
  </si>
  <si>
    <t>UC Rusal Ltd</t>
  </si>
  <si>
    <t>Human Stem Cell Institute OAO - HSCI</t>
  </si>
  <si>
    <t>Globaltrans Investment plc</t>
  </si>
  <si>
    <t>Yenisei TGK-13 OAO</t>
  </si>
  <si>
    <t>BEF</t>
  </si>
  <si>
    <t>Synergy OAO</t>
  </si>
  <si>
    <t>LSR Group OAO</t>
  </si>
  <si>
    <t>Novorossiysk Commercial Sea Port OAO</t>
  </si>
  <si>
    <t>Eurasia Drilling Co Ltd</t>
  </si>
  <si>
    <t>M.video PAO</t>
  </si>
  <si>
    <t>Uralkali PAO</t>
  </si>
  <si>
    <t>FESCO</t>
  </si>
  <si>
    <t>Rosinter</t>
  </si>
  <si>
    <t>PIK Group OAO</t>
  </si>
  <si>
    <t>Dixy Group OAO</t>
  </si>
  <si>
    <t>Pharmstandard OAO</t>
  </si>
  <si>
    <t>MMK - Magnitogorsk Iron &amp; Steel Works</t>
  </si>
  <si>
    <t>Volga Gas plc</t>
  </si>
  <si>
    <t>Integra Group</t>
  </si>
  <si>
    <t>Sitronics</t>
  </si>
  <si>
    <t>Polymetal OAO</t>
  </si>
  <si>
    <t>MirLand Development Corp plc</t>
  </si>
  <si>
    <t>WTC Moscow</t>
  </si>
  <si>
    <t>Raspadskaya OAO</t>
  </si>
  <si>
    <t>Severstal</t>
  </si>
  <si>
    <t>Chelyabinsk Zinc Plant OAO</t>
  </si>
  <si>
    <t>Sistema-Hals OAO</t>
  </si>
  <si>
    <t>TMK</t>
  </si>
  <si>
    <t>OGK-5 OAO</t>
  </si>
  <si>
    <t>PetroNeft Resources plc</t>
  </si>
  <si>
    <t>Rosneft Oil Co OAO</t>
  </si>
  <si>
    <t>CTC Media Inc</t>
  </si>
  <si>
    <t>Cherkizovo Group OAO</t>
  </si>
  <si>
    <t>Magnit OAO (pre-2014)</t>
  </si>
  <si>
    <t>Razgulay Group OAO</t>
  </si>
  <si>
    <t>Comstar UTS OAO</t>
  </si>
  <si>
    <t>Novolipetsk Steel PAO</t>
  </si>
  <si>
    <t>Amtel Vredestein NV</t>
  </si>
  <si>
    <t>Urals Energy plc</t>
  </si>
  <si>
    <t>RUS</t>
  </si>
  <si>
    <t>Novatek OAO</t>
  </si>
  <si>
    <t>RMG</t>
  </si>
  <si>
    <t>Evraz Group SA</t>
  </si>
  <si>
    <t>Pyaterochka Holding NV</t>
  </si>
  <si>
    <t>Severstal-Avto OAO</t>
  </si>
  <si>
    <t>AKHA</t>
  </si>
  <si>
    <t>Sistema</t>
  </si>
  <si>
    <t>Open Investments OAO - OPIN</t>
  </si>
  <si>
    <t>Seventh Continent</t>
  </si>
  <si>
    <t>Mechel</t>
  </si>
  <si>
    <t>Kalina</t>
  </si>
  <si>
    <t>NPO Irkut</t>
  </si>
  <si>
    <t>Pharmacy Chain 36.6 OAO</t>
  </si>
  <si>
    <t>HGML</t>
  </si>
  <si>
    <t>RBC OAO</t>
  </si>
  <si>
    <t>Wimm-Bill-Dann</t>
  </si>
  <si>
    <t>MBT</t>
  </si>
  <si>
    <t>Total_liabilities_Total_assets</t>
  </si>
  <si>
    <t>Net_Debt_EBITDA</t>
  </si>
  <si>
    <t>НЕТ ИНФОРМАЦИИ</t>
  </si>
  <si>
    <t>Информация в прошлом файле была</t>
  </si>
  <si>
    <t>MD Medical Group Investments plc</t>
  </si>
  <si>
    <t>Lambumiz</t>
  </si>
  <si>
    <t>Hydraulic Machines &amp; Systems Group - HMS OAO</t>
  </si>
  <si>
    <t>ОГК-2</t>
  </si>
  <si>
    <t>OGK-3 OAO</t>
  </si>
  <si>
    <t>Belon 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</si>
</sst>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%"/>
    <numFmt numFmtId="166" formatCode="#,##0;\(#,##0\);&quot;-&quot;"/>
    <numFmt numFmtId="167" formatCode="#,##0.0;\(#,##0.0\);&quot;-&quot;"/>
    <numFmt numFmtId="168" formatCode="0.00\x"/>
    <numFmt numFmtId="169" formatCode="dd\.mm\.yyyy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Aptos Narrow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1"/>
      <color rgb="FF000000"/>
      <name val="Aptos Narrow"/>
      <family val="2"/>
      <charset val="204"/>
      <scheme val="minor"/>
    </font>
    <font>
      <i/>
      <sz val="11"/>
      <color theme="1"/>
      <name val="Helvetica"/>
      <family val="2"/>
    </font>
    <font>
      <sz val="11"/>
      <name val="Calibri"/>
      <family val="2"/>
    </font>
    <font>
      <sz val="12"/>
      <color theme="1"/>
      <name val="Aptos Display"/>
      <family val="2"/>
      <charset val="204"/>
      <scheme val="major"/>
    </font>
    <font>
      <b/>
      <sz val="10"/>
      <color theme="1"/>
      <name val="Calibri"/>
    </font>
    <font>
      <b/>
      <sz val="10"/>
      <color rgb="FF000000"/>
      <name val="Calibri"/>
    </font>
    <font>
      <b/>
      <sz val="10"/>
      <color theme="1"/>
      <name val="Calibri"/>
      <family val="2"/>
      <charset val="204"/>
    </font>
    <font>
      <sz val="10"/>
      <color theme="1"/>
      <name val="Calibri"/>
    </font>
    <font>
      <sz val="10"/>
      <color rgb="FF000000"/>
      <name val="Calibri"/>
    </font>
    <font>
      <sz val="10"/>
      <color theme="1"/>
      <name val="Aptos Narrow"/>
      <family val="2"/>
      <charset val="204"/>
      <scheme val="minor"/>
    </font>
    <font>
      <sz val="12"/>
      <color theme="1"/>
      <name val="Aptos Narrow"/>
      <scheme val="minor"/>
    </font>
    <font>
      <sz val="9"/>
      <color indexed="81"/>
      <name val="Tahoma"/>
      <charset val="1"/>
    </font>
    <font>
      <sz val="10"/>
      <color theme="1"/>
      <name val="Calibri"/>
      <family val="2"/>
      <charset val="204"/>
    </font>
    <font>
      <sz val="11"/>
      <color rgb="FFFF0000"/>
      <name val="Aptos Narrow"/>
      <family val="2"/>
      <scheme val="minor"/>
    </font>
    <font>
      <b/>
      <sz val="9"/>
      <color indexed="81"/>
      <name val="Tahoma"/>
      <charset val="1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name val="Aptos Narrow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8C1D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5" fillId="0" borderId="0"/>
    <xf numFmtId="166" fontId="5" fillId="2" borderId="4">
      <alignment horizontal="right" vertical="center"/>
    </xf>
    <xf numFmtId="0" fontId="4" fillId="0" borderId="0"/>
  </cellStyleXfs>
  <cellXfs count="232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3" fillId="0" borderId="2" xfId="2" applyNumberFormat="1" applyFont="1" applyBorder="1" applyAlignment="1">
      <alignment horizontal="center" vertical="center"/>
    </xf>
    <xf numFmtId="2" fontId="3" fillId="0" borderId="3" xfId="2" applyNumberFormat="1" applyFont="1" applyBorder="1" applyAlignment="1">
      <alignment horizontal="center" vertical="center"/>
    </xf>
    <xf numFmtId="0" fontId="5" fillId="0" borderId="0" xfId="3" applyAlignment="1">
      <alignment horizontal="center"/>
    </xf>
    <xf numFmtId="0" fontId="5" fillId="0" borderId="0" xfId="0" applyFont="1"/>
    <xf numFmtId="0" fontId="5" fillId="0" borderId="0" xfId="3"/>
    <xf numFmtId="164" fontId="0" fillId="0" borderId="0" xfId="0" applyNumberFormat="1"/>
    <xf numFmtId="3" fontId="5" fillId="0" borderId="0" xfId="0" applyNumberFormat="1" applyFont="1"/>
    <xf numFmtId="9" fontId="6" fillId="0" borderId="0" xfId="3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6" fontId="6" fillId="0" borderId="0" xfId="4" applyFont="1" applyFill="1" applyBorder="1">
      <alignment horizontal="right" vertical="center"/>
    </xf>
    <xf numFmtId="167" fontId="6" fillId="0" borderId="0" xfId="4" applyNumberFormat="1" applyFont="1" applyFill="1" applyBorder="1">
      <alignment horizontal="right" vertical="center"/>
    </xf>
    <xf numFmtId="10" fontId="6" fillId="0" borderId="0" xfId="4" applyNumberFormat="1" applyFont="1" applyFill="1" applyBorder="1">
      <alignment horizontal="right" vertical="center"/>
    </xf>
    <xf numFmtId="9" fontId="6" fillId="0" borderId="0" xfId="4" applyNumberFormat="1" applyFont="1" applyFill="1" applyBorder="1" applyAlignment="1">
      <alignment horizontal="center" vertical="center"/>
    </xf>
    <xf numFmtId="168" fontId="6" fillId="0" borderId="0" xfId="4" applyNumberFormat="1" applyFont="1" applyFill="1" applyBorder="1" applyAlignment="1">
      <alignment horizontal="center" vertical="center"/>
    </xf>
    <xf numFmtId="165" fontId="6" fillId="0" borderId="0" xfId="4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5" applyFont="1" applyAlignment="1">
      <alignment vertical="center"/>
    </xf>
    <xf numFmtId="9" fontId="0" fillId="0" borderId="0" xfId="0" applyNumberFormat="1" applyAlignment="1">
      <alignment horizontal="center"/>
    </xf>
    <xf numFmtId="9" fontId="6" fillId="0" borderId="0" xfId="4" applyNumberFormat="1" applyFont="1" applyFill="1" applyBorder="1">
      <alignment horizontal="right" vertical="center"/>
    </xf>
    <xf numFmtId="1" fontId="5" fillId="0" borderId="0" xfId="3" applyNumberFormat="1"/>
    <xf numFmtId="3" fontId="5" fillId="0" borderId="0" xfId="3" applyNumberFormat="1"/>
    <xf numFmtId="2" fontId="5" fillId="0" borderId="0" xfId="3" applyNumberFormat="1"/>
    <xf numFmtId="9" fontId="5" fillId="0" borderId="0" xfId="3" applyNumberFormat="1" applyAlignment="1">
      <alignment horizontal="center"/>
    </xf>
    <xf numFmtId="165" fontId="5" fillId="0" borderId="0" xfId="3" applyNumberFormat="1"/>
    <xf numFmtId="0" fontId="5" fillId="0" borderId="0" xfId="3" applyAlignment="1">
      <alignment wrapText="1"/>
    </xf>
    <xf numFmtId="2" fontId="5" fillId="0" borderId="0" xfId="4" applyNumberFormat="1" applyFill="1" applyBorder="1">
      <alignment horizontal="right" vertical="center"/>
    </xf>
    <xf numFmtId="2" fontId="5" fillId="0" borderId="0" xfId="4" applyNumberFormat="1" applyFill="1" applyBorder="1" applyAlignment="1">
      <alignment horizontal="center" vertical="center"/>
    </xf>
    <xf numFmtId="16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wrapText="1"/>
    </xf>
    <xf numFmtId="1" fontId="5" fillId="0" borderId="0" xfId="0" applyNumberFormat="1" applyFont="1"/>
    <xf numFmtId="2" fontId="7" fillId="0" borderId="5" xfId="0" applyNumberFormat="1" applyFont="1" applyBorder="1"/>
    <xf numFmtId="2" fontId="5" fillId="0" borderId="0" xfId="1" applyNumberFormat="1" applyFont="1" applyFill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1" applyNumberFormat="1" applyFont="1" applyFill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2" fontId="8" fillId="0" borderId="0" xfId="0" applyNumberFormat="1" applyFont="1" applyAlignment="1">
      <alignment horizontal="center" vertical="center"/>
    </xf>
    <xf numFmtId="164" fontId="5" fillId="0" borderId="0" xfId="3" applyNumberFormat="1"/>
    <xf numFmtId="165" fontId="5" fillId="0" borderId="0" xfId="3" applyNumberFormat="1" applyAlignment="1">
      <alignment horizontal="center"/>
    </xf>
    <xf numFmtId="2" fontId="0" fillId="0" borderId="0" xfId="0" applyNumberFormat="1" applyAlignment="1">
      <alignment horizontal="center"/>
    </xf>
    <xf numFmtId="10" fontId="5" fillId="0" borderId="0" xfId="0" applyNumberFormat="1" applyFont="1" applyAlignment="1">
      <alignment horizontal="center"/>
    </xf>
    <xf numFmtId="3" fontId="9" fillId="0" borderId="0" xfId="0" applyNumberFormat="1" applyFont="1"/>
    <xf numFmtId="4" fontId="7" fillId="0" borderId="5" xfId="0" applyNumberFormat="1" applyFont="1" applyBorder="1"/>
    <xf numFmtId="10" fontId="0" fillId="0" borderId="0" xfId="1" applyNumberFormat="1" applyFont="1" applyFill="1"/>
    <xf numFmtId="10" fontId="10" fillId="0" borderId="0" xfId="1" applyNumberFormat="1" applyFont="1" applyFill="1" applyBorder="1"/>
    <xf numFmtId="2" fontId="5" fillId="0" borderId="0" xfId="2" applyNumberFormat="1" applyFont="1" applyAlignment="1">
      <alignment horizontal="center" vertical="center"/>
    </xf>
    <xf numFmtId="0" fontId="5" fillId="3" borderId="0" xfId="3" applyFill="1" applyAlignment="1">
      <alignment horizontal="center"/>
    </xf>
    <xf numFmtId="0" fontId="5" fillId="3" borderId="0" xfId="0" applyFont="1" applyFill="1"/>
    <xf numFmtId="0" fontId="5" fillId="3" borderId="0" xfId="3" applyFill="1"/>
    <xf numFmtId="0" fontId="5" fillId="3" borderId="0" xfId="0" applyFont="1" applyFill="1" applyAlignment="1">
      <alignment horizontal="center"/>
    </xf>
    <xf numFmtId="1" fontId="5" fillId="3" borderId="0" xfId="3" applyNumberFormat="1" applyFill="1"/>
    <xf numFmtId="3" fontId="5" fillId="3" borderId="0" xfId="0" applyNumberFormat="1" applyFont="1" applyFill="1"/>
    <xf numFmtId="164" fontId="5" fillId="3" borderId="0" xfId="0" applyNumberFormat="1" applyFont="1" applyFill="1"/>
    <xf numFmtId="9" fontId="5" fillId="3" borderId="0" xfId="3" applyNumberForma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/>
    <xf numFmtId="0" fontId="5" fillId="3" borderId="0" xfId="0" applyFont="1" applyFill="1" applyAlignment="1">
      <alignment wrapText="1"/>
    </xf>
    <xf numFmtId="2" fontId="0" fillId="3" borderId="0" xfId="0" applyNumberFormat="1" applyFill="1"/>
    <xf numFmtId="2" fontId="5" fillId="3" borderId="0" xfId="4" applyNumberFormat="1" applyFill="1" applyBorder="1">
      <alignment horizontal="right" vertical="center"/>
    </xf>
    <xf numFmtId="2" fontId="5" fillId="3" borderId="0" xfId="1" applyNumberFormat="1" applyFont="1" applyFill="1" applyAlignment="1">
      <alignment horizontal="center" vertical="center"/>
    </xf>
    <xf numFmtId="2" fontId="5" fillId="3" borderId="0" xfId="2" applyNumberFormat="1" applyFont="1" applyFill="1" applyAlignment="1">
      <alignment horizontal="center" vertical="center"/>
    </xf>
    <xf numFmtId="2" fontId="5" fillId="3" borderId="0" xfId="4" applyNumberFormat="1" applyFill="1" applyBorder="1" applyAlignment="1">
      <alignment horizontal="center" vertical="center"/>
    </xf>
    <xf numFmtId="0" fontId="0" fillId="3" borderId="0" xfId="0" applyFill="1"/>
    <xf numFmtId="164" fontId="5" fillId="3" borderId="0" xfId="0" applyNumberFormat="1" applyFont="1" applyFill="1" applyAlignment="1">
      <alignment horizontal="center"/>
    </xf>
    <xf numFmtId="2" fontId="5" fillId="3" borderId="0" xfId="0" applyNumberFormat="1" applyFont="1" applyFill="1"/>
    <xf numFmtId="0" fontId="5" fillId="0" borderId="0" xfId="2" applyFont="1" applyAlignment="1">
      <alignment horizontal="center" vertical="center"/>
    </xf>
    <xf numFmtId="2" fontId="11" fillId="0" borderId="0" xfId="2" applyNumberFormat="1" applyFont="1"/>
    <xf numFmtId="2" fontId="11" fillId="0" borderId="0" xfId="2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16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/>
    </xf>
    <xf numFmtId="1" fontId="15" fillId="5" borderId="0" xfId="0" applyNumberFormat="1" applyFont="1" applyFill="1" applyAlignment="1">
      <alignment horizontal="center" vertical="center"/>
    </xf>
    <xf numFmtId="10" fontId="16" fillId="5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2" fontId="15" fillId="5" borderId="0" xfId="0" applyNumberFormat="1" applyFont="1" applyFill="1" applyAlignment="1">
      <alignment horizontal="center" vertical="center"/>
    </xf>
    <xf numFmtId="10" fontId="15" fillId="5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0" fontId="16" fillId="0" borderId="0" xfId="0" applyNumberFormat="1" applyFont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0" fontId="15" fillId="0" borderId="0" xfId="0" applyNumberFormat="1" applyFont="1" applyAlignment="1">
      <alignment horizontal="center" vertical="center" wrapText="1"/>
    </xf>
    <xf numFmtId="169" fontId="15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9" fontId="15" fillId="6" borderId="6" xfId="0" applyNumberFormat="1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 wrapText="1"/>
    </xf>
    <xf numFmtId="10" fontId="15" fillId="6" borderId="6" xfId="0" applyNumberFormat="1" applyFont="1" applyFill="1" applyBorder="1" applyAlignment="1">
      <alignment horizontal="center" vertical="center"/>
    </xf>
    <xf numFmtId="1" fontId="15" fillId="5" borderId="6" xfId="0" applyNumberFormat="1" applyFont="1" applyFill="1" applyBorder="1" applyAlignment="1">
      <alignment horizontal="center" vertical="center"/>
    </xf>
    <xf numFmtId="10" fontId="16" fillId="6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2" fontId="15" fillId="6" borderId="6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69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10" fontId="15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10" fontId="15" fillId="4" borderId="6" xfId="0" applyNumberFormat="1" applyFont="1" applyFill="1" applyBorder="1" applyAlignment="1">
      <alignment horizontal="center" vertical="center"/>
    </xf>
    <xf numFmtId="169" fontId="15" fillId="0" borderId="6" xfId="0" applyNumberFormat="1" applyFont="1" applyBorder="1" applyAlignment="1">
      <alignment horizontal="center" vertical="center"/>
    </xf>
    <xf numFmtId="10" fontId="16" fillId="5" borderId="6" xfId="0" applyNumberFormat="1" applyFont="1" applyFill="1" applyBorder="1" applyAlignment="1">
      <alignment horizontal="center" vertical="center"/>
    </xf>
    <xf numFmtId="2" fontId="15" fillId="5" borderId="6" xfId="0" applyNumberFormat="1" applyFont="1" applyFill="1" applyBorder="1" applyAlignment="1">
      <alignment horizontal="center" vertical="center"/>
    </xf>
    <xf numFmtId="10" fontId="15" fillId="5" borderId="6" xfId="0" applyNumberFormat="1" applyFont="1" applyFill="1" applyBorder="1" applyAlignment="1">
      <alignment horizontal="center" vertical="center"/>
    </xf>
    <xf numFmtId="169" fontId="12" fillId="4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10" fontId="16" fillId="4" borderId="0" xfId="0" applyNumberFormat="1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169" fontId="12" fillId="4" borderId="6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10" fontId="16" fillId="4" borderId="6" xfId="0" applyNumberFormat="1" applyFont="1" applyFill="1" applyBorder="1" applyAlignment="1">
      <alignment horizontal="center" vertical="center"/>
    </xf>
    <xf numFmtId="2" fontId="15" fillId="4" borderId="6" xfId="0" applyNumberFormat="1" applyFont="1" applyFill="1" applyBorder="1" applyAlignment="1">
      <alignment horizontal="center" vertical="center"/>
    </xf>
    <xf numFmtId="169" fontId="15" fillId="4" borderId="6" xfId="0" applyNumberFormat="1" applyFont="1" applyFill="1" applyBorder="1" applyAlignment="1">
      <alignment horizontal="center" vertical="center"/>
    </xf>
    <xf numFmtId="169" fontId="15" fillId="4" borderId="0" xfId="0" applyNumberFormat="1" applyFont="1" applyFill="1" applyAlignment="1">
      <alignment horizontal="center" vertical="center"/>
    </xf>
    <xf numFmtId="16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169" fontId="15" fillId="7" borderId="0" xfId="0" applyNumberFormat="1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0" fontId="15" fillId="7" borderId="0" xfId="0" applyNumberFormat="1" applyFont="1" applyFill="1" applyAlignment="1">
      <alignment horizontal="center" vertical="center"/>
    </xf>
    <xf numFmtId="1" fontId="15" fillId="7" borderId="0" xfId="0" applyNumberFormat="1" applyFont="1" applyFill="1" applyAlignment="1">
      <alignment horizontal="center" vertical="center"/>
    </xf>
    <xf numFmtId="16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0" fontId="16" fillId="7" borderId="0" xfId="0" applyNumberFormat="1" applyFont="1" applyFill="1" applyAlignment="1">
      <alignment horizontal="center" vertical="center"/>
    </xf>
    <xf numFmtId="2" fontId="15" fillId="7" borderId="0" xfId="0" applyNumberFormat="1" applyFont="1" applyFill="1" applyAlignment="1">
      <alignment horizontal="center" vertical="center"/>
    </xf>
    <xf numFmtId="10" fontId="16" fillId="5" borderId="7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9" borderId="0" xfId="0" applyFill="1"/>
    <xf numFmtId="0" fontId="2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3" applyFont="1"/>
    <xf numFmtId="0" fontId="21" fillId="0" borderId="0" xfId="0" applyFont="1"/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10" fontId="17" fillId="0" borderId="0" xfId="0" applyNumberFormat="1" applyFont="1" applyAlignment="1">
      <alignment horizontal="center" vertical="center"/>
    </xf>
    <xf numFmtId="169" fontId="15" fillId="0" borderId="9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0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0" fontId="16" fillId="0" borderId="10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10" fontId="15" fillId="5" borderId="10" xfId="0" applyNumberFormat="1" applyFont="1" applyFill="1" applyBorder="1" applyAlignment="1">
      <alignment horizontal="center" vertical="center"/>
    </xf>
    <xf numFmtId="0" fontId="0" fillId="0" borderId="11" xfId="0" applyBorder="1"/>
    <xf numFmtId="169" fontId="15" fillId="0" borderId="12" xfId="0" applyNumberFormat="1" applyFont="1" applyBorder="1" applyAlignment="1">
      <alignment horizontal="center" vertical="center"/>
    </xf>
    <xf numFmtId="0" fontId="0" fillId="0" borderId="13" xfId="0" applyBorder="1"/>
    <xf numFmtId="169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15" fillId="5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0" fillId="0" borderId="15" xfId="0" applyBorder="1"/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10" fontId="12" fillId="0" borderId="17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2" fontId="12" fillId="0" borderId="17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0" fontId="14" fillId="0" borderId="17" xfId="0" applyNumberFormat="1" applyFont="1" applyBorder="1" applyAlignment="1">
      <alignment horizontal="center" vertical="center" wrapText="1"/>
    </xf>
    <xf numFmtId="2" fontId="3" fillId="0" borderId="18" xfId="2" applyNumberFormat="1" applyFont="1" applyBorder="1" applyAlignment="1">
      <alignment horizontal="center" vertical="center"/>
    </xf>
    <xf numFmtId="2" fontId="3" fillId="0" borderId="19" xfId="2" applyNumberFormat="1" applyFont="1" applyBorder="1" applyAlignment="1">
      <alignment horizontal="center" vertical="center"/>
    </xf>
    <xf numFmtId="10" fontId="15" fillId="5" borderId="11" xfId="0" applyNumberFormat="1" applyFont="1" applyFill="1" applyBorder="1" applyAlignment="1">
      <alignment horizontal="center" vertical="center"/>
    </xf>
    <xf numFmtId="10" fontId="15" fillId="4" borderId="13" xfId="0" applyNumberFormat="1" applyFont="1" applyFill="1" applyBorder="1" applyAlignment="1">
      <alignment horizontal="center" vertical="center"/>
    </xf>
    <xf numFmtId="10" fontId="15" fillId="5" borderId="13" xfId="0" applyNumberFormat="1" applyFont="1" applyFill="1" applyBorder="1" applyAlignment="1">
      <alignment horizontal="center" vertical="center"/>
    </xf>
    <xf numFmtId="10" fontId="15" fillId="6" borderId="13" xfId="0" applyNumberFormat="1" applyFont="1" applyFill="1" applyBorder="1" applyAlignment="1">
      <alignment horizontal="center" vertical="center"/>
    </xf>
    <xf numFmtId="10" fontId="15" fillId="6" borderId="20" xfId="0" applyNumberFormat="1" applyFont="1" applyFill="1" applyBorder="1" applyAlignment="1">
      <alignment horizontal="center" vertical="center"/>
    </xf>
    <xf numFmtId="10" fontId="15" fillId="0" borderId="13" xfId="0" applyNumberFormat="1" applyFont="1" applyBorder="1" applyAlignment="1">
      <alignment horizontal="center" vertical="center"/>
    </xf>
    <xf numFmtId="10" fontId="15" fillId="4" borderId="20" xfId="0" applyNumberFormat="1" applyFont="1" applyFill="1" applyBorder="1" applyAlignment="1">
      <alignment horizontal="center" vertical="center"/>
    </xf>
    <xf numFmtId="10" fontId="15" fillId="5" borderId="20" xfId="0" applyNumberFormat="1" applyFont="1" applyFill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10" fontId="15" fillId="7" borderId="13" xfId="0" applyNumberFormat="1" applyFont="1" applyFill="1" applyBorder="1" applyAlignment="1">
      <alignment horizontal="center" vertical="center"/>
    </xf>
    <xf numFmtId="10" fontId="15" fillId="0" borderId="11" xfId="0" applyNumberFormat="1" applyFont="1" applyBorder="1" applyAlignment="1">
      <alignment horizontal="center" vertical="center"/>
    </xf>
    <xf numFmtId="10" fontId="15" fillId="0" borderId="15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 vertical="center"/>
    </xf>
    <xf numFmtId="0" fontId="0" fillId="0" borderId="10" xfId="0" applyBorder="1"/>
    <xf numFmtId="2" fontId="17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0" fillId="0" borderId="1" xfId="0" applyBorder="1"/>
    <xf numFmtId="10" fontId="12" fillId="8" borderId="17" xfId="0" applyNumberFormat="1" applyFont="1" applyFill="1" applyBorder="1" applyAlignment="1">
      <alignment horizontal="center" vertical="center" wrapText="1"/>
    </xf>
    <xf numFmtId="10" fontId="17" fillId="8" borderId="9" xfId="0" applyNumberFormat="1" applyFont="1" applyFill="1" applyBorder="1"/>
    <xf numFmtId="10" fontId="0" fillId="8" borderId="0" xfId="0" applyNumberFormat="1" applyFill="1"/>
    <xf numFmtId="10" fontId="17" fillId="8" borderId="0" xfId="0" applyNumberFormat="1" applyFont="1" applyFill="1"/>
    <xf numFmtId="0" fontId="20" fillId="0" borderId="10" xfId="0" applyFont="1" applyBorder="1" applyAlignment="1">
      <alignment horizontal="center" vertical="center"/>
    </xf>
    <xf numFmtId="10" fontId="17" fillId="10" borderId="9" xfId="0" applyNumberFormat="1" applyFont="1" applyFill="1" applyBorder="1"/>
    <xf numFmtId="0" fontId="14" fillId="0" borderId="0" xfId="0" applyFont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10" fontId="26" fillId="8" borderId="9" xfId="0" applyNumberFormat="1" applyFont="1" applyFill="1" applyBorder="1"/>
    <xf numFmtId="10" fontId="17" fillId="8" borderId="16" xfId="0" applyNumberFormat="1" applyFont="1" applyFill="1" applyBorder="1"/>
    <xf numFmtId="0" fontId="1" fillId="8" borderId="0" xfId="3" applyFont="1" applyFill="1" applyAlignment="1">
      <alignment horizontal="center"/>
    </xf>
    <xf numFmtId="10" fontId="12" fillId="2" borderId="17" xfId="0" applyNumberFormat="1" applyFont="1" applyFill="1" applyBorder="1" applyAlignment="1">
      <alignment horizontal="center" vertical="center" wrapText="1"/>
    </xf>
    <xf numFmtId="10" fontId="17" fillId="2" borderId="21" xfId="0" applyNumberFormat="1" applyFont="1" applyFill="1" applyBorder="1"/>
    <xf numFmtId="10" fontId="17" fillId="2" borderId="22" xfId="0" applyNumberFormat="1" applyFont="1" applyFill="1" applyBorder="1"/>
    <xf numFmtId="10" fontId="17" fillId="2" borderId="23" xfId="0" applyNumberFormat="1" applyFont="1" applyFill="1" applyBorder="1"/>
    <xf numFmtId="10" fontId="0" fillId="2" borderId="0" xfId="0" applyNumberFormat="1" applyFill="1"/>
    <xf numFmtId="10" fontId="17" fillId="2" borderId="0" xfId="0" applyNumberFormat="1" applyFont="1" applyFill="1"/>
  </cellXfs>
  <cellStyles count="6">
    <cellStyle name="Hard_input" xfId="4" xr:uid="{BA1C2E73-719D-E149-A72E-2CD52808A800}"/>
    <cellStyle name="Normal 2" xfId="2" xr:uid="{06828566-3308-2A48-8D13-DCE779BB0406}"/>
    <cellStyle name="Normal 2 2" xfId="5" xr:uid="{C0079539-1073-2D40-887A-1A0E944C6A3A}"/>
    <cellStyle name="Normal 3" xfId="3" xr:uid="{81ED2EE6-2C15-1948-8153-54740494F42B}"/>
    <cellStyle name="Обычный" xfId="0" builtinId="0"/>
    <cellStyle name="Процентный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anss\Downloads\Databook_ipo%20(1).xlsx" TargetMode="External"/><Relationship Id="rId1" Type="http://schemas.openxmlformats.org/officeDocument/2006/relationships/externalLinkPath" Target="/Users/ianss/Downloads/Databook_ip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ook_Dealogic"/>
      <sheetName val="Fin_Ratios"/>
      <sheetName val="Info &gt;&gt;&gt;"/>
      <sheetName val="IMOEX"/>
      <sheetName val="ForEx"/>
      <sheetName val="Backup_George"/>
    </sheetNames>
    <sheetDataSet>
      <sheetData sheetId="0">
        <row r="4">
          <cell r="D4" t="str">
            <v>Ticker</v>
          </cell>
          <cell r="P4" t="str">
            <v>Offer Price RUB</v>
          </cell>
          <cell r="AF4" t="str">
            <v>Closing Price - 1 Month (RUB)</v>
          </cell>
        </row>
        <row r="5">
          <cell r="D5" t="str">
            <v>LMBZ</v>
          </cell>
          <cell r="P5">
            <v>425</v>
          </cell>
          <cell r="AF5" t="str">
            <v>-</v>
          </cell>
        </row>
        <row r="6">
          <cell r="D6" t="str">
            <v>OZPH</v>
          </cell>
          <cell r="P6">
            <v>35</v>
          </cell>
          <cell r="AF6" t="str">
            <v>-</v>
          </cell>
        </row>
        <row r="7">
          <cell r="D7" t="str">
            <v>DATA</v>
          </cell>
          <cell r="P7">
            <v>95</v>
          </cell>
          <cell r="AF7">
            <v>114.9</v>
          </cell>
        </row>
        <row r="8">
          <cell r="D8" t="str">
            <v>APRI</v>
          </cell>
          <cell r="P8">
            <v>9.6999999999999993</v>
          </cell>
          <cell r="AF8">
            <v>9.8390000000000004</v>
          </cell>
        </row>
        <row r="9">
          <cell r="D9" t="str">
            <v>PRMD</v>
          </cell>
          <cell r="P9">
            <v>400</v>
          </cell>
          <cell r="AF9">
            <v>402.1</v>
          </cell>
        </row>
        <row r="10">
          <cell r="D10" t="str">
            <v>VSEH</v>
          </cell>
          <cell r="P10">
            <v>200</v>
          </cell>
          <cell r="AF10">
            <v>199</v>
          </cell>
        </row>
        <row r="11">
          <cell r="D11" t="str">
            <v>IVAT</v>
          </cell>
          <cell r="P11">
            <v>300</v>
          </cell>
          <cell r="AF11">
            <v>283.7</v>
          </cell>
        </row>
        <row r="12">
          <cell r="D12" t="str">
            <v>ELMT</v>
          </cell>
          <cell r="P12">
            <v>223.6</v>
          </cell>
          <cell r="AF12">
            <v>0.19950000000000001</v>
          </cell>
        </row>
        <row r="13">
          <cell r="D13" t="str">
            <v>MBNK</v>
          </cell>
          <cell r="P13">
            <v>2500</v>
          </cell>
          <cell r="AF13">
            <v>2501</v>
          </cell>
        </row>
        <row r="14">
          <cell r="D14" t="str">
            <v>ZAYM</v>
          </cell>
          <cell r="P14">
            <v>235</v>
          </cell>
          <cell r="AF14">
            <v>231.1</v>
          </cell>
        </row>
        <row r="15">
          <cell r="D15" t="str">
            <v>LEAS</v>
          </cell>
          <cell r="P15">
            <v>875</v>
          </cell>
          <cell r="AF15">
            <v>1050</v>
          </cell>
        </row>
        <row r="16">
          <cell r="D16" t="str">
            <v>KLVZ</v>
          </cell>
          <cell r="P16">
            <v>9.5</v>
          </cell>
          <cell r="AF16">
            <v>8.4160000000000004</v>
          </cell>
        </row>
        <row r="17">
          <cell r="D17" t="str">
            <v>DIAS</v>
          </cell>
          <cell r="P17">
            <v>4500</v>
          </cell>
          <cell r="AF17">
            <v>6014</v>
          </cell>
        </row>
        <row r="18">
          <cell r="D18" t="str">
            <v>DELI</v>
          </cell>
          <cell r="P18">
            <v>265</v>
          </cell>
          <cell r="AF18">
            <v>286.7</v>
          </cell>
        </row>
        <row r="19">
          <cell r="D19" t="str">
            <v>MGKL</v>
          </cell>
          <cell r="P19">
            <v>2.5</v>
          </cell>
          <cell r="AF19">
            <v>2.4300000000000002</v>
          </cell>
        </row>
        <row r="20">
          <cell r="D20" t="str">
            <v>SVCB</v>
          </cell>
          <cell r="P20">
            <v>11.5</v>
          </cell>
          <cell r="AF20">
            <v>13.805</v>
          </cell>
        </row>
        <row r="21">
          <cell r="D21" t="str">
            <v>UGLD</v>
          </cell>
          <cell r="P21">
            <v>0.55000000000000004</v>
          </cell>
          <cell r="AF21">
            <v>0.63</v>
          </cell>
        </row>
        <row r="22">
          <cell r="D22" t="str">
            <v>EUTR</v>
          </cell>
          <cell r="P22">
            <v>250</v>
          </cell>
          <cell r="AF22">
            <v>234.1</v>
          </cell>
        </row>
        <row r="23">
          <cell r="D23" t="str">
            <v>HNFG</v>
          </cell>
          <cell r="P23">
            <v>675</v>
          </cell>
          <cell r="AF23">
            <v>513</v>
          </cell>
        </row>
        <row r="24">
          <cell r="D24" t="str">
            <v>ASTR</v>
          </cell>
          <cell r="P24">
            <v>333</v>
          </cell>
          <cell r="AF24">
            <v>501.5</v>
          </cell>
        </row>
        <row r="25">
          <cell r="D25" t="str">
            <v>GECO</v>
          </cell>
          <cell r="P25">
            <v>17.88</v>
          </cell>
          <cell r="AF25">
            <v>30</v>
          </cell>
        </row>
        <row r="26">
          <cell r="D26" t="str">
            <v>WUSH</v>
          </cell>
          <cell r="P26">
            <v>185</v>
          </cell>
          <cell r="AF26">
            <v>162.75</v>
          </cell>
        </row>
        <row r="27">
          <cell r="D27" t="str">
            <v>SPBE</v>
          </cell>
          <cell r="P27">
            <v>834.9</v>
          </cell>
          <cell r="AF27">
            <v>1016.3</v>
          </cell>
        </row>
        <row r="28">
          <cell r="D28" t="str">
            <v>CIAN</v>
          </cell>
          <cell r="P28">
            <v>1143.8016</v>
          </cell>
          <cell r="AF28">
            <v>1181.356452</v>
          </cell>
        </row>
        <row r="29">
          <cell r="D29" t="str">
            <v>SFTL</v>
          </cell>
          <cell r="P29">
            <v>562.18350000000009</v>
          </cell>
          <cell r="AF29">
            <v>455.43959999999998</v>
          </cell>
        </row>
        <row r="30">
          <cell r="D30" t="str">
            <v>RENI</v>
          </cell>
          <cell r="P30">
            <v>120</v>
          </cell>
          <cell r="AF30">
            <v>119</v>
          </cell>
        </row>
        <row r="31">
          <cell r="D31" t="str">
            <v>GEMC</v>
          </cell>
          <cell r="P31">
            <v>926.55</v>
          </cell>
          <cell r="AF31">
            <v>874.6</v>
          </cell>
        </row>
        <row r="32">
          <cell r="D32" t="str">
            <v>SGZH</v>
          </cell>
          <cell r="P32">
            <v>8</v>
          </cell>
          <cell r="AF32">
            <v>8</v>
          </cell>
        </row>
        <row r="33">
          <cell r="D33" t="str">
            <v>FIXP</v>
          </cell>
          <cell r="P33">
            <v>719.41740000000004</v>
          </cell>
          <cell r="AF33">
            <v>742.47638400000005</v>
          </cell>
        </row>
        <row r="34">
          <cell r="D34" t="str">
            <v>OZON</v>
          </cell>
          <cell r="P34">
            <v>2272.8000000000002</v>
          </cell>
          <cell r="AF34">
            <v>3222.7727409999998</v>
          </cell>
        </row>
        <row r="35">
          <cell r="D35" t="str">
            <v>SMLT</v>
          </cell>
          <cell r="P35">
            <v>950</v>
          </cell>
          <cell r="AF35">
            <v>946.8</v>
          </cell>
        </row>
        <row r="36">
          <cell r="D36" t="str">
            <v>FLOT</v>
          </cell>
          <cell r="P36">
            <v>105</v>
          </cell>
          <cell r="AF36">
            <v>97.03</v>
          </cell>
        </row>
        <row r="37">
          <cell r="D37" t="str">
            <v>GRQ</v>
          </cell>
          <cell r="P37">
            <v>10.107872</v>
          </cell>
          <cell r="AF37" t="str">
            <v>-</v>
          </cell>
        </row>
        <row r="38">
          <cell r="D38" t="str">
            <v>HHR</v>
          </cell>
          <cell r="P38">
            <v>880.42409999999995</v>
          </cell>
          <cell r="AF38">
            <v>1063.9665399999999</v>
          </cell>
        </row>
        <row r="39">
          <cell r="D39" t="str">
            <v>ENPL</v>
          </cell>
          <cell r="P39">
            <v>813.21659999999997</v>
          </cell>
          <cell r="AF39">
            <v>749.03296</v>
          </cell>
        </row>
        <row r="40">
          <cell r="D40" t="str">
            <v>GTRK</v>
          </cell>
          <cell r="P40">
            <v>132</v>
          </cell>
          <cell r="AF40">
            <v>132</v>
          </cell>
        </row>
        <row r="41">
          <cell r="D41" t="str">
            <v>OBUV</v>
          </cell>
          <cell r="P41">
            <v>140</v>
          </cell>
          <cell r="AF41">
            <v>135</v>
          </cell>
        </row>
        <row r="42">
          <cell r="D42" t="str">
            <v>PLZL</v>
          </cell>
          <cell r="P42">
            <v>2096.0766750000003</v>
          </cell>
          <cell r="AF42" t="str">
            <v>-</v>
          </cell>
        </row>
        <row r="43">
          <cell r="D43" t="str">
            <v>DSKY</v>
          </cell>
          <cell r="P43">
            <v>85</v>
          </cell>
          <cell r="AF43">
            <v>84.6</v>
          </cell>
        </row>
        <row r="44">
          <cell r="D44" t="str">
            <v>RNFT</v>
          </cell>
          <cell r="P44">
            <v>550</v>
          </cell>
          <cell r="AF44">
            <v>558.79999999999995</v>
          </cell>
        </row>
        <row r="45">
          <cell r="D45" t="str">
            <v>FTRE</v>
          </cell>
          <cell r="P45">
            <v>1190</v>
          </cell>
          <cell r="AF45">
            <v>1202</v>
          </cell>
        </row>
        <row r="46">
          <cell r="D46" t="str">
            <v>NKHP</v>
          </cell>
          <cell r="P46">
            <v>512</v>
          </cell>
          <cell r="AF46">
            <v>340</v>
          </cell>
        </row>
        <row r="47">
          <cell r="D47" t="str">
            <v>EPLN</v>
          </cell>
          <cell r="P47">
            <v>570</v>
          </cell>
          <cell r="AF47">
            <v>571</v>
          </cell>
        </row>
        <row r="48">
          <cell r="D48" t="str">
            <v>CBOM</v>
          </cell>
          <cell r="P48">
            <v>3.62</v>
          </cell>
          <cell r="AF48">
            <v>3.67</v>
          </cell>
        </row>
        <row r="49">
          <cell r="D49" t="str">
            <v>UWGN</v>
          </cell>
          <cell r="P49">
            <v>700</v>
          </cell>
          <cell r="AF49">
            <v>740</v>
          </cell>
        </row>
        <row r="50">
          <cell r="D50" t="str">
            <v>LNTA</v>
          </cell>
          <cell r="P50">
            <v>360.50099999999998</v>
          </cell>
          <cell r="AF50">
            <v>335.81561099999999</v>
          </cell>
        </row>
        <row r="51">
          <cell r="D51" t="str">
            <v>ALRS</v>
          </cell>
          <cell r="P51">
            <v>35</v>
          </cell>
          <cell r="AF51">
            <v>34.1</v>
          </cell>
        </row>
        <row r="52">
          <cell r="D52" t="str">
            <v>TCS</v>
          </cell>
          <cell r="P52">
            <v>558.27274999999997</v>
          </cell>
          <cell r="AF52">
            <v>356.87922499999996</v>
          </cell>
        </row>
        <row r="53">
          <cell r="D53"/>
          <cell r="P53"/>
          <cell r="AF53"/>
        </row>
        <row r="54">
          <cell r="D54" t="str">
            <v>QIWI</v>
          </cell>
          <cell r="P54">
            <v>527.73609999999996</v>
          </cell>
          <cell r="AF54">
            <v>537.38450999999998</v>
          </cell>
        </row>
        <row r="55">
          <cell r="D55" t="str">
            <v>MOEX</v>
          </cell>
          <cell r="P55">
            <v>55</v>
          </cell>
          <cell r="AF55">
            <v>54.9</v>
          </cell>
        </row>
        <row r="56">
          <cell r="D56" t="str">
            <v>MSST</v>
          </cell>
          <cell r="P56">
            <v>9.8000000000000007</v>
          </cell>
          <cell r="AF56">
            <v>9.65</v>
          </cell>
        </row>
        <row r="57">
          <cell r="D57" t="str">
            <v>MFON</v>
          </cell>
          <cell r="P57">
            <v>618.81999999999994</v>
          </cell>
          <cell r="AF57">
            <v>716.29879999999991</v>
          </cell>
        </row>
        <row r="58">
          <cell r="D58" t="str">
            <v>MDMG</v>
          </cell>
          <cell r="P58">
            <v>374.42039999999997</v>
          </cell>
          <cell r="AF58">
            <v>384.25364000000002</v>
          </cell>
        </row>
        <row r="59">
          <cell r="D59" t="str">
            <v>RPO</v>
          </cell>
          <cell r="P59">
            <v>65.226266052999989</v>
          </cell>
          <cell r="AF59">
            <v>71.28645778740001</v>
          </cell>
        </row>
        <row r="60">
          <cell r="D60" t="str">
            <v>UTII</v>
          </cell>
          <cell r="P60">
            <v>195</v>
          </cell>
          <cell r="AF60">
            <v>167.64</v>
          </cell>
        </row>
        <row r="61">
          <cell r="D61" t="str">
            <v>PHOR</v>
          </cell>
          <cell r="P61">
            <v>458.0478</v>
          </cell>
          <cell r="AF61">
            <v>347.12060000000002</v>
          </cell>
        </row>
        <row r="62">
          <cell r="D62" t="str">
            <v>GLPR</v>
          </cell>
          <cell r="P62">
            <v>420.85199999999998</v>
          </cell>
          <cell r="AF62">
            <v>475.34483499999993</v>
          </cell>
        </row>
        <row r="63">
          <cell r="D63" t="str">
            <v>YNDX</v>
          </cell>
          <cell r="P63">
            <v>776.61</v>
          </cell>
          <cell r="AF63">
            <v>873.12780600000008</v>
          </cell>
        </row>
        <row r="64">
          <cell r="D64" t="str">
            <v>NMOS</v>
          </cell>
          <cell r="P64">
            <v>518.64400000000001</v>
          </cell>
          <cell r="AF64">
            <v>469.56558999999999</v>
          </cell>
        </row>
        <row r="65">
          <cell r="D65" t="str">
            <v>ETLN</v>
          </cell>
          <cell r="P65">
            <v>197.3202</v>
          </cell>
          <cell r="AF65">
            <v>187.98547499999998</v>
          </cell>
        </row>
        <row r="66">
          <cell r="D66" t="str">
            <v>AGRO</v>
          </cell>
          <cell r="P66">
            <v>423.42899999999997</v>
          </cell>
          <cell r="AF66">
            <v>414.95249999999999</v>
          </cell>
        </row>
        <row r="67">
          <cell r="D67" t="str">
            <v>HMSG</v>
          </cell>
          <cell r="P67">
            <v>242.29342500000001</v>
          </cell>
          <cell r="AF67">
            <v>227.77072500000003</v>
          </cell>
        </row>
        <row r="68">
          <cell r="D68" t="str">
            <v>MSTT</v>
          </cell>
          <cell r="P68">
            <v>193.644375</v>
          </cell>
          <cell r="AF68">
            <v>264.90798000000001</v>
          </cell>
        </row>
        <row r="69">
          <cell r="D69" t="str">
            <v>LIFE</v>
          </cell>
          <cell r="P69">
            <v>24</v>
          </cell>
          <cell r="AF69">
            <v>23.9</v>
          </cell>
        </row>
        <row r="70">
          <cell r="D70" t="str">
            <v>TRCN</v>
          </cell>
          <cell r="P70">
            <v>246.42320000000001</v>
          </cell>
          <cell r="AF70">
            <v>293.68419999999998</v>
          </cell>
        </row>
        <row r="71">
          <cell r="D71" t="str">
            <v>MAIL</v>
          </cell>
          <cell r="P71">
            <v>852.35392999999999</v>
          </cell>
          <cell r="AF71">
            <v>1231.1802580000001</v>
          </cell>
        </row>
        <row r="72">
          <cell r="D72" t="str">
            <v>OKEY</v>
          </cell>
          <cell r="P72">
            <v>338.51179999999999</v>
          </cell>
          <cell r="AF72">
            <v>408.92150000000004</v>
          </cell>
        </row>
        <row r="73">
          <cell r="P73">
            <v>7.1926199999999998</v>
          </cell>
          <cell r="AF73">
            <v>6.0565570142</v>
          </cell>
        </row>
        <row r="74">
          <cell r="D74" t="str">
            <v>RNAV</v>
          </cell>
          <cell r="P74">
            <v>85.23</v>
          </cell>
          <cell r="AF74">
            <v>85.29</v>
          </cell>
        </row>
        <row r="75">
          <cell r="D75" t="str">
            <v>DIOD</v>
          </cell>
          <cell r="P75">
            <v>32.5</v>
          </cell>
          <cell r="AF75">
            <v>33.880000000000003</v>
          </cell>
        </row>
        <row r="76">
          <cell r="D76" t="str">
            <v>KBTK</v>
          </cell>
          <cell r="P76">
            <v>190.3759</v>
          </cell>
          <cell r="AF76">
            <v>176.755</v>
          </cell>
        </row>
        <row r="77">
          <cell r="D77" t="str">
            <v>PRTK</v>
          </cell>
          <cell r="P77">
            <v>101.8087</v>
          </cell>
          <cell r="AF77">
            <v>111.619528</v>
          </cell>
        </row>
        <row r="78">
          <cell r="D78" t="str">
            <v>RSEA</v>
          </cell>
          <cell r="P78">
            <v>174.2664</v>
          </cell>
          <cell r="AF78">
            <v>138.2645</v>
          </cell>
        </row>
        <row r="79">
          <cell r="D79" t="str">
            <v>RUAL</v>
          </cell>
          <cell r="P79">
            <v>41.698800000000006</v>
          </cell>
          <cell r="AF79">
            <v>30.461404544999997</v>
          </cell>
        </row>
        <row r="80">
          <cell r="D80" t="str">
            <v>EXI</v>
          </cell>
          <cell r="P80">
            <v>75.402553812299999</v>
          </cell>
          <cell r="AF80">
            <v>92.350324601600008</v>
          </cell>
        </row>
        <row r="81">
          <cell r="D81" t="str">
            <v>ISKJ</v>
          </cell>
          <cell r="P81">
            <v>9.5</v>
          </cell>
          <cell r="AF81">
            <v>18.38</v>
          </cell>
        </row>
        <row r="82">
          <cell r="D82" t="str">
            <v>GLTR</v>
          </cell>
          <cell r="P82">
            <v>313.32407499999999</v>
          </cell>
          <cell r="AF82">
            <v>478.70743499999998</v>
          </cell>
        </row>
        <row r="83">
          <cell r="D83" t="str">
            <v>TGK13</v>
          </cell>
          <cell r="P83">
            <v>0.21</v>
          </cell>
          <cell r="AF83">
            <v>0.01</v>
          </cell>
        </row>
        <row r="84">
          <cell r="D84" t="str">
            <v>BEF</v>
          </cell>
          <cell r="P84">
            <v>187.89936</v>
          </cell>
          <cell r="AF84">
            <v>291.96052115999998</v>
          </cell>
        </row>
        <row r="85">
          <cell r="D85" t="str">
            <v>IFSNR</v>
          </cell>
          <cell r="P85">
            <v>1714.4190000000001</v>
          </cell>
          <cell r="AF85">
            <v>1772.8379</v>
          </cell>
        </row>
        <row r="86">
          <cell r="D86" t="str">
            <v>LSRG</v>
          </cell>
          <cell r="P86">
            <v>355.42835000000002</v>
          </cell>
          <cell r="AF86">
            <v>381.72075299999995</v>
          </cell>
        </row>
        <row r="87">
          <cell r="D87" t="str">
            <v>NCSP</v>
          </cell>
          <cell r="P87">
            <v>473.94623999999999</v>
          </cell>
          <cell r="AF87">
            <v>494.44627500000001</v>
          </cell>
        </row>
        <row r="88">
          <cell r="D88" t="str">
            <v>EDCL</v>
          </cell>
          <cell r="P88">
            <v>580.09045000000003</v>
          </cell>
          <cell r="AF88">
            <v>630.69369299999994</v>
          </cell>
        </row>
        <row r="89">
          <cell r="D89" t="str">
            <v>STBK</v>
          </cell>
          <cell r="P89">
            <v>133.23096000000001</v>
          </cell>
          <cell r="AF89">
            <v>129.41063</v>
          </cell>
        </row>
        <row r="90">
          <cell r="D90" t="str">
            <v>MVID</v>
          </cell>
          <cell r="P90">
            <v>171.47318000000001</v>
          </cell>
          <cell r="AF90">
            <v>146.5026</v>
          </cell>
        </row>
        <row r="91">
          <cell r="D91" t="str">
            <v>URKA</v>
          </cell>
          <cell r="P91">
            <v>90.179949999999991</v>
          </cell>
          <cell r="AF91">
            <v>122.26671600000002</v>
          </cell>
        </row>
        <row r="92">
          <cell r="D92"/>
          <cell r="P92"/>
          <cell r="AF92"/>
        </row>
        <row r="93">
          <cell r="D93" t="str">
            <v>FESHG</v>
          </cell>
          <cell r="P93">
            <v>16.829999999999998</v>
          </cell>
          <cell r="AF93">
            <v>18.936304</v>
          </cell>
        </row>
        <row r="94">
          <cell r="D94">
            <v>41065</v>
          </cell>
          <cell r="P94">
            <v>361.4511874750001</v>
          </cell>
          <cell r="AF94">
            <v>361.4511874750001</v>
          </cell>
        </row>
        <row r="95">
          <cell r="D95" t="str">
            <v>ROST</v>
          </cell>
          <cell r="P95">
            <v>828.93759999999997</v>
          </cell>
          <cell r="AF95">
            <v>955.19939999999997</v>
          </cell>
        </row>
        <row r="96">
          <cell r="D96" t="str">
            <v>PIK</v>
          </cell>
          <cell r="P96">
            <v>647.57749999999999</v>
          </cell>
          <cell r="AF96">
            <v>647.49215000000004</v>
          </cell>
        </row>
        <row r="97">
          <cell r="D97"/>
          <cell r="P97"/>
          <cell r="AF97"/>
        </row>
        <row r="98">
          <cell r="D98" t="str">
            <v>DIXY</v>
          </cell>
          <cell r="P98">
            <v>371.62656000000004</v>
          </cell>
          <cell r="AF98">
            <v>364.4522</v>
          </cell>
        </row>
        <row r="99">
          <cell r="D99" t="str">
            <v>VTBR</v>
          </cell>
          <cell r="P99">
            <v>324.39580800000005</v>
          </cell>
          <cell r="AF99">
            <v>285.7921</v>
          </cell>
        </row>
        <row r="100">
          <cell r="D100" t="str">
            <v>PHSTQ</v>
          </cell>
          <cell r="P100">
            <v>374.75562000000002</v>
          </cell>
          <cell r="AF100">
            <v>435.09143999999998</v>
          </cell>
        </row>
        <row r="101">
          <cell r="D101" t="str">
            <v>AFIDLQ</v>
          </cell>
          <cell r="P101">
            <v>408.15179999999998</v>
          </cell>
          <cell r="AF101">
            <v>306.96595500000001</v>
          </cell>
        </row>
        <row r="102">
          <cell r="D102" t="str">
            <v>NTRI</v>
          </cell>
          <cell r="P102">
            <v>1361.3102999999999</v>
          </cell>
          <cell r="AF102">
            <v>1194.1236899999999</v>
          </cell>
        </row>
        <row r="103">
          <cell r="D103" t="str">
            <v>VZRZ</v>
          </cell>
          <cell r="P103">
            <v>1515.9105999999999</v>
          </cell>
          <cell r="AF103">
            <v>1592.1366</v>
          </cell>
        </row>
        <row r="104">
          <cell r="D104" t="str">
            <v>MAGN</v>
          </cell>
          <cell r="P104">
            <v>335.52</v>
          </cell>
          <cell r="AF104">
            <v>328.23826000000003</v>
          </cell>
        </row>
        <row r="105">
          <cell r="D105" t="str">
            <v>VGAS</v>
          </cell>
          <cell r="P105" t="str">
            <v>-</v>
          </cell>
          <cell r="AF105" t="str">
            <v>-</v>
          </cell>
        </row>
        <row r="106">
          <cell r="D106" t="str">
            <v>OGKC</v>
          </cell>
          <cell r="P106">
            <v>4.6938599999999999</v>
          </cell>
          <cell r="AF106">
            <v>4.38192</v>
          </cell>
        </row>
        <row r="107">
          <cell r="D107" t="str">
            <v>INTE</v>
          </cell>
          <cell r="P107">
            <v>438.79472499999997</v>
          </cell>
          <cell r="AF107">
            <v>496.28797199999997</v>
          </cell>
        </row>
        <row r="108">
          <cell r="D108" t="str">
            <v>SITRIQ</v>
          </cell>
          <cell r="P108">
            <v>318.34559999999999</v>
          </cell>
          <cell r="AF108">
            <v>280.71663999999998</v>
          </cell>
        </row>
        <row r="109">
          <cell r="D109" t="str">
            <v>PMTL</v>
          </cell>
          <cell r="P109">
            <v>205.59819999999999</v>
          </cell>
          <cell r="AF109">
            <v>183.6464</v>
          </cell>
        </row>
        <row r="110">
          <cell r="D110" t="str">
            <v>MLD</v>
          </cell>
          <cell r="P110">
            <v>247.74805452540002</v>
          </cell>
          <cell r="AF110">
            <v>246.93312094619998</v>
          </cell>
        </row>
        <row r="111">
          <cell r="D111" t="str">
            <v>RGI</v>
          </cell>
          <cell r="P111">
            <v>157.12980000000002</v>
          </cell>
          <cell r="AF111">
            <v>201.43291500000001</v>
          </cell>
        </row>
        <row r="112">
          <cell r="D112" t="str">
            <v>WTCM</v>
          </cell>
          <cell r="P112">
            <v>14.139360000000002</v>
          </cell>
          <cell r="AF112">
            <v>14.218794000000001</v>
          </cell>
        </row>
        <row r="113">
          <cell r="D113" t="str">
            <v>RASP</v>
          </cell>
          <cell r="P113">
            <v>60.084899999999998</v>
          </cell>
          <cell r="AF113">
            <v>50.634708000000003</v>
          </cell>
        </row>
        <row r="114">
          <cell r="D114" t="str">
            <v>SVST</v>
          </cell>
          <cell r="P114">
            <v>360.16874999999999</v>
          </cell>
          <cell r="AF114">
            <v>301.70940000000002</v>
          </cell>
        </row>
        <row r="115">
          <cell r="D115" t="str">
            <v>CHZN</v>
          </cell>
          <cell r="P115">
            <v>447.23672500000004</v>
          </cell>
          <cell r="AF115">
            <v>447.29616399999998</v>
          </cell>
        </row>
        <row r="116">
          <cell r="D116" t="str">
            <v>HALS</v>
          </cell>
          <cell r="P116">
            <v>280.83754999999996</v>
          </cell>
          <cell r="AF116">
            <v>329.39357500000006</v>
          </cell>
        </row>
        <row r="117">
          <cell r="D117" t="str">
            <v>TMKS</v>
          </cell>
          <cell r="P117">
            <v>578.62944000000005</v>
          </cell>
          <cell r="AF117">
            <v>767.58423900000003</v>
          </cell>
        </row>
        <row r="118">
          <cell r="D118" t="str">
            <v>OGKE</v>
          </cell>
          <cell r="P118">
            <v>2.4072929999999997</v>
          </cell>
          <cell r="AF118">
            <v>3.1620360000000001</v>
          </cell>
        </row>
        <row r="119">
          <cell r="D119" t="str">
            <v>PVFQ</v>
          </cell>
          <cell r="P119">
            <v>26.7803</v>
          </cell>
          <cell r="AF119">
            <v>0</v>
          </cell>
        </row>
        <row r="120">
          <cell r="D120" t="str">
            <v>PTR</v>
          </cell>
          <cell r="P120">
            <v>9.8887309999999999</v>
          </cell>
          <cell r="AF120" t="str">
            <v>-</v>
          </cell>
        </row>
        <row r="121">
          <cell r="D121" t="str">
            <v>SABPP</v>
          </cell>
          <cell r="P121">
            <v>24.157440000000001</v>
          </cell>
          <cell r="AF121">
            <v>36.084825000000002</v>
          </cell>
        </row>
        <row r="122">
          <cell r="D122" t="str">
            <v>BLNG</v>
          </cell>
          <cell r="P122">
            <v>1022.6636</v>
          </cell>
          <cell r="AF122">
            <v>1027.8114</v>
          </cell>
        </row>
        <row r="123">
          <cell r="D123" t="str">
            <v>ROSN</v>
          </cell>
          <cell r="P123">
            <v>203.237695</v>
          </cell>
          <cell r="AF123">
            <v>200.41164000000001</v>
          </cell>
        </row>
        <row r="124">
          <cell r="D124"/>
          <cell r="P124"/>
          <cell r="AF124"/>
        </row>
        <row r="125">
          <cell r="D125" t="str">
            <v>CTCM</v>
          </cell>
          <cell r="P125">
            <v>377.77600000000001</v>
          </cell>
          <cell r="AF125">
            <v>494.46071400000005</v>
          </cell>
        </row>
        <row r="126">
          <cell r="D126" t="str">
            <v>CHEQ</v>
          </cell>
          <cell r="P126">
            <v>412.97152500000004</v>
          </cell>
          <cell r="AF126">
            <v>396.48147499999999</v>
          </cell>
        </row>
        <row r="127">
          <cell r="D127"/>
          <cell r="P127"/>
          <cell r="AF127"/>
        </row>
        <row r="128">
          <cell r="D128" t="str">
            <v>MGNT</v>
          </cell>
          <cell r="P128">
            <v>739.58669999999995</v>
          </cell>
          <cell r="AF128">
            <v>674.52075500000001</v>
          </cell>
        </row>
        <row r="129">
          <cell r="D129" t="str">
            <v>VRPH</v>
          </cell>
          <cell r="P129">
            <v>768.1268</v>
          </cell>
          <cell r="AF129">
            <v>699.19478400000003</v>
          </cell>
        </row>
        <row r="130">
          <cell r="D130" t="str">
            <v>AURR</v>
          </cell>
          <cell r="P130">
            <v>48.316319999999997</v>
          </cell>
          <cell r="AF130" t="str">
            <v>-</v>
          </cell>
        </row>
        <row r="131">
          <cell r="D131" t="str">
            <v>GRAZ</v>
          </cell>
          <cell r="P131">
            <v>133.28639999999999</v>
          </cell>
          <cell r="AF131">
            <v>155.90652299999999</v>
          </cell>
        </row>
        <row r="132">
          <cell r="D132" t="str">
            <v>CMST</v>
          </cell>
          <cell r="P132">
            <v>204.703025</v>
          </cell>
          <cell r="AF132">
            <v>204.35984999999999</v>
          </cell>
        </row>
        <row r="133">
          <cell r="D133"/>
          <cell r="P133"/>
          <cell r="AF133"/>
        </row>
        <row r="134">
          <cell r="D134" t="str">
            <v>NLMK</v>
          </cell>
          <cell r="P134">
            <v>407.30500000000001</v>
          </cell>
          <cell r="AF134">
            <v>526.80999999999995</v>
          </cell>
        </row>
        <row r="135">
          <cell r="D135" t="str">
            <v>AMV</v>
          </cell>
          <cell r="P135">
            <v>316.94850000000002</v>
          </cell>
          <cell r="AF135">
            <v>278.09735999999998</v>
          </cell>
        </row>
        <row r="136">
          <cell r="D136" t="str">
            <v>UEN</v>
          </cell>
          <cell r="P136">
            <v>122.2306128</v>
          </cell>
          <cell r="AF136">
            <v>137.32457094879999</v>
          </cell>
        </row>
        <row r="137">
          <cell r="D137" t="str">
            <v>RUS</v>
          </cell>
          <cell r="P137">
            <v>50.396615070000003</v>
          </cell>
          <cell r="AF137">
            <v>43.530403020000001</v>
          </cell>
        </row>
        <row r="138">
          <cell r="D138" t="str">
            <v>NVTK</v>
          </cell>
          <cell r="P138">
            <v>480.2962</v>
          </cell>
          <cell r="AF138">
            <v>643.50675000000001</v>
          </cell>
        </row>
        <row r="139">
          <cell r="D139" t="str">
            <v>RMG</v>
          </cell>
          <cell r="P139">
            <v>290.86014999999998</v>
          </cell>
          <cell r="AF139">
            <v>348.35579200000001</v>
          </cell>
        </row>
        <row r="140">
          <cell r="D140" t="str">
            <v>EVR</v>
          </cell>
          <cell r="P140">
            <v>408.82170000000002</v>
          </cell>
          <cell r="AF140">
            <v>400.07763</v>
          </cell>
        </row>
        <row r="141">
          <cell r="D141" t="str">
            <v>PJP</v>
          </cell>
          <cell r="P141">
            <v>361.26479999999998</v>
          </cell>
          <cell r="AF141">
            <v>375.98332500000004</v>
          </cell>
        </row>
        <row r="142">
          <cell r="D142" t="str">
            <v>SVAV</v>
          </cell>
          <cell r="P142">
            <v>418.38173999999998</v>
          </cell>
          <cell r="AF142">
            <v>413.98412000000002</v>
          </cell>
        </row>
        <row r="143">
          <cell r="D143" t="str">
            <v>AKHA</v>
          </cell>
          <cell r="P143">
            <v>25</v>
          </cell>
          <cell r="AF143">
            <v>27</v>
          </cell>
        </row>
        <row r="144">
          <cell r="D144" t="str">
            <v>LEKZ</v>
          </cell>
          <cell r="P144">
            <v>1022.4735509999999</v>
          </cell>
          <cell r="AF144">
            <v>1078.9134300000001</v>
          </cell>
        </row>
        <row r="145">
          <cell r="D145" t="str">
            <v>SSA</v>
          </cell>
          <cell r="P145">
            <v>466.88290000000001</v>
          </cell>
          <cell r="AF145">
            <v>508.90236100000004</v>
          </cell>
        </row>
        <row r="146">
          <cell r="D146" t="str">
            <v>OIVS</v>
          </cell>
          <cell r="P146">
            <v>1426.3126</v>
          </cell>
          <cell r="AF146">
            <v>0</v>
          </cell>
        </row>
        <row r="147">
          <cell r="D147" t="str">
            <v>SCON</v>
          </cell>
          <cell r="P147">
            <v>275</v>
          </cell>
          <cell r="AF147">
            <v>10.1</v>
          </cell>
        </row>
        <row r="148">
          <cell r="D148" t="str">
            <v>MTL</v>
          </cell>
          <cell r="P148">
            <v>604.11540000000002</v>
          </cell>
          <cell r="AF148">
            <v>583.69083499999988</v>
          </cell>
        </row>
        <row r="149">
          <cell r="D149" t="str">
            <v>KLNA</v>
          </cell>
          <cell r="P149">
            <v>550.62</v>
          </cell>
          <cell r="AF149">
            <v>19.3</v>
          </cell>
        </row>
        <row r="150">
          <cell r="D150" t="str">
            <v>IRKT</v>
          </cell>
          <cell r="P150">
            <v>17.668697999999999</v>
          </cell>
          <cell r="AF150">
            <v>17.959602</v>
          </cell>
        </row>
        <row r="151">
          <cell r="D151" t="str">
            <v>APTK</v>
          </cell>
          <cell r="P151">
            <v>256.42439999999999</v>
          </cell>
          <cell r="AF151">
            <v>0</v>
          </cell>
        </row>
        <row r="152">
          <cell r="D152" t="str">
            <v>HGML</v>
          </cell>
          <cell r="P152">
            <v>96.216294000000005</v>
          </cell>
          <cell r="AF152" t="str">
            <v>-</v>
          </cell>
        </row>
        <row r="153">
          <cell r="D153" t="str">
            <v>RBCI</v>
          </cell>
          <cell r="P153">
            <v>25.854333999999998</v>
          </cell>
          <cell r="AF153">
            <v>29.067522000000004</v>
          </cell>
        </row>
        <row r="154">
          <cell r="D154" t="str">
            <v>WBD</v>
          </cell>
          <cell r="P154">
            <v>599.27009999999996</v>
          </cell>
          <cell r="AF154">
            <v>702.02768999999989</v>
          </cell>
        </row>
        <row r="155">
          <cell r="D155" t="str">
            <v>MBT</v>
          </cell>
          <cell r="P155">
            <v>603.93499999999995</v>
          </cell>
          <cell r="AF155">
            <v>623.83200000000011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Коновалов Матвей" id="{D609E780-B8EF-492C-9FAB-2673FB334D22}" userId="13ba3225efe796a3" providerId="Windows Liv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62" dT="2025-02-10T21:50:37.86" personId="{D609E780-B8EF-492C-9FAB-2673FB334D22}" id="{D9D96DE3-CA9F-4A95-AD3B-0B2877DCE82D}">
    <text xml:space="preserve">По КУ нет информации
</text>
  </threadedComment>
  <threadedComment ref="B122" dT="2025-02-10T21:08:30.81" personId="{D609E780-B8EF-492C-9FAB-2673FB334D22}" id="{CB6C8FFA-09E7-46B8-ABC9-D9F361B97B8A}">
    <text>Luxoft</text>
  </threadedComment>
  <threadedComment ref="B123" dT="2025-02-10T21:08:24.16" personId="{D609E780-B8EF-492C-9FAB-2673FB334D22}" id="{B7DC53A7-03D3-4FCB-BB99-BEF6F4009228}">
    <text>Moscow Exchange MICEX-RTS OAO</text>
  </threadedComment>
  <threadedComment ref="B124" dT="2025-02-10T21:10:53.40" personId="{D609E780-B8EF-492C-9FAB-2673FB334D22}" id="{607F3BC3-1EAF-4D4D-AED2-A0702C92AC68}">
    <text>Platforma Utinet.ru OAO</text>
  </threadedComment>
  <threadedComment ref="B125" dT="2025-02-10T21:11:43.10" personId="{D609E780-B8EF-492C-9FAB-2673FB334D22}" id="{3802CA11-FC96-4A2C-8CFD-69B42330C3BB}">
    <text>Black Earth Farming Ltd</text>
  </threadedComment>
  <threadedComment ref="B126" dT="2025-02-10T21:12:24.71" personId="{D609E780-B8EF-492C-9FAB-2673FB334D22}" id="{B052D05C-6E9B-4B6B-A59D-550EAB6D0B0B}">
    <text>Raven Russia Ltd</text>
  </threadedComment>
  <threadedComment ref="B127" dT="2025-02-10T21:12:47.37" personId="{D609E780-B8EF-492C-9FAB-2673FB334D22}" id="{BF8451B7-45D7-4934-B56A-B45E90550B64}">
    <text>Rambler Media Ltd</text>
  </threadedComment>
  <threadedComment ref="B128" dT="2025-02-10T21:13:30.18" personId="{D609E780-B8EF-492C-9FAB-2673FB334D22}" id="{F6E9A4C3-A3F0-4D6A-8796-78DAE3849246}">
    <text>Khleb Altaya APK</text>
  </threadedComment>
  <threadedComment ref="B129" dT="2025-02-10T21:14:17.42" personId="{D609E780-B8EF-492C-9FAB-2673FB334D22}" id="{10891E4C-5F49-4D09-B0F9-10789DD69DE5}">
    <text>Highland Gold Mining Ltd</text>
  </threadedComment>
  <threadedComment ref="B130" dT="2025-02-10T21:14:54.54" personId="{D609E780-B8EF-492C-9FAB-2673FB334D22}" id="{BF1BB57E-C68C-47FC-BBA7-6A173DCFD92F}">
    <text>Mobile TeleSystems OAO - MTS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" dT="2025-01-22T12:14:23.10" personId="{D609E780-B8EF-492C-9FAB-2673FB334D22}" id="{924EF0CC-D5F0-4D3D-9461-7F28F98F73D8}">
    <text>Log</text>
  </threadedComment>
  <threadedComment ref="T1" dT="2025-01-22T12:14:28.55" personId="{D609E780-B8EF-492C-9FAB-2673FB334D22}" id="{6439B8FE-2671-461A-B5F2-CCD14767D15D}">
    <text>Log</text>
  </threadedComment>
  <threadedComment ref="U1" dT="2025-01-22T12:14:39.54" personId="{D609E780-B8EF-492C-9FAB-2673FB334D22}" id="{11181106-8DCD-4DA7-9FC0-6FD23C553128}">
    <text>Log</text>
  </threadedComment>
  <threadedComment ref="U2" dT="2025-01-17T10:51:58.88" personId="{00000000-0000-0000-0000-000000000000}" id="{72350963-3A6F-41DB-A350-8EE6F209991C}">
    <text xml:space="preserve">Искала сама
</text>
  </threadedComment>
  <threadedComment ref="W2" dT="2025-01-17T10:51:58.88" personId="{00000000-0000-0000-0000-000000000000}" id="{C4AAC0EE-05A8-433B-84F5-1E81C53996FE}">
    <text xml:space="preserve">Искала сама
</text>
  </threadedComment>
  <threadedComment ref="U52" dT="2025-01-17T10:56:25.43" personId="{00000000-0000-0000-0000-000000000000}" id="{DCB3BD5E-9D99-4154-B6FF-968B0B45006A}">
    <text>Сама нашла</text>
  </threadedComment>
  <threadedComment ref="U74" dT="2025-01-17T10:57:32.37" personId="{00000000-0000-0000-0000-000000000000}" id="{36DDE505-D1E1-47DF-9B94-6A66CA6C8151}">
    <text xml:space="preserve">Сама нашла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8E3F-D07C-F04E-A8B8-66C7EAA11EB8}">
  <dimension ref="A1:AS131"/>
  <sheetViews>
    <sheetView topLeftCell="H18" workbookViewId="0">
      <selection activeCell="H81" sqref="H81"/>
    </sheetView>
  </sheetViews>
  <sheetFormatPr defaultColWidth="11.42578125" defaultRowHeight="15.75" outlineLevelCol="1" x14ac:dyDescent="0.25"/>
  <cols>
    <col min="1" max="1" width="12.42578125" style="48" customWidth="1" outlineLevel="1"/>
    <col min="2" max="2" width="9.140625" bestFit="1" customWidth="1"/>
    <col min="3" max="3" width="13.140625" customWidth="1"/>
    <col min="4" max="4" width="38.28515625" bestFit="1" customWidth="1"/>
    <col min="5" max="5" width="34.7109375" bestFit="1" customWidth="1"/>
    <col min="6" max="6" width="39.7109375" bestFit="1" customWidth="1"/>
    <col min="7" max="7" width="30.28515625" bestFit="1" customWidth="1"/>
    <col min="8" max="8" width="20.140625" bestFit="1" customWidth="1"/>
    <col min="9" max="9" width="29.7109375" bestFit="1" customWidth="1"/>
    <col min="10" max="10" width="29.28515625" bestFit="1" customWidth="1"/>
    <col min="11" max="11" width="29.28515625" customWidth="1"/>
    <col min="12" max="12" width="30.85546875" bestFit="1" customWidth="1"/>
    <col min="13" max="13" width="26.28515625" style="26" bestFit="1" customWidth="1"/>
    <col min="14" max="14" width="26.28515625" style="26" customWidth="1"/>
    <col min="15" max="15" width="27.85546875" customWidth="1"/>
    <col min="16" max="16" width="29.42578125" style="26" bestFit="1" customWidth="1"/>
    <col min="17" max="18" width="29.42578125" customWidth="1"/>
    <col min="19" max="19" width="26.85546875" bestFit="1" customWidth="1"/>
    <col min="20" max="20" width="45" style="52" customWidth="1"/>
    <col min="21" max="21" width="31.140625" customWidth="1"/>
    <col min="22" max="22" width="34.42578125" bestFit="1" customWidth="1"/>
    <col min="23" max="23" width="33.7109375" style="48" customWidth="1"/>
    <col min="24" max="24" width="26.28515625" style="48" bestFit="1" customWidth="1"/>
    <col min="25" max="25" width="12.28515625" style="48" customWidth="1"/>
    <col min="26" max="26" width="24.7109375" style="85" customWidth="1"/>
    <col min="27" max="27" width="31" style="85" customWidth="1"/>
    <col min="28" max="28" width="23.85546875" style="85" customWidth="1"/>
    <col min="29" max="29" width="34.42578125" style="85" customWidth="1"/>
    <col min="30" max="30" width="29.7109375" style="85" customWidth="1"/>
    <col min="31" max="31" width="17.140625" style="85" customWidth="1"/>
    <col min="32" max="32" width="17.42578125" style="85" customWidth="1"/>
    <col min="33" max="33" width="26.140625" style="85" customWidth="1"/>
    <col min="34" max="34" width="14.28515625" style="85" customWidth="1"/>
    <col min="35" max="35" width="12.7109375" style="85" bestFit="1" customWidth="1"/>
    <col min="36" max="36" width="21" style="85" customWidth="1"/>
    <col min="37" max="37" width="11.85546875" style="85" customWidth="1"/>
    <col min="38" max="38" width="19.42578125" style="85" customWidth="1"/>
    <col min="39" max="39" width="21.85546875" style="85" bestFit="1" customWidth="1"/>
    <col min="40" max="40" width="25.42578125" style="85" customWidth="1"/>
    <col min="41" max="41" width="24.42578125" style="85" bestFit="1" customWidth="1"/>
    <col min="42" max="42" width="12.7109375" style="85" customWidth="1"/>
    <col min="43" max="43" width="12.42578125" style="86" customWidth="1"/>
    <col min="44" max="44" width="11.7109375" style="26" bestFit="1" customWidth="1"/>
  </cols>
  <sheetData>
    <row r="1" spans="1:45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5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7" t="s">
        <v>43</v>
      </c>
    </row>
    <row r="2" spans="1:45" ht="15" x14ac:dyDescent="0.25">
      <c r="A2" s="8">
        <v>2024</v>
      </c>
      <c r="B2" s="9" t="s">
        <v>44</v>
      </c>
      <c r="C2" s="10">
        <v>2024</v>
      </c>
      <c r="D2" s="9" t="s">
        <v>45</v>
      </c>
      <c r="E2" s="8" t="s">
        <v>46</v>
      </c>
      <c r="F2" s="11">
        <f>0.802*1000</f>
        <v>802</v>
      </c>
      <c r="G2" s="12">
        <v>2800000</v>
      </c>
      <c r="H2" s="11">
        <v>425</v>
      </c>
      <c r="I2" s="11">
        <v>460</v>
      </c>
      <c r="J2" s="11">
        <v>425</v>
      </c>
      <c r="K2" s="13">
        <v>0</v>
      </c>
      <c r="L2" s="14"/>
      <c r="M2" s="15"/>
      <c r="N2" s="15"/>
      <c r="O2" s="159">
        <v>2.3529411764706687E-3</v>
      </c>
      <c r="P2" s="15"/>
      <c r="Q2" s="17">
        <f>P2/O2-1</f>
        <v>-1</v>
      </c>
      <c r="R2" s="14"/>
      <c r="S2" s="18">
        <v>1</v>
      </c>
      <c r="T2" s="9" t="s">
        <v>47</v>
      </c>
      <c r="U2" s="14">
        <v>1</v>
      </c>
      <c r="V2" s="19">
        <v>10</v>
      </c>
      <c r="W2" s="10" t="s">
        <v>48</v>
      </c>
      <c r="X2" s="10">
        <v>1</v>
      </c>
      <c r="Y2" s="10">
        <v>32</v>
      </c>
      <c r="Z2" s="20">
        <v>1905.2239</v>
      </c>
      <c r="AA2" s="20">
        <v>663.78289999999993</v>
      </c>
      <c r="AB2" s="20">
        <v>1155.4849999999999</v>
      </c>
      <c r="AC2" s="20">
        <v>403.05099999999999</v>
      </c>
      <c r="AD2" s="21">
        <v>0.48499999999999999</v>
      </c>
      <c r="AE2" s="20">
        <v>259.572</v>
      </c>
      <c r="AF2" s="20">
        <v>3.46</v>
      </c>
      <c r="AG2" s="20">
        <v>1241.441</v>
      </c>
      <c r="AH2" s="20">
        <v>2567.7040000000002</v>
      </c>
      <c r="AI2" s="20">
        <v>465.29599999999999</v>
      </c>
      <c r="AJ2" s="20">
        <v>301.322</v>
      </c>
      <c r="AK2" s="20">
        <v>180.28299999999999</v>
      </c>
      <c r="AL2" s="22">
        <v>2.5456325631858807E-4</v>
      </c>
      <c r="AM2" s="23">
        <v>0.18121091839246267</v>
      </c>
      <c r="AN2" s="23">
        <v>0.11735075382520727</v>
      </c>
      <c r="AO2" s="24">
        <v>7.436126680650597E-3</v>
      </c>
      <c r="AP2" s="25">
        <v>0.1710267887688727</v>
      </c>
      <c r="AQ2" s="25">
        <v>0.27763104854963805</v>
      </c>
      <c r="AR2" s="26">
        <f>AB2/AC2</f>
        <v>2.8668456349196503</v>
      </c>
      <c r="AS2" s="165" t="e">
        <f>MATCH(Исходник!B2,Модель!$B$2:$B$108,0)</f>
        <v>#N/A</v>
      </c>
    </row>
    <row r="3" spans="1:45" ht="15" x14ac:dyDescent="0.25">
      <c r="A3" s="8">
        <v>2024</v>
      </c>
      <c r="B3" s="27" t="s">
        <v>49</v>
      </c>
      <c r="C3" s="10">
        <v>2024</v>
      </c>
      <c r="D3" s="9" t="s">
        <v>45</v>
      </c>
      <c r="E3" s="8" t="s">
        <v>50</v>
      </c>
      <c r="F3" s="11">
        <f>3.45*1000</f>
        <v>3450</v>
      </c>
      <c r="G3" s="12">
        <v>98571440</v>
      </c>
      <c r="H3" s="11">
        <v>35</v>
      </c>
      <c r="I3" s="11">
        <v>35</v>
      </c>
      <c r="J3" s="11">
        <v>30</v>
      </c>
      <c r="K3" s="13">
        <v>1</v>
      </c>
      <c r="L3" s="14"/>
      <c r="M3" s="15"/>
      <c r="N3" s="15"/>
      <c r="O3" s="28">
        <v>-5.7142857142857162E-2</v>
      </c>
      <c r="P3" s="15"/>
      <c r="Q3" s="17">
        <v>-8.3571956566983463E-3</v>
      </c>
      <c r="R3" s="14"/>
      <c r="S3" s="18">
        <v>4</v>
      </c>
      <c r="T3" s="9" t="s">
        <v>51</v>
      </c>
      <c r="U3" s="14">
        <v>3</v>
      </c>
      <c r="V3" s="19">
        <v>9</v>
      </c>
      <c r="W3" s="10" t="s">
        <v>48</v>
      </c>
      <c r="X3" s="10">
        <v>1</v>
      </c>
      <c r="Y3" s="10">
        <v>23</v>
      </c>
      <c r="Z3" s="20">
        <v>34118.959000000003</v>
      </c>
      <c r="AA3" s="20">
        <v>17001.153999999999</v>
      </c>
      <c r="AB3" s="20">
        <v>23394.81</v>
      </c>
      <c r="AC3" s="20">
        <v>8871.8130000000001</v>
      </c>
      <c r="AD3" s="20">
        <v>286.05700000000002</v>
      </c>
      <c r="AE3" s="20">
        <v>12601.282999999999</v>
      </c>
      <c r="AF3" s="20">
        <v>12001</v>
      </c>
      <c r="AG3" s="20">
        <v>17117.805</v>
      </c>
      <c r="AH3" s="20">
        <v>19724</v>
      </c>
      <c r="AI3" s="20">
        <v>7081</v>
      </c>
      <c r="AJ3" s="20">
        <v>4003</v>
      </c>
      <c r="AK3" s="20">
        <v>706</v>
      </c>
      <c r="AL3" s="29">
        <v>8.3841069125233283E-3</v>
      </c>
      <c r="AM3" s="23">
        <v>0.35900425877104036</v>
      </c>
      <c r="AN3" s="23">
        <v>0.20295071993510444</v>
      </c>
      <c r="AO3" s="24">
        <v>1.6948171162265218</v>
      </c>
      <c r="AP3" s="25">
        <v>0.11735125523188571</v>
      </c>
      <c r="AQ3" s="25">
        <v>0.46043918168351544</v>
      </c>
      <c r="AR3" s="26">
        <f t="shared" ref="AR3:AR4" si="0">AB3/AC3</f>
        <v>2.6369818660515052</v>
      </c>
      <c r="AS3">
        <f>MATCH(Исходник!B3,Модель!$B$2:$B$108,0)</f>
        <v>2</v>
      </c>
    </row>
    <row r="4" spans="1:45" ht="15" x14ac:dyDescent="0.25">
      <c r="A4" s="8">
        <v>2024</v>
      </c>
      <c r="B4" s="27" t="s">
        <v>52</v>
      </c>
      <c r="C4" s="10">
        <v>2024</v>
      </c>
      <c r="D4" s="9" t="s">
        <v>45</v>
      </c>
      <c r="E4" s="8" t="s">
        <v>53</v>
      </c>
      <c r="F4" s="11">
        <f>2.7*1000</f>
        <v>2700</v>
      </c>
      <c r="G4" s="12">
        <v>28000000</v>
      </c>
      <c r="H4" s="11">
        <v>95</v>
      </c>
      <c r="I4" s="11">
        <v>95</v>
      </c>
      <c r="J4" s="11">
        <v>85</v>
      </c>
      <c r="K4" s="13">
        <v>1</v>
      </c>
      <c r="L4" s="14"/>
      <c r="M4" s="15"/>
      <c r="N4" s="15"/>
      <c r="O4" s="159">
        <v>0.12568421052631584</v>
      </c>
      <c r="P4" s="15"/>
      <c r="Q4" s="17">
        <v>-6.0677339944973374E-3</v>
      </c>
      <c r="R4" s="14"/>
      <c r="S4" s="18">
        <v>2</v>
      </c>
      <c r="T4" s="9" t="s">
        <v>54</v>
      </c>
      <c r="U4" s="14">
        <v>2</v>
      </c>
      <c r="V4" s="19">
        <v>14</v>
      </c>
      <c r="W4" s="10" t="s">
        <v>48</v>
      </c>
      <c r="X4" s="10">
        <v>1</v>
      </c>
      <c r="Y4" s="10">
        <v>8</v>
      </c>
      <c r="Z4" s="20">
        <v>3356.172</v>
      </c>
      <c r="AA4" s="20">
        <v>1547.2909999999999</v>
      </c>
      <c r="AB4" s="20">
        <v>2736.78</v>
      </c>
      <c r="AC4" s="20">
        <v>1087.2249999999999</v>
      </c>
      <c r="AD4" s="20">
        <v>132.03800000000001</v>
      </c>
      <c r="AE4" s="20">
        <v>2297.6320000000001</v>
      </c>
      <c r="AF4" s="20">
        <v>1046.384</v>
      </c>
      <c r="AG4" s="20">
        <v>1808.8810000000001</v>
      </c>
      <c r="AH4" s="20">
        <v>3950.6860000000001</v>
      </c>
      <c r="AI4" s="20">
        <v>1661.8610000000001</v>
      </c>
      <c r="AJ4" s="20">
        <v>1456.433</v>
      </c>
      <c r="AK4" s="20">
        <v>144.297</v>
      </c>
      <c r="AL4" s="29">
        <v>3.9341845411975315E-2</v>
      </c>
      <c r="AM4" s="23">
        <v>0.42065124892233907</v>
      </c>
      <c r="AN4" s="23">
        <v>0.36865319086356141</v>
      </c>
      <c r="AO4" s="24">
        <v>0.62964592104875194</v>
      </c>
      <c r="AP4" s="25">
        <v>0.45707029101009805</v>
      </c>
      <c r="AQ4" s="25">
        <v>0.8140785900057963</v>
      </c>
      <c r="AR4" s="26">
        <f t="shared" si="0"/>
        <v>2.5172158476856219</v>
      </c>
      <c r="AS4">
        <f>MATCH(Исходник!B4,Модель!$B$2:$B$108,0)</f>
        <v>1</v>
      </c>
    </row>
    <row r="5" spans="1:45" ht="15" x14ac:dyDescent="0.25">
      <c r="A5" s="8">
        <v>2024</v>
      </c>
      <c r="B5" s="10" t="s">
        <v>55</v>
      </c>
      <c r="C5" s="10">
        <v>2024</v>
      </c>
      <c r="D5" s="10" t="s">
        <v>45</v>
      </c>
      <c r="E5" s="8" t="s">
        <v>56</v>
      </c>
      <c r="F5" s="30">
        <v>880</v>
      </c>
      <c r="G5" s="31">
        <v>92783505</v>
      </c>
      <c r="H5" s="10">
        <v>9.6999999999999993</v>
      </c>
      <c r="I5" s="32">
        <v>9.6999999999999993</v>
      </c>
      <c r="J5" s="32">
        <v>8.8000000000000007</v>
      </c>
      <c r="K5" s="33">
        <v>1</v>
      </c>
      <c r="L5" s="33">
        <v>2.9896907216494961E-2</v>
      </c>
      <c r="M5" s="32">
        <v>6337.3909999999996</v>
      </c>
      <c r="N5" s="32"/>
      <c r="O5" s="33">
        <v>2.9896907216494961E-2</v>
      </c>
      <c r="P5" s="32">
        <v>2085.59</v>
      </c>
      <c r="Q5" s="34">
        <v>1.3013639725485637E-2</v>
      </c>
      <c r="R5" s="34">
        <v>-8.031499806437159E-2</v>
      </c>
      <c r="S5" s="8">
        <v>1</v>
      </c>
      <c r="T5" s="35" t="s">
        <v>57</v>
      </c>
      <c r="U5" s="10">
        <f>COUNTA(T5)</f>
        <v>1</v>
      </c>
      <c r="V5" s="19">
        <v>9</v>
      </c>
      <c r="W5" s="10" t="s">
        <v>48</v>
      </c>
      <c r="X5" s="10">
        <v>1</v>
      </c>
      <c r="Y5" s="10">
        <v>5</v>
      </c>
      <c r="Z5" s="36">
        <v>33637.4</v>
      </c>
      <c r="AA5" s="36">
        <v>28609.131000000001</v>
      </c>
      <c r="AB5" s="36">
        <v>31692.53</v>
      </c>
      <c r="AC5" s="36">
        <v>21366.931</v>
      </c>
      <c r="AD5" s="36">
        <v>0</v>
      </c>
      <c r="AE5" s="36">
        <v>14077.281000000001</v>
      </c>
      <c r="AF5" s="36">
        <v>9916.0290000000005</v>
      </c>
      <c r="AG5" s="36">
        <v>5028.2690000000002</v>
      </c>
      <c r="AH5" s="36">
        <v>6640.0789999999997</v>
      </c>
      <c r="AI5" s="36">
        <v>3558.2779999999998</v>
      </c>
      <c r="AJ5" s="36">
        <v>1791.4870000000001</v>
      </c>
      <c r="AK5" s="36">
        <v>52.802999999999997</v>
      </c>
      <c r="AL5" s="36">
        <v>0</v>
      </c>
      <c r="AM5" s="37">
        <v>0.53587886529663276</v>
      </c>
      <c r="AN5" s="37">
        <v>0.26979904907757879</v>
      </c>
      <c r="AO5" s="37">
        <v>2.7867493770863323</v>
      </c>
      <c r="AP5" s="37">
        <v>8.0512585985953539E-2</v>
      </c>
      <c r="AQ5" s="37">
        <v>0.67626110020910835</v>
      </c>
      <c r="AR5" s="26">
        <f>AB5/AC5</f>
        <v>1.4832513850491678</v>
      </c>
      <c r="AS5">
        <f>MATCH(Исходник!B5,Модель!$B$2:$B$108,0)</f>
        <v>3</v>
      </c>
    </row>
    <row r="6" spans="1:45" ht="15" x14ac:dyDescent="0.25">
      <c r="A6" s="8">
        <v>2024</v>
      </c>
      <c r="B6" s="9" t="s">
        <v>58</v>
      </c>
      <c r="C6" s="10">
        <v>2024</v>
      </c>
      <c r="D6" s="9" t="s">
        <v>45</v>
      </c>
      <c r="E6" s="18" t="s">
        <v>59</v>
      </c>
      <c r="F6" s="30">
        <v>6000</v>
      </c>
      <c r="G6" s="12">
        <v>12500000</v>
      </c>
      <c r="H6" s="38">
        <v>400</v>
      </c>
      <c r="I6" s="39">
        <v>400</v>
      </c>
      <c r="J6" s="39">
        <v>375</v>
      </c>
      <c r="K6" s="33">
        <v>1</v>
      </c>
      <c r="L6" s="33">
        <v>1.7500000000000071E-2</v>
      </c>
      <c r="M6" s="39">
        <v>282.664446</v>
      </c>
      <c r="N6" s="39"/>
      <c r="O6" s="33">
        <v>1.7500000000000071E-2</v>
      </c>
      <c r="P6" s="39">
        <v>11.65175</v>
      </c>
      <c r="Q6" s="40">
        <v>-6.3498217036905835E-3</v>
      </c>
      <c r="R6" s="40">
        <v>-4.9274616420638906E-2</v>
      </c>
      <c r="S6" s="18">
        <v>2</v>
      </c>
      <c r="T6" s="41" t="s">
        <v>60</v>
      </c>
      <c r="U6" s="10">
        <v>2</v>
      </c>
      <c r="V6" s="19">
        <v>7</v>
      </c>
      <c r="W6" s="9" t="s">
        <v>48</v>
      </c>
      <c r="X6" s="9">
        <v>1</v>
      </c>
      <c r="Y6" s="10">
        <v>19</v>
      </c>
      <c r="Z6" s="36">
        <v>34821.733999999997</v>
      </c>
      <c r="AA6" s="36">
        <v>21817.141</v>
      </c>
      <c r="AB6" s="36">
        <v>15578.319</v>
      </c>
      <c r="AC6" s="36">
        <v>5864.9290000000001</v>
      </c>
      <c r="AD6" s="36">
        <v>4626.7719999999999</v>
      </c>
      <c r="AE6" s="36">
        <v>15355.602999999999</v>
      </c>
      <c r="AF6" s="36">
        <v>14733.877999999999</v>
      </c>
      <c r="AG6" s="36">
        <v>13004.593000000001</v>
      </c>
      <c r="AH6" s="36">
        <v>15842.029</v>
      </c>
      <c r="AI6" s="36">
        <v>6281.47</v>
      </c>
      <c r="AJ6" s="36">
        <v>2968.8150000000001</v>
      </c>
      <c r="AK6" s="36">
        <v>4422.1790000000001</v>
      </c>
      <c r="AL6" s="36">
        <v>0.13287023558332853</v>
      </c>
      <c r="AM6" s="37">
        <v>0.39650665959518189</v>
      </c>
      <c r="AN6" s="37">
        <v>0.18740118453261259</v>
      </c>
      <c r="AO6" s="37">
        <v>2.3456098652067108</v>
      </c>
      <c r="AP6" s="37">
        <v>9.7749589489522573E-2</v>
      </c>
      <c r="AQ6" s="37">
        <v>0.25</v>
      </c>
      <c r="AR6" s="26">
        <f t="shared" ref="AR6:AR69" si="1">AB6/AC6</f>
        <v>2.6561820270970031</v>
      </c>
      <c r="AS6">
        <f>MATCH(Исходник!B6,Модель!$B$2:$B$108,0)</f>
        <v>4</v>
      </c>
    </row>
    <row r="7" spans="1:45" ht="30" x14ac:dyDescent="0.25">
      <c r="A7" s="8">
        <v>2024</v>
      </c>
      <c r="B7" s="9" t="s">
        <v>61</v>
      </c>
      <c r="C7" s="10">
        <v>2024</v>
      </c>
      <c r="D7" s="9" t="s">
        <v>45</v>
      </c>
      <c r="E7" s="18" t="s">
        <v>62</v>
      </c>
      <c r="F7" s="30">
        <v>11500</v>
      </c>
      <c r="G7" s="12">
        <v>60000000</v>
      </c>
      <c r="H7" s="38">
        <v>200</v>
      </c>
      <c r="I7" s="39">
        <v>210</v>
      </c>
      <c r="J7" s="39">
        <v>200</v>
      </c>
      <c r="K7" s="33">
        <v>0</v>
      </c>
      <c r="L7" s="33">
        <v>-5.0000000000000044E-3</v>
      </c>
      <c r="M7" s="39">
        <v>948.27744199999995</v>
      </c>
      <c r="N7" s="39"/>
      <c r="O7" s="33">
        <v>-5.0000000000000044E-3</v>
      </c>
      <c r="P7" s="39">
        <v>28.745179</v>
      </c>
      <c r="Q7" s="40">
        <v>4.9396740708593789E-3</v>
      </c>
      <c r="R7" s="40">
        <v>-9.7354338648482197E-2</v>
      </c>
      <c r="S7" s="18">
        <v>5</v>
      </c>
      <c r="T7" s="41" t="s">
        <v>63</v>
      </c>
      <c r="U7" s="10">
        <v>6</v>
      </c>
      <c r="V7" s="19">
        <v>12</v>
      </c>
      <c r="W7" s="9" t="s">
        <v>48</v>
      </c>
      <c r="X7" s="9">
        <v>1</v>
      </c>
      <c r="Y7" s="10">
        <v>18</v>
      </c>
      <c r="Z7" s="36">
        <v>49725.214</v>
      </c>
      <c r="AA7" s="36">
        <v>46594.788999999997</v>
      </c>
      <c r="AB7" s="36">
        <v>35270.428</v>
      </c>
      <c r="AC7" s="36">
        <v>31539.457999999999</v>
      </c>
      <c r="AD7" s="36">
        <v>231.56299999999999</v>
      </c>
      <c r="AE7" s="36">
        <v>21980.522000000001</v>
      </c>
      <c r="AF7" s="36">
        <v>20254.663</v>
      </c>
      <c r="AG7" s="36">
        <v>3130.4250000000002</v>
      </c>
      <c r="AH7" s="36">
        <v>132750.80300000001</v>
      </c>
      <c r="AI7" s="36">
        <v>10040.916999999999</v>
      </c>
      <c r="AJ7" s="36">
        <v>3760.0540000000001</v>
      </c>
      <c r="AK7" s="36">
        <v>1631.4839999999999</v>
      </c>
      <c r="AL7" s="36">
        <v>4.6568527588438328E-3</v>
      </c>
      <c r="AM7" s="37">
        <v>7.5637335316156226E-2</v>
      </c>
      <c r="AN7" s="37">
        <v>2.8324152585351967E-2</v>
      </c>
      <c r="AO7" s="37">
        <v>2.0172124717294251</v>
      </c>
      <c r="AP7" s="37">
        <v>9.1042013421385529E-2</v>
      </c>
      <c r="AQ7" s="37">
        <v>1.2496448865996788</v>
      </c>
      <c r="AR7" s="26">
        <f t="shared" si="1"/>
        <v>1.1182953112257035</v>
      </c>
      <c r="AS7">
        <f>MATCH(Исходник!B7,Модель!$B$2:$B$108,0)</f>
        <v>5</v>
      </c>
    </row>
    <row r="8" spans="1:45" ht="15" x14ac:dyDescent="0.25">
      <c r="A8" s="8">
        <v>2024</v>
      </c>
      <c r="B8" s="9" t="s">
        <v>64</v>
      </c>
      <c r="C8" s="10">
        <v>2024</v>
      </c>
      <c r="D8" s="9" t="s">
        <v>45</v>
      </c>
      <c r="E8" s="18" t="s">
        <v>53</v>
      </c>
      <c r="F8" s="30">
        <v>3300</v>
      </c>
      <c r="G8" s="12">
        <v>11500000000</v>
      </c>
      <c r="H8" s="38">
        <v>300</v>
      </c>
      <c r="I8" s="39">
        <v>300</v>
      </c>
      <c r="J8" s="39">
        <v>280</v>
      </c>
      <c r="K8" s="33">
        <v>1</v>
      </c>
      <c r="L8" s="33">
        <v>-7.9999999999998961E-3</v>
      </c>
      <c r="M8" s="39">
        <v>652.65200000000004</v>
      </c>
      <c r="N8" s="39"/>
      <c r="O8" s="33">
        <v>-7.9999999999998961E-3</v>
      </c>
      <c r="P8" s="39">
        <v>15.009</v>
      </c>
      <c r="Q8" s="40">
        <v>1.4487079091620947E-2</v>
      </c>
      <c r="R8" s="40">
        <v>-2.422471366452128E-3</v>
      </c>
      <c r="S8" s="18">
        <v>3</v>
      </c>
      <c r="T8" s="41" t="s">
        <v>65</v>
      </c>
      <c r="U8" s="10">
        <v>3</v>
      </c>
      <c r="V8" s="19">
        <v>11</v>
      </c>
      <c r="W8" s="9" t="s">
        <v>48</v>
      </c>
      <c r="X8" s="9">
        <v>1</v>
      </c>
      <c r="Y8" s="10">
        <v>6</v>
      </c>
      <c r="Z8" s="36">
        <v>4952.07</v>
      </c>
      <c r="AA8" s="36">
        <v>1159752</v>
      </c>
      <c r="AB8" s="36">
        <v>2159.9479999999999</v>
      </c>
      <c r="AC8" s="36">
        <v>778.47500000000002</v>
      </c>
      <c r="AD8" s="36">
        <v>2070.0770000000002</v>
      </c>
      <c r="AE8" s="36">
        <v>222.142</v>
      </c>
      <c r="AF8" s="36">
        <v>-43.37700000000001</v>
      </c>
      <c r="AG8" s="36">
        <v>3792.3180000000002</v>
      </c>
      <c r="AH8" s="36">
        <v>2454</v>
      </c>
      <c r="AI8" s="36">
        <v>1953.4570000000001</v>
      </c>
      <c r="AJ8" s="36">
        <v>1764</v>
      </c>
      <c r="AK8" s="36">
        <v>648</v>
      </c>
      <c r="AL8" s="36">
        <v>0.41802256430139323</v>
      </c>
      <c r="AM8" s="37">
        <v>0.79602974735126331</v>
      </c>
      <c r="AN8" s="37">
        <v>0.71882640586797064</v>
      </c>
      <c r="AO8" s="37">
        <v>-2.2205249462875307E-2</v>
      </c>
      <c r="AP8" s="37">
        <v>0.48639962940980613</v>
      </c>
      <c r="AQ8" s="37">
        <v>0.55163166015486964</v>
      </c>
      <c r="AR8" s="26">
        <f t="shared" si="1"/>
        <v>2.7745887793442305</v>
      </c>
      <c r="AS8">
        <f>MATCH(Исходник!B8,Модель!$B$2:$B$108,0)</f>
        <v>6</v>
      </c>
    </row>
    <row r="9" spans="1:45" ht="15" x14ac:dyDescent="0.25">
      <c r="A9" s="8">
        <v>2024</v>
      </c>
      <c r="B9" s="9" t="s">
        <v>66</v>
      </c>
      <c r="C9" s="10">
        <v>2024</v>
      </c>
      <c r="D9" s="9" t="s">
        <v>45</v>
      </c>
      <c r="E9" s="18" t="s">
        <v>53</v>
      </c>
      <c r="F9" s="30">
        <v>15000</v>
      </c>
      <c r="G9" s="12">
        <v>67084078.711985692</v>
      </c>
      <c r="H9" s="38">
        <v>0.22359999999999999</v>
      </c>
      <c r="I9" s="39">
        <v>248.4</v>
      </c>
      <c r="J9" s="39">
        <v>223.6</v>
      </c>
      <c r="K9" s="33">
        <v>-0.999</v>
      </c>
      <c r="L9" s="33">
        <v>-1.9499105545617179E-2</v>
      </c>
      <c r="M9" s="39">
        <v>68.067999999999998</v>
      </c>
      <c r="N9" s="39"/>
      <c r="O9" s="33">
        <v>-1.9499105545617179E-2</v>
      </c>
      <c r="P9" s="39">
        <v>21.067</v>
      </c>
      <c r="Q9" s="40">
        <v>-1.0804603936673374E-2</v>
      </c>
      <c r="R9" s="40">
        <v>-3.9734420725551001E-2</v>
      </c>
      <c r="S9" s="18">
        <v>3</v>
      </c>
      <c r="T9" s="41" t="s">
        <v>67</v>
      </c>
      <c r="U9" s="10">
        <v>3</v>
      </c>
      <c r="V9" s="19">
        <v>14.299999999999999</v>
      </c>
      <c r="W9" s="9" t="s">
        <v>68</v>
      </c>
      <c r="X9" s="9">
        <v>1</v>
      </c>
      <c r="Y9" s="10">
        <v>5</v>
      </c>
      <c r="Z9" s="36">
        <v>92568</v>
      </c>
      <c r="AA9" s="36">
        <v>67473</v>
      </c>
      <c r="AB9" s="36">
        <v>62608</v>
      </c>
      <c r="AC9" s="36">
        <v>25131</v>
      </c>
      <c r="AD9" s="36">
        <v>7115</v>
      </c>
      <c r="AE9" s="36">
        <v>19318</v>
      </c>
      <c r="AF9" s="36">
        <v>10965</v>
      </c>
      <c r="AG9" s="36">
        <v>25095</v>
      </c>
      <c r="AH9" s="36">
        <v>35773</v>
      </c>
      <c r="AI9" s="36">
        <v>8654</v>
      </c>
      <c r="AJ9" s="36">
        <v>5306</v>
      </c>
      <c r="AK9" s="36">
        <v>11762</v>
      </c>
      <c r="AL9" s="36">
        <v>7.6862414657332984E-2</v>
      </c>
      <c r="AM9" s="37">
        <v>0.24191429290246835</v>
      </c>
      <c r="AN9" s="37">
        <v>0.14832415508903363</v>
      </c>
      <c r="AO9" s="37">
        <v>1.2670441414374856</v>
      </c>
      <c r="AP9" s="37">
        <v>6.4241176826684426E-2</v>
      </c>
      <c r="AQ9" s="37">
        <v>0.23304638088545326</v>
      </c>
      <c r="AR9" s="26">
        <f t="shared" si="1"/>
        <v>2.4912657673789345</v>
      </c>
      <c r="AS9">
        <f>MATCH(Исходник!B9,Модель!$B$2:$B$108,0)</f>
        <v>7</v>
      </c>
    </row>
    <row r="10" spans="1:45" ht="15" x14ac:dyDescent="0.25">
      <c r="A10" s="8">
        <v>2024</v>
      </c>
      <c r="B10" s="9" t="s">
        <v>69</v>
      </c>
      <c r="C10" s="10">
        <v>2024</v>
      </c>
      <c r="D10" s="9" t="s">
        <v>45</v>
      </c>
      <c r="E10" s="18" t="s">
        <v>62</v>
      </c>
      <c r="F10" s="30">
        <v>1150</v>
      </c>
      <c r="G10" s="12">
        <v>121052700</v>
      </c>
      <c r="H10" s="38">
        <v>9.5</v>
      </c>
      <c r="I10" s="39">
        <v>9.5</v>
      </c>
      <c r="J10" s="39">
        <v>8</v>
      </c>
      <c r="K10" s="33">
        <v>1</v>
      </c>
      <c r="L10" s="33">
        <v>-0.14736842105263159</v>
      </c>
      <c r="M10" s="39">
        <v>229.17392599999999</v>
      </c>
      <c r="N10" s="39"/>
      <c r="O10" s="33">
        <v>-0.14736842105263159</v>
      </c>
      <c r="P10" s="39">
        <v>25.841450999999999</v>
      </c>
      <c r="Q10" s="40">
        <v>8.9186176142708184E-4</v>
      </c>
      <c r="R10" s="40">
        <v>4.5271540054148796E-2</v>
      </c>
      <c r="S10" s="18">
        <v>1</v>
      </c>
      <c r="T10" s="41" t="s">
        <v>70</v>
      </c>
      <c r="U10" s="10">
        <v>1</v>
      </c>
      <c r="V10" s="19">
        <v>13.139999999999999</v>
      </c>
      <c r="W10" s="9" t="s">
        <v>48</v>
      </c>
      <c r="X10" s="9">
        <v>1</v>
      </c>
      <c r="Y10" s="10">
        <v>21</v>
      </c>
      <c r="Z10" s="36">
        <v>4206.2089999999998</v>
      </c>
      <c r="AA10" s="36">
        <v>3016.4679999999998</v>
      </c>
      <c r="AB10" s="36">
        <v>2161.8319999999999</v>
      </c>
      <c r="AC10" s="36">
        <v>1806.7180000000001</v>
      </c>
      <c r="AD10" s="36">
        <v>82.59</v>
      </c>
      <c r="AE10" s="36">
        <v>1284.4240000000002</v>
      </c>
      <c r="AF10" s="36">
        <v>1256.7950000000003</v>
      </c>
      <c r="AG10" s="36">
        <v>1189.741</v>
      </c>
      <c r="AH10" s="36">
        <v>1387.329</v>
      </c>
      <c r="AI10" s="36">
        <v>0</v>
      </c>
      <c r="AJ10" s="36">
        <v>47.639000000000003</v>
      </c>
      <c r="AK10" s="36">
        <v>222.815</v>
      </c>
      <c r="AL10" s="36">
        <v>1.9635258257495052E-2</v>
      </c>
      <c r="AM10" s="37">
        <v>0</v>
      </c>
      <c r="AN10" s="37">
        <v>3.4338646420567873E-2</v>
      </c>
      <c r="AO10" s="37">
        <v>0</v>
      </c>
      <c r="AP10" s="37">
        <v>0</v>
      </c>
      <c r="AQ10" s="37">
        <v>0</v>
      </c>
      <c r="AR10" s="26">
        <f t="shared" si="1"/>
        <v>1.1965519798883941</v>
      </c>
      <c r="AS10">
        <f>MATCH(Исходник!B10,Модель!$B$2:$B$108,0)</f>
        <v>8</v>
      </c>
    </row>
    <row r="11" spans="1:45" ht="15" x14ac:dyDescent="0.25">
      <c r="A11" s="8">
        <v>2024</v>
      </c>
      <c r="B11" s="9" t="s">
        <v>71</v>
      </c>
      <c r="C11" s="10">
        <v>2024</v>
      </c>
      <c r="D11" s="9" t="s">
        <v>45</v>
      </c>
      <c r="E11" s="18" t="s">
        <v>53</v>
      </c>
      <c r="F11" s="30">
        <v>4100</v>
      </c>
      <c r="G11" s="12">
        <v>920000</v>
      </c>
      <c r="H11" s="38">
        <v>4500</v>
      </c>
      <c r="I11" s="39">
        <v>4500</v>
      </c>
      <c r="J11" s="39">
        <v>4000</v>
      </c>
      <c r="K11" s="33">
        <v>1</v>
      </c>
      <c r="L11" s="33">
        <v>0.39999999999999991</v>
      </c>
      <c r="M11" s="39">
        <v>894.99059999999997</v>
      </c>
      <c r="N11" s="39"/>
      <c r="O11" s="33">
        <v>0.39999999999999991</v>
      </c>
      <c r="P11" s="39">
        <v>103.18998499999999</v>
      </c>
      <c r="Q11" s="40">
        <v>1.8777897491148998E-3</v>
      </c>
      <c r="R11" s="40">
        <v>1.4929967677389522E-2</v>
      </c>
      <c r="S11" s="18">
        <v>3</v>
      </c>
      <c r="T11" s="41" t="s">
        <v>72</v>
      </c>
      <c r="U11" s="10">
        <v>3</v>
      </c>
      <c r="V11" s="19">
        <v>8.7999999999999989</v>
      </c>
      <c r="W11" s="9" t="s">
        <v>48</v>
      </c>
      <c r="X11" s="9">
        <v>1</v>
      </c>
      <c r="Y11" s="10">
        <v>33</v>
      </c>
      <c r="Z11" s="36">
        <v>4225.3999999999996</v>
      </c>
      <c r="AA11" s="36">
        <v>1377.376</v>
      </c>
      <c r="AB11" s="36">
        <v>1510.934</v>
      </c>
      <c r="AC11" s="36">
        <v>1007.434</v>
      </c>
      <c r="AD11" s="36">
        <v>1717.18</v>
      </c>
      <c r="AE11" s="36">
        <v>478.05799999999994</v>
      </c>
      <c r="AF11" s="36">
        <v>-152.05800000000005</v>
      </c>
      <c r="AG11" s="36">
        <v>2848.0239999999999</v>
      </c>
      <c r="AH11" s="36">
        <v>7188.4430000000002</v>
      </c>
      <c r="AI11" s="36">
        <v>3080.2069999999999</v>
      </c>
      <c r="AJ11" s="36">
        <v>2626.4380000000001</v>
      </c>
      <c r="AK11" s="36">
        <v>921.21500000000003</v>
      </c>
      <c r="AL11" s="36">
        <v>0.40639466086051029</v>
      </c>
      <c r="AM11" s="37">
        <v>0.42849432067556215</v>
      </c>
      <c r="AN11" s="37">
        <v>0.36536952438796549</v>
      </c>
      <c r="AO11" s="37">
        <v>-4.9366162728673772E-2</v>
      </c>
      <c r="AP11" s="37">
        <v>0.66553347194190104</v>
      </c>
      <c r="AQ11" s="37">
        <v>1.08</v>
      </c>
      <c r="AR11" s="26">
        <f t="shared" si="1"/>
        <v>1.499784601274128</v>
      </c>
      <c r="AS11">
        <f>MATCH(Исходник!B11,Модель!$B$2:$B$108,0)</f>
        <v>9</v>
      </c>
    </row>
    <row r="12" spans="1:45" ht="15" x14ac:dyDescent="0.25">
      <c r="A12" s="8">
        <v>2024</v>
      </c>
      <c r="B12" s="9" t="s">
        <v>73</v>
      </c>
      <c r="C12" s="10">
        <v>2024</v>
      </c>
      <c r="D12" s="9" t="s">
        <v>45</v>
      </c>
      <c r="E12" s="18" t="s">
        <v>53</v>
      </c>
      <c r="F12" s="30">
        <v>4200</v>
      </c>
      <c r="G12" s="12">
        <v>15800000</v>
      </c>
      <c r="H12" s="38">
        <v>265</v>
      </c>
      <c r="I12" s="39">
        <v>265</v>
      </c>
      <c r="J12" s="39">
        <v>245</v>
      </c>
      <c r="K12" s="33">
        <v>1</v>
      </c>
      <c r="L12" s="33">
        <v>6.7547169811320584E-2</v>
      </c>
      <c r="M12" s="39">
        <v>1647.3070009999999</v>
      </c>
      <c r="N12" s="39"/>
      <c r="O12" s="33">
        <v>6.7547169811320584E-2</v>
      </c>
      <c r="P12" s="39">
        <v>203.51394999999999</v>
      </c>
      <c r="Q12" s="40">
        <v>5.6138833992094295E-3</v>
      </c>
      <c r="R12" s="40">
        <v>2.5293354743082919E-2</v>
      </c>
      <c r="S12" s="18">
        <v>4</v>
      </c>
      <c r="T12" s="41" t="s">
        <v>74</v>
      </c>
      <c r="U12" s="10">
        <v>5</v>
      </c>
      <c r="V12" s="19">
        <v>9</v>
      </c>
      <c r="W12" s="9" t="s">
        <v>48</v>
      </c>
      <c r="X12" s="9">
        <v>1</v>
      </c>
      <c r="Y12" s="10">
        <v>9</v>
      </c>
      <c r="Z12" s="36">
        <v>18218</v>
      </c>
      <c r="AA12" s="36">
        <v>15424</v>
      </c>
      <c r="AB12" s="36">
        <v>2105</v>
      </c>
      <c r="AC12" s="36">
        <v>11897</v>
      </c>
      <c r="AD12" s="36">
        <v>464</v>
      </c>
      <c r="AE12" s="36">
        <v>13869</v>
      </c>
      <c r="AF12" s="36">
        <v>13067</v>
      </c>
      <c r="AG12" s="36">
        <v>2794</v>
      </c>
      <c r="AH12" s="36">
        <v>15205</v>
      </c>
      <c r="AI12" s="36">
        <v>3804</v>
      </c>
      <c r="AJ12" s="36">
        <v>-164</v>
      </c>
      <c r="AK12" s="36">
        <v>379</v>
      </c>
      <c r="AL12" s="36">
        <v>2.5469316061038534E-2</v>
      </c>
      <c r="AM12" s="37">
        <v>0.25018086155869779</v>
      </c>
      <c r="AN12" s="37">
        <v>0</v>
      </c>
      <c r="AO12" s="37">
        <v>3.4350683491062042</v>
      </c>
      <c r="AP12" s="37">
        <v>0</v>
      </c>
      <c r="AQ12" s="37">
        <v>0</v>
      </c>
      <c r="AR12" s="26">
        <f t="shared" si="1"/>
        <v>0.17693536185593006</v>
      </c>
      <c r="AS12">
        <f>MATCH(Исходник!B12,Модель!$B$2:$B$108,0)</f>
        <v>10</v>
      </c>
    </row>
    <row r="13" spans="1:45" ht="15" x14ac:dyDescent="0.25">
      <c r="A13" s="8">
        <v>2023</v>
      </c>
      <c r="B13" s="9" t="s">
        <v>75</v>
      </c>
      <c r="C13" s="10">
        <v>2023</v>
      </c>
      <c r="D13" s="9" t="s">
        <v>45</v>
      </c>
      <c r="E13" s="18" t="s">
        <v>76</v>
      </c>
      <c r="F13" s="30">
        <v>7000</v>
      </c>
      <c r="G13" s="12">
        <v>12700000000</v>
      </c>
      <c r="H13" s="39">
        <v>0.55000000000000004</v>
      </c>
      <c r="I13" s="39">
        <v>0.6</v>
      </c>
      <c r="J13" s="39">
        <v>0.55000000000000004</v>
      </c>
      <c r="K13" s="33">
        <v>0</v>
      </c>
      <c r="L13" s="33">
        <v>3.6363636363636154E-2</v>
      </c>
      <c r="M13" s="39">
        <v>2837.3607881999997</v>
      </c>
      <c r="N13" s="39"/>
      <c r="O13" s="33">
        <v>3.6363636363636154E-2</v>
      </c>
      <c r="P13" s="39">
        <v>399.99335304347824</v>
      </c>
      <c r="Q13" s="40">
        <v>3.781288061445176E-3</v>
      </c>
      <c r="R13" s="40">
        <v>-3.9117844448311012E-2</v>
      </c>
      <c r="S13" s="18">
        <v>4</v>
      </c>
      <c r="T13" s="41" t="s">
        <v>77</v>
      </c>
      <c r="U13" s="10">
        <v>4</v>
      </c>
      <c r="V13" s="19">
        <v>6</v>
      </c>
      <c r="W13" s="9" t="s">
        <v>48</v>
      </c>
      <c r="X13" s="9">
        <v>1</v>
      </c>
      <c r="Y13" s="10">
        <v>26</v>
      </c>
      <c r="Z13" s="36">
        <v>99105</v>
      </c>
      <c r="AA13" s="36">
        <v>73562</v>
      </c>
      <c r="AB13" s="36">
        <v>20756</v>
      </c>
      <c r="AC13" s="36">
        <v>57548</v>
      </c>
      <c r="AD13" s="36">
        <v>0</v>
      </c>
      <c r="AE13" s="36">
        <v>52037</v>
      </c>
      <c r="AF13" s="36">
        <v>51379</v>
      </c>
      <c r="AG13" s="36">
        <v>25543</v>
      </c>
      <c r="AH13" s="36">
        <v>57049</v>
      </c>
      <c r="AI13" s="36">
        <v>25153</v>
      </c>
      <c r="AJ13" s="36">
        <v>-20050</v>
      </c>
      <c r="AK13" s="36">
        <v>18899</v>
      </c>
      <c r="AL13" s="36">
        <v>0</v>
      </c>
      <c r="AM13" s="37">
        <v>0.44090168101106064</v>
      </c>
      <c r="AN13" s="37">
        <v>0</v>
      </c>
      <c r="AO13" s="37">
        <v>2.042658927364529</v>
      </c>
      <c r="AP13" s="37">
        <v>0</v>
      </c>
      <c r="AQ13" s="37">
        <v>0</v>
      </c>
      <c r="AR13" s="26">
        <f t="shared" si="1"/>
        <v>0.36067282963786751</v>
      </c>
      <c r="AS13">
        <f>MATCH(Исходник!B13,Модель!$B$2:$B$108,0)</f>
        <v>11</v>
      </c>
    </row>
    <row r="14" spans="1:45" ht="15" x14ac:dyDescent="0.25">
      <c r="A14" s="8">
        <v>2023</v>
      </c>
      <c r="B14" s="9" t="s">
        <v>78</v>
      </c>
      <c r="C14" s="10">
        <v>2023</v>
      </c>
      <c r="D14" s="9" t="s">
        <v>45</v>
      </c>
      <c r="E14" s="18" t="s">
        <v>62</v>
      </c>
      <c r="F14" s="30">
        <v>13500</v>
      </c>
      <c r="G14" s="12">
        <v>54000000</v>
      </c>
      <c r="H14" s="38">
        <v>250</v>
      </c>
      <c r="I14" s="38">
        <v>250</v>
      </c>
      <c r="J14" s="38">
        <v>250</v>
      </c>
      <c r="K14" s="33">
        <v>0</v>
      </c>
      <c r="L14" s="33">
        <v>-0.10799999999999998</v>
      </c>
      <c r="M14" s="39">
        <v>292.03762325000002</v>
      </c>
      <c r="N14" s="39"/>
      <c r="O14" s="33">
        <v>-0.10799999999999998</v>
      </c>
      <c r="P14" s="39">
        <v>62.381113839130428</v>
      </c>
      <c r="Q14" s="40">
        <v>3.4670258405666843E-3</v>
      </c>
      <c r="R14" s="40">
        <v>-4.171343410156636E-2</v>
      </c>
      <c r="S14" s="18">
        <v>3</v>
      </c>
      <c r="T14" s="41" t="s">
        <v>79</v>
      </c>
      <c r="U14" s="10">
        <v>3</v>
      </c>
      <c r="V14" s="19">
        <v>28.249999999999996</v>
      </c>
      <c r="W14" s="9" t="s">
        <v>48</v>
      </c>
      <c r="X14" s="9">
        <v>1</v>
      </c>
      <c r="Y14" s="10">
        <v>26</v>
      </c>
      <c r="Z14" s="36">
        <v>51871.163</v>
      </c>
      <c r="AA14" s="36">
        <v>39926.379000000001</v>
      </c>
      <c r="AB14" s="36">
        <v>23229.440999999999</v>
      </c>
      <c r="AC14" s="36">
        <v>16929.489000000001</v>
      </c>
      <c r="AD14" s="36">
        <v>664.06799999999998</v>
      </c>
      <c r="AE14" s="36">
        <v>31367.273999999998</v>
      </c>
      <c r="AF14" s="36">
        <v>31163.42</v>
      </c>
      <c r="AG14" s="36">
        <v>11944.784</v>
      </c>
      <c r="AH14" s="36">
        <v>61886.485999999997</v>
      </c>
      <c r="AI14" s="36">
        <v>6473.4450000000006</v>
      </c>
      <c r="AJ14" s="36">
        <v>1745.4780000000001</v>
      </c>
      <c r="AK14" s="36">
        <v>72.858999999999995</v>
      </c>
      <c r="AL14" s="36">
        <v>1.2802257778565713E-2</v>
      </c>
      <c r="AM14" s="37">
        <v>0.10460191583668203</v>
      </c>
      <c r="AN14" s="37">
        <v>2.8204509785868276E-2</v>
      </c>
      <c r="AO14" s="37">
        <v>4.8140395106469578</v>
      </c>
      <c r="AP14" s="37">
        <v>4.0868409029913275E-2</v>
      </c>
      <c r="AQ14" s="37">
        <v>0.28793588689742411</v>
      </c>
      <c r="AR14" s="26">
        <f t="shared" si="1"/>
        <v>1.372128892963042</v>
      </c>
      <c r="AS14">
        <f>MATCH(Исходник!B14,Модель!$B$2:$B$108,0)</f>
        <v>12</v>
      </c>
    </row>
    <row r="15" spans="1:45" ht="15" x14ac:dyDescent="0.25">
      <c r="A15" s="8">
        <v>2023</v>
      </c>
      <c r="B15" s="9" t="s">
        <v>80</v>
      </c>
      <c r="C15" s="10">
        <v>2023</v>
      </c>
      <c r="D15" s="9" t="s">
        <v>45</v>
      </c>
      <c r="E15" s="18" t="s">
        <v>62</v>
      </c>
      <c r="F15" s="30">
        <v>3800</v>
      </c>
      <c r="G15" s="12">
        <v>5600000</v>
      </c>
      <c r="H15" s="38">
        <v>675</v>
      </c>
      <c r="I15" s="39">
        <v>675</v>
      </c>
      <c r="J15" s="39">
        <v>600</v>
      </c>
      <c r="K15" s="33">
        <v>1</v>
      </c>
      <c r="L15" s="33">
        <v>-7.4074074074074181E-3</v>
      </c>
      <c r="M15" s="39">
        <v>1734.6736346</v>
      </c>
      <c r="N15" s="39"/>
      <c r="O15" s="33">
        <v>-7.4074074074074181E-3</v>
      </c>
      <c r="P15" s="39">
        <v>170.5838563318182</v>
      </c>
      <c r="Q15" s="40">
        <v>-2.900340556116987E-3</v>
      </c>
      <c r="R15" s="40">
        <v>-2.872584608859452E-2</v>
      </c>
      <c r="S15" s="18">
        <v>3</v>
      </c>
      <c r="T15" s="41" t="s">
        <v>81</v>
      </c>
      <c r="U15" s="10">
        <v>3</v>
      </c>
      <c r="V15" s="19">
        <v>13.900000000000002</v>
      </c>
      <c r="W15" s="9" t="s">
        <v>48</v>
      </c>
      <c r="X15" s="9">
        <v>1</v>
      </c>
      <c r="Y15" s="10">
        <v>30</v>
      </c>
      <c r="Z15" s="36">
        <v>14418.594999999999</v>
      </c>
      <c r="AA15" s="36">
        <v>11461.593999999999</v>
      </c>
      <c r="AB15" s="36">
        <v>4121.0410000000002</v>
      </c>
      <c r="AC15" s="36">
        <v>4722.3940000000002</v>
      </c>
      <c r="AD15" s="36">
        <v>2659.527</v>
      </c>
      <c r="AE15" s="36">
        <v>10428.753999999999</v>
      </c>
      <c r="AF15" s="36">
        <v>9866.6279999999988</v>
      </c>
      <c r="AG15" s="36">
        <v>2957.0010000000002</v>
      </c>
      <c r="AH15" s="36">
        <v>12432.544</v>
      </c>
      <c r="AI15" s="36">
        <v>4818.1080000000002</v>
      </c>
      <c r="AJ15" s="36">
        <v>1831.799</v>
      </c>
      <c r="AK15" s="36">
        <v>1939.502</v>
      </c>
      <c r="AL15" s="36">
        <v>0.18445118959232853</v>
      </c>
      <c r="AM15" s="37">
        <v>0.38753999181503002</v>
      </c>
      <c r="AN15" s="37">
        <v>0.14733903214016375</v>
      </c>
      <c r="AO15" s="37">
        <v>2.0478220911610943</v>
      </c>
      <c r="AP15" s="37">
        <v>0.15228118047823697</v>
      </c>
      <c r="AQ15" s="37">
        <v>1.8841268551480259</v>
      </c>
      <c r="AR15" s="26">
        <f t="shared" si="1"/>
        <v>0.87265929102908402</v>
      </c>
      <c r="AS15">
        <f>MATCH(Исходник!B15,Модель!$B$2:$B$108,0)</f>
        <v>13</v>
      </c>
    </row>
    <row r="16" spans="1:45" ht="15" x14ac:dyDescent="0.25">
      <c r="A16" s="8">
        <v>2023</v>
      </c>
      <c r="B16" s="9" t="s">
        <v>82</v>
      </c>
      <c r="C16" s="10">
        <v>2023</v>
      </c>
      <c r="D16" s="9" t="s">
        <v>45</v>
      </c>
      <c r="E16" s="18" t="s">
        <v>53</v>
      </c>
      <c r="F16" s="30">
        <v>3500</v>
      </c>
      <c r="G16" s="12">
        <v>10500000</v>
      </c>
      <c r="H16" s="38">
        <v>333</v>
      </c>
      <c r="I16" s="39">
        <v>333</v>
      </c>
      <c r="J16" s="39">
        <v>300</v>
      </c>
      <c r="K16" s="33">
        <v>1</v>
      </c>
      <c r="L16" s="33">
        <v>0.39999999999999991</v>
      </c>
      <c r="M16" s="39">
        <v>398.58701400000001</v>
      </c>
      <c r="N16" s="39"/>
      <c r="O16" s="33">
        <v>0.39999999999999991</v>
      </c>
      <c r="P16" s="39">
        <v>1115.7004188095241</v>
      </c>
      <c r="Q16" s="40">
        <v>5.5659503694884815E-3</v>
      </c>
      <c r="R16" s="40">
        <v>2.3186734957444388E-2</v>
      </c>
      <c r="S16" s="18">
        <v>3</v>
      </c>
      <c r="T16" s="41" t="s">
        <v>83</v>
      </c>
      <c r="U16" s="10">
        <v>3</v>
      </c>
      <c r="V16" s="19">
        <v>5</v>
      </c>
      <c r="W16" s="9" t="s">
        <v>48</v>
      </c>
      <c r="X16" s="9">
        <v>1</v>
      </c>
      <c r="Y16" s="10">
        <v>15</v>
      </c>
      <c r="Z16" s="36">
        <v>6099.9309999999996</v>
      </c>
      <c r="AA16" s="36">
        <v>4637.1289999999999</v>
      </c>
      <c r="AB16" s="36">
        <v>1915.6579999999999</v>
      </c>
      <c r="AC16" s="36">
        <v>3346.721</v>
      </c>
      <c r="AD16" s="36">
        <v>925.39</v>
      </c>
      <c r="AE16" s="36">
        <v>615.048</v>
      </c>
      <c r="AF16" s="36">
        <v>-82.467999999999961</v>
      </c>
      <c r="AG16" s="36">
        <v>1462.8019999999999</v>
      </c>
      <c r="AH16" s="36">
        <v>5394.9880000000003</v>
      </c>
      <c r="AI16" s="36">
        <v>2887.1060000000002</v>
      </c>
      <c r="AJ16" s="36">
        <v>3074.0430000000001</v>
      </c>
      <c r="AK16" s="36">
        <v>640.88099999999997</v>
      </c>
      <c r="AL16" s="36">
        <v>0.15170499469584164</v>
      </c>
      <c r="AM16" s="37">
        <v>0.53514595398543985</v>
      </c>
      <c r="AN16" s="37">
        <v>0.56979607739627969</v>
      </c>
      <c r="AO16" s="37">
        <v>-2.8564243917611601E-2</v>
      </c>
      <c r="AP16" s="37">
        <v>0.7455283476276815</v>
      </c>
      <c r="AQ16" s="37">
        <v>3.8724075922817471</v>
      </c>
      <c r="AR16" s="26">
        <f t="shared" si="1"/>
        <v>0.57239847600083782</v>
      </c>
      <c r="AS16">
        <f>MATCH(Исходник!B16,Модель!$B$2:$B$108,0)</f>
        <v>14</v>
      </c>
    </row>
    <row r="17" spans="1:45" ht="15" x14ac:dyDescent="0.25">
      <c r="A17" s="8">
        <v>2023</v>
      </c>
      <c r="B17" s="9" t="s">
        <v>84</v>
      </c>
      <c r="C17" s="10">
        <v>2023</v>
      </c>
      <c r="D17" s="9" t="s">
        <v>45</v>
      </c>
      <c r="E17" s="18" t="s">
        <v>85</v>
      </c>
      <c r="F17" s="30">
        <v>178.79999999999998</v>
      </c>
      <c r="G17" s="12">
        <v>10000000</v>
      </c>
      <c r="H17" s="39">
        <v>17.88</v>
      </c>
      <c r="I17" s="39">
        <v>17.88</v>
      </c>
      <c r="J17" s="39">
        <v>17.88</v>
      </c>
      <c r="K17" s="33">
        <v>0</v>
      </c>
      <c r="L17" s="33">
        <v>0.39988814317673382</v>
      </c>
      <c r="M17" s="39">
        <v>47.735022719999996</v>
      </c>
      <c r="N17" s="39"/>
      <c r="O17" s="33">
        <v>0.39988814317673382</v>
      </c>
      <c r="P17" s="39">
        <v>194.31900388952383</v>
      </c>
      <c r="Q17" s="40">
        <v>-2.4858576399199306E-3</v>
      </c>
      <c r="R17" s="40">
        <v>2.100226125488236E-2</v>
      </c>
      <c r="S17" s="18">
        <v>2</v>
      </c>
      <c r="T17" s="41" t="s">
        <v>86</v>
      </c>
      <c r="U17" s="10">
        <v>2</v>
      </c>
      <c r="V17" s="19">
        <v>12</v>
      </c>
      <c r="W17" s="9" t="s">
        <v>48</v>
      </c>
      <c r="X17" s="9">
        <v>1</v>
      </c>
      <c r="Y17" s="10">
        <v>11</v>
      </c>
      <c r="Z17" s="36">
        <v>794.49599999999998</v>
      </c>
      <c r="AA17" s="36">
        <v>322.77100000000002</v>
      </c>
      <c r="AB17" s="36">
        <v>164.13300000000001</v>
      </c>
      <c r="AC17" s="36">
        <v>126.878</v>
      </c>
      <c r="AD17" s="36">
        <v>411.25199999999995</v>
      </c>
      <c r="AE17" s="36">
        <v>223.3</v>
      </c>
      <c r="AF17" s="36">
        <v>167.441</v>
      </c>
      <c r="AG17" s="36">
        <v>471.72500000000002</v>
      </c>
      <c r="AH17" s="36">
        <v>76.852000000000004</v>
      </c>
      <c r="AI17" s="36">
        <v>-17.088999999999999</v>
      </c>
      <c r="AJ17" s="36">
        <v>-20.657</v>
      </c>
      <c r="AK17" s="36">
        <v>6.7809999999999997</v>
      </c>
      <c r="AL17" s="36">
        <v>0.51762626872885442</v>
      </c>
      <c r="AM17" s="37">
        <v>0</v>
      </c>
      <c r="AN17" s="37">
        <v>0</v>
      </c>
      <c r="AO17" s="37">
        <v>-9.7981742641465281</v>
      </c>
      <c r="AP17" s="37">
        <v>0</v>
      </c>
      <c r="AQ17" s="37">
        <v>0</v>
      </c>
      <c r="AR17" s="26">
        <f t="shared" si="1"/>
        <v>1.2936285250398021</v>
      </c>
      <c r="AS17">
        <f>MATCH(Исходник!B17,Модель!$B$2:$B$108,0)</f>
        <v>15</v>
      </c>
    </row>
    <row r="18" spans="1:45" ht="15" x14ac:dyDescent="0.25">
      <c r="A18" s="8">
        <v>2022</v>
      </c>
      <c r="B18" s="9" t="s">
        <v>87</v>
      </c>
      <c r="C18" s="10">
        <v>2022</v>
      </c>
      <c r="D18" s="9" t="s">
        <v>45</v>
      </c>
      <c r="E18" s="18" t="s">
        <v>53</v>
      </c>
      <c r="F18" s="30">
        <v>2300</v>
      </c>
      <c r="G18" s="38">
        <v>12500000</v>
      </c>
      <c r="H18" s="38">
        <v>185</v>
      </c>
      <c r="I18" s="39">
        <v>225</v>
      </c>
      <c r="J18" s="39">
        <v>185</v>
      </c>
      <c r="K18" s="33">
        <v>0</v>
      </c>
      <c r="L18" s="33">
        <v>2.1621621621621401E-3</v>
      </c>
      <c r="M18" s="39">
        <v>525.01816329000007</v>
      </c>
      <c r="N18" s="39"/>
      <c r="O18" s="33">
        <v>2.1621621621621401E-3</v>
      </c>
      <c r="P18" s="39">
        <v>78.643845666363617</v>
      </c>
      <c r="Q18" s="40">
        <v>-6.7007606766067429E-3</v>
      </c>
      <c r="R18" s="40">
        <v>1.1755075009887817E-2</v>
      </c>
      <c r="S18" s="18">
        <v>3</v>
      </c>
      <c r="T18" s="41" t="s">
        <v>88</v>
      </c>
      <c r="U18" s="10">
        <v>3</v>
      </c>
      <c r="V18" s="19">
        <v>11.200000000000001</v>
      </c>
      <c r="W18" s="9" t="s">
        <v>48</v>
      </c>
      <c r="X18" s="9">
        <v>1</v>
      </c>
      <c r="Y18" s="10">
        <v>3</v>
      </c>
      <c r="Z18" s="36">
        <v>5147.2550000000001</v>
      </c>
      <c r="AA18" s="36">
        <v>2741.7249999999999</v>
      </c>
      <c r="AB18" s="36">
        <v>1183.4929999999999</v>
      </c>
      <c r="AC18" s="36">
        <v>1163.607</v>
      </c>
      <c r="AD18" s="36">
        <v>12.109</v>
      </c>
      <c r="AE18" s="36">
        <v>2681.7140000000004</v>
      </c>
      <c r="AF18" s="36">
        <v>2289.2970000000005</v>
      </c>
      <c r="AG18" s="36">
        <v>2405.5300000000002</v>
      </c>
      <c r="AH18" s="36">
        <v>4128.3450000000003</v>
      </c>
      <c r="AI18" s="36">
        <v>2651.2719999999999</v>
      </c>
      <c r="AJ18" s="36">
        <v>1796.4259999999999</v>
      </c>
      <c r="AK18" s="36">
        <v>3204.9520000000002</v>
      </c>
      <c r="AL18" s="36">
        <v>2.352516049816844E-3</v>
      </c>
      <c r="AM18" s="37">
        <v>0.64221183064884346</v>
      </c>
      <c r="AN18" s="37">
        <v>0.43514434961225379</v>
      </c>
      <c r="AO18" s="37">
        <v>0.86347119420414076</v>
      </c>
      <c r="AP18" s="37">
        <v>0.55506020866983208</v>
      </c>
      <c r="AQ18" s="37">
        <v>1.3741319052685768</v>
      </c>
      <c r="AR18" s="26">
        <f t="shared" si="1"/>
        <v>1.0170899625045224</v>
      </c>
      <c r="AS18">
        <f>MATCH(Исходник!B18,Модель!$B$2:$B$108,0)</f>
        <v>16</v>
      </c>
    </row>
    <row r="19" spans="1:45" ht="15" x14ac:dyDescent="0.25">
      <c r="A19" s="8">
        <v>2021</v>
      </c>
      <c r="B19" s="9" t="s">
        <v>89</v>
      </c>
      <c r="C19" s="10">
        <v>2021</v>
      </c>
      <c r="D19" s="9" t="s">
        <v>90</v>
      </c>
      <c r="E19" s="18" t="s">
        <v>91</v>
      </c>
      <c r="F19" s="30">
        <v>27890.5926</v>
      </c>
      <c r="G19" s="42">
        <v>53421396</v>
      </c>
      <c r="H19" s="38">
        <v>521.64449999999999</v>
      </c>
      <c r="I19" s="39">
        <v>730.30229999999995</v>
      </c>
      <c r="J19" s="39">
        <v>521.64449999999999</v>
      </c>
      <c r="K19" s="33">
        <v>0</v>
      </c>
      <c r="L19" s="33">
        <v>-2.2666666666666613E-2</v>
      </c>
      <c r="M19" s="39"/>
      <c r="N19" s="39"/>
      <c r="O19" s="33">
        <v>-2.2666666666666613E-2</v>
      </c>
      <c r="P19" s="39"/>
      <c r="Q19" s="40">
        <v>-1.4967409292542255E-3</v>
      </c>
      <c r="R19" s="40">
        <v>-9.8958985986622561E-2</v>
      </c>
      <c r="S19" s="18">
        <v>3</v>
      </c>
      <c r="T19" s="41" t="s">
        <v>92</v>
      </c>
      <c r="U19" s="10">
        <v>3</v>
      </c>
      <c r="V19" s="19">
        <v>29.08</v>
      </c>
      <c r="W19" s="9" t="s">
        <v>93</v>
      </c>
      <c r="X19" s="9">
        <v>2</v>
      </c>
      <c r="Y19" s="10">
        <v>28</v>
      </c>
      <c r="Z19" s="43">
        <v>32298</v>
      </c>
      <c r="AA19" s="36">
        <v>27915</v>
      </c>
      <c r="AB19" s="43">
        <v>19640</v>
      </c>
      <c r="AC19" s="43">
        <v>21009</v>
      </c>
      <c r="AD19" s="43">
        <v>1417</v>
      </c>
      <c r="AE19" s="43">
        <v>7012</v>
      </c>
      <c r="AF19" s="43">
        <v>3174</v>
      </c>
      <c r="AG19" s="43">
        <v>4383</v>
      </c>
      <c r="AH19" s="43">
        <v>69342</v>
      </c>
      <c r="AI19" s="36">
        <v>3350</v>
      </c>
      <c r="AJ19" s="43">
        <v>776</v>
      </c>
      <c r="AK19" s="36">
        <v>794</v>
      </c>
      <c r="AL19" s="36">
        <v>4.3872685615208372E-2</v>
      </c>
      <c r="AM19" s="44">
        <v>4.8311268783709727E-2</v>
      </c>
      <c r="AN19" s="44">
        <v>1.1190908828704105E-2</v>
      </c>
      <c r="AO19" s="37">
        <v>0.94746268656716415</v>
      </c>
      <c r="AP19" s="44">
        <v>2.4026255495696328E-2</v>
      </c>
      <c r="AQ19" s="44">
        <v>0.17704768423454256</v>
      </c>
      <c r="AR19" s="26">
        <f t="shared" si="1"/>
        <v>0.93483745061640244</v>
      </c>
      <c r="AS19">
        <f>MATCH(Исходник!B19,Модель!$B$2:$B$108,0)</f>
        <v>17</v>
      </c>
    </row>
    <row r="20" spans="1:45" ht="45" x14ac:dyDescent="0.25">
      <c r="A20" s="8">
        <v>2021</v>
      </c>
      <c r="B20" s="9" t="s">
        <v>94</v>
      </c>
      <c r="C20" s="10">
        <v>2021</v>
      </c>
      <c r="D20" s="9" t="s">
        <v>90</v>
      </c>
      <c r="E20" s="18" t="s">
        <v>91</v>
      </c>
      <c r="F20" s="30">
        <v>22141.828799999999</v>
      </c>
      <c r="G20" s="12">
        <v>19515276</v>
      </c>
      <c r="H20" s="38">
        <v>1143.8016</v>
      </c>
      <c r="I20" s="38">
        <v>1143.8016</v>
      </c>
      <c r="J20" s="38">
        <v>965.08259999999996</v>
      </c>
      <c r="K20" s="33">
        <v>1</v>
      </c>
      <c r="L20" s="45">
        <v>0.10125000000000006</v>
      </c>
      <c r="M20" s="46">
        <v>32.969513999999997</v>
      </c>
      <c r="N20" s="46"/>
      <c r="O20" s="45">
        <v>0.10125000000000006</v>
      </c>
      <c r="P20" s="39"/>
      <c r="Q20" s="40">
        <v>-2.4158456535088302E-3</v>
      </c>
      <c r="R20" s="40">
        <v>-8.9553558414000922E-2</v>
      </c>
      <c r="S20" s="18">
        <v>0</v>
      </c>
      <c r="T20" s="41" t="s">
        <v>95</v>
      </c>
      <c r="U20" s="10">
        <v>10</v>
      </c>
      <c r="V20" s="18">
        <v>28.27</v>
      </c>
      <c r="W20" s="9" t="s">
        <v>96</v>
      </c>
      <c r="X20" s="9">
        <v>2</v>
      </c>
      <c r="Y20" s="10">
        <v>20</v>
      </c>
      <c r="Z20" s="36">
        <v>1370</v>
      </c>
      <c r="AA20" s="36">
        <v>2242</v>
      </c>
      <c r="AB20" s="36">
        <v>711</v>
      </c>
      <c r="AC20" s="36">
        <v>1501</v>
      </c>
      <c r="AD20" s="36">
        <v>257</v>
      </c>
      <c r="AE20" s="36">
        <v>841</v>
      </c>
      <c r="AF20" s="36">
        <v>279</v>
      </c>
      <c r="AG20" s="36">
        <v>-872</v>
      </c>
      <c r="AH20" s="36">
        <v>1642</v>
      </c>
      <c r="AI20" s="36">
        <v>181</v>
      </c>
      <c r="AJ20" s="36">
        <v>-405</v>
      </c>
      <c r="AK20" s="36">
        <v>37</v>
      </c>
      <c r="AL20" s="36">
        <v>0.18759124087591242</v>
      </c>
      <c r="AM20" s="37">
        <v>0.110231425091352</v>
      </c>
      <c r="AN20" s="37">
        <v>0</v>
      </c>
      <c r="AO20" s="37">
        <v>1.5414364640883977</v>
      </c>
      <c r="AP20" s="37">
        <v>0</v>
      </c>
      <c r="AQ20" s="37">
        <v>0</v>
      </c>
      <c r="AR20" s="26">
        <f t="shared" si="1"/>
        <v>0.47368421052631576</v>
      </c>
      <c r="AS20">
        <f>MATCH(Исходник!B20,Модель!$B$2:$B$108,0)</f>
        <v>18</v>
      </c>
    </row>
    <row r="21" spans="1:45" ht="15" x14ac:dyDescent="0.25">
      <c r="A21" s="8">
        <v>2021</v>
      </c>
      <c r="B21" s="9" t="s">
        <v>97</v>
      </c>
      <c r="C21" s="10">
        <v>2021</v>
      </c>
      <c r="D21" s="9" t="s">
        <v>90</v>
      </c>
      <c r="E21" s="18" t="s">
        <v>50</v>
      </c>
      <c r="F21" s="30">
        <v>34330.672400000003</v>
      </c>
      <c r="G21" s="12">
        <v>36664189</v>
      </c>
      <c r="H21" s="38">
        <v>926.55</v>
      </c>
      <c r="I21" s="38">
        <v>1037.74</v>
      </c>
      <c r="J21" s="38">
        <v>926.55</v>
      </c>
      <c r="K21" s="33">
        <v>0</v>
      </c>
      <c r="L21" s="45">
        <v>-5.9359991365814935E-4</v>
      </c>
      <c r="M21" s="46">
        <v>1696.0487680000001</v>
      </c>
      <c r="N21" s="46"/>
      <c r="O21" s="45">
        <v>-5.9359991365814902E-4</v>
      </c>
      <c r="P21" s="39">
        <v>0</v>
      </c>
      <c r="Q21" s="40">
        <v>-8.5784729378921565E-3</v>
      </c>
      <c r="R21" s="40">
        <v>1.6295967752455676E-2</v>
      </c>
      <c r="S21" s="18">
        <v>3</v>
      </c>
      <c r="T21" s="41" t="s">
        <v>98</v>
      </c>
      <c r="U21" s="10">
        <v>3</v>
      </c>
      <c r="V21" s="18">
        <v>40.74</v>
      </c>
      <c r="W21" s="9" t="s">
        <v>48</v>
      </c>
      <c r="X21" s="9">
        <v>1</v>
      </c>
      <c r="Y21" s="10">
        <v>7</v>
      </c>
      <c r="Z21" s="36">
        <v>27393.637180912116</v>
      </c>
      <c r="AA21" s="36">
        <v>17860.319121303237</v>
      </c>
      <c r="AB21" s="36">
        <v>6008.5071665544401</v>
      </c>
      <c r="AC21" s="36">
        <v>6475.1146221439558</v>
      </c>
      <c r="AD21" s="36">
        <v>68.101349434677473</v>
      </c>
      <c r="AE21" s="36">
        <v>13766.313317884284</v>
      </c>
      <c r="AF21" s="36">
        <v>11993.849423966136</v>
      </c>
      <c r="AG21" s="36">
        <v>9533.3180596088769</v>
      </c>
      <c r="AH21" s="36">
        <v>21016.233190565741</v>
      </c>
      <c r="AI21" s="36">
        <v>8472.78323426936</v>
      </c>
      <c r="AJ21" s="36">
        <v>7015.6581975161344</v>
      </c>
      <c r="AK21" s="36">
        <v>5012.9385901641162</v>
      </c>
      <c r="AL21" s="36">
        <v>2.4860280139115841E-3</v>
      </c>
      <c r="AM21" s="37">
        <v>0.40315422642306914</v>
      </c>
      <c r="AN21" s="37">
        <v>0.33382091518976326</v>
      </c>
      <c r="AO21" s="37">
        <v>1.4155737367923364</v>
      </c>
      <c r="AP21" s="37">
        <v>0.25351310441838476</v>
      </c>
      <c r="AQ21" s="37">
        <v>0.88446801269172082</v>
      </c>
      <c r="AR21" s="26">
        <f t="shared" si="1"/>
        <v>0.92793834815004117</v>
      </c>
      <c r="AS21">
        <f>MATCH(Исходник!B21,Модель!$B$2:$B$108,0)</f>
        <v>19</v>
      </c>
    </row>
    <row r="22" spans="1:45" ht="15" x14ac:dyDescent="0.25">
      <c r="A22" s="8">
        <v>2021</v>
      </c>
      <c r="B22" s="9" t="s">
        <v>99</v>
      </c>
      <c r="C22" s="10">
        <v>2021</v>
      </c>
      <c r="D22" s="9" t="s">
        <v>45</v>
      </c>
      <c r="E22" s="18" t="s">
        <v>46</v>
      </c>
      <c r="F22" s="30">
        <v>30399.996800000001</v>
      </c>
      <c r="G22" s="12">
        <v>3844803400</v>
      </c>
      <c r="H22" s="38">
        <v>8</v>
      </c>
      <c r="I22" s="38">
        <v>10.25</v>
      </c>
      <c r="J22" s="38">
        <v>7.75</v>
      </c>
      <c r="K22" s="33">
        <v>0.1</v>
      </c>
      <c r="L22" s="45">
        <v>-3.7500000000000311E-3</v>
      </c>
      <c r="M22" s="46">
        <v>1543.308931</v>
      </c>
      <c r="N22" s="46"/>
      <c r="O22" s="45">
        <v>-3.7500000000000311E-3</v>
      </c>
      <c r="P22" s="39">
        <v>22672.880000000001</v>
      </c>
      <c r="Q22" s="40">
        <v>-6.2434038771316258E-3</v>
      </c>
      <c r="R22" s="40">
        <v>3.6091207021052174E-2</v>
      </c>
      <c r="S22" s="18">
        <v>3</v>
      </c>
      <c r="T22" s="41" t="s">
        <v>100</v>
      </c>
      <c r="U22" s="10">
        <v>3</v>
      </c>
      <c r="V22" s="18">
        <v>24.5</v>
      </c>
      <c r="W22" s="9" t="s">
        <v>48</v>
      </c>
      <c r="X22" s="9">
        <v>1</v>
      </c>
      <c r="Y22" s="10">
        <v>7</v>
      </c>
      <c r="Z22" s="36">
        <v>89417.642999999996</v>
      </c>
      <c r="AA22" s="36">
        <v>80549.426999999996</v>
      </c>
      <c r="AB22" s="36">
        <v>64881.733</v>
      </c>
      <c r="AC22" s="36">
        <v>16515.875</v>
      </c>
      <c r="AD22" s="36">
        <v>1822.07</v>
      </c>
      <c r="AE22" s="36">
        <v>64205.972999999998</v>
      </c>
      <c r="AF22" s="36">
        <v>60535.775999999998</v>
      </c>
      <c r="AG22" s="36">
        <v>8868.2160000000003</v>
      </c>
      <c r="AH22" s="36">
        <v>68986.649000000005</v>
      </c>
      <c r="AI22" s="36">
        <v>17458.952000000001</v>
      </c>
      <c r="AJ22" s="36">
        <v>-1347.883</v>
      </c>
      <c r="AK22" s="36">
        <v>11839.025600000001</v>
      </c>
      <c r="AL22" s="36">
        <v>2.0377074801669733E-2</v>
      </c>
      <c r="AM22" s="37">
        <v>0.25307725847069334</v>
      </c>
      <c r="AN22" s="37">
        <v>0</v>
      </c>
      <c r="AO22" s="37">
        <v>3.4673201461347736</v>
      </c>
      <c r="AP22" s="37">
        <v>0</v>
      </c>
      <c r="AQ22" s="37">
        <v>0</v>
      </c>
      <c r="AR22" s="26">
        <f t="shared" si="1"/>
        <v>3.9284466006191012</v>
      </c>
      <c r="AS22">
        <f>MATCH(Исходник!B22,Модель!$B$2:$B$108,0)</f>
        <v>20</v>
      </c>
    </row>
    <row r="23" spans="1:45" ht="30" x14ac:dyDescent="0.25">
      <c r="A23" s="8">
        <v>2021</v>
      </c>
      <c r="B23" s="9" t="s">
        <v>101</v>
      </c>
      <c r="C23" s="10">
        <v>2021</v>
      </c>
      <c r="D23" s="9" t="s">
        <v>45</v>
      </c>
      <c r="E23" s="18" t="s">
        <v>102</v>
      </c>
      <c r="F23" s="30">
        <v>134019.44</v>
      </c>
      <c r="G23" s="12">
        <v>181427420</v>
      </c>
      <c r="H23" s="38">
        <v>719.41740000000004</v>
      </c>
      <c r="I23" s="38">
        <v>719.41740000000004</v>
      </c>
      <c r="J23" s="38">
        <v>645.63099999999997</v>
      </c>
      <c r="K23" s="33">
        <v>1</v>
      </c>
      <c r="L23" s="45">
        <v>0</v>
      </c>
      <c r="M23" s="46">
        <v>1899.511015</v>
      </c>
      <c r="N23" s="46"/>
      <c r="O23" s="45">
        <v>0</v>
      </c>
      <c r="P23" s="39"/>
      <c r="Q23" s="40">
        <v>4.8770293975677337E-3</v>
      </c>
      <c r="R23" s="40">
        <v>3.7488668338454545E-2</v>
      </c>
      <c r="S23" s="18">
        <v>5</v>
      </c>
      <c r="T23" s="41" t="s">
        <v>103</v>
      </c>
      <c r="U23" s="10">
        <v>5</v>
      </c>
      <c r="V23" s="18">
        <v>21.34</v>
      </c>
      <c r="W23" s="9" t="s">
        <v>93</v>
      </c>
      <c r="X23" s="9">
        <v>2</v>
      </c>
      <c r="Y23" s="10">
        <v>14</v>
      </c>
      <c r="Z23" s="36">
        <v>82107</v>
      </c>
      <c r="AA23" s="36">
        <v>85716</v>
      </c>
      <c r="AB23" s="36">
        <v>56810</v>
      </c>
      <c r="AC23" s="36">
        <v>81618</v>
      </c>
      <c r="AD23" s="36">
        <v>873</v>
      </c>
      <c r="AE23" s="36">
        <v>25732</v>
      </c>
      <c r="AF23" s="36">
        <v>-643</v>
      </c>
      <c r="AG23" s="36">
        <v>-3609</v>
      </c>
      <c r="AH23" s="36">
        <v>190059</v>
      </c>
      <c r="AI23" s="36">
        <v>36924</v>
      </c>
      <c r="AJ23" s="36">
        <v>17575</v>
      </c>
      <c r="AK23" s="36">
        <v>6167</v>
      </c>
      <c r="AL23" s="36">
        <v>1.0632467390112902E-2</v>
      </c>
      <c r="AM23" s="37">
        <v>0.19427651413508437</v>
      </c>
      <c r="AN23" s="37">
        <v>9.2471285232480438E-2</v>
      </c>
      <c r="AO23" s="37">
        <v>-1.7414147979633844E-2</v>
      </c>
      <c r="AP23" s="37">
        <v>0.25889943800776333</v>
      </c>
      <c r="AQ23" s="37">
        <v>0</v>
      </c>
      <c r="AR23" s="26">
        <f t="shared" si="1"/>
        <v>0.69604744051557255</v>
      </c>
      <c r="AS23">
        <f>MATCH(Исходник!B23,Модель!$B$2:$B$108,0)</f>
        <v>21</v>
      </c>
    </row>
    <row r="24" spans="1:45" ht="30" x14ac:dyDescent="0.25">
      <c r="A24" s="8">
        <v>2020</v>
      </c>
      <c r="B24" s="9" t="s">
        <v>104</v>
      </c>
      <c r="C24" s="10">
        <v>2020</v>
      </c>
      <c r="D24" s="9" t="s">
        <v>90</v>
      </c>
      <c r="E24" s="18" t="s">
        <v>91</v>
      </c>
      <c r="F24" s="30">
        <v>88331.728000000003</v>
      </c>
      <c r="G24" s="12">
        <v>37950000</v>
      </c>
      <c r="H24" s="38">
        <v>2272.8000000000002</v>
      </c>
      <c r="I24" s="38">
        <v>2083.4</v>
      </c>
      <c r="J24" s="38">
        <v>1704.6000000000001</v>
      </c>
      <c r="K24" s="33">
        <v>1.5000000000000002</v>
      </c>
      <c r="L24" s="45">
        <v>0.33933333333333326</v>
      </c>
      <c r="M24" s="46">
        <v>5341.0491819999997</v>
      </c>
      <c r="N24" s="46"/>
      <c r="O24" s="45">
        <v>0.33933333333333326</v>
      </c>
      <c r="P24" s="39"/>
      <c r="Q24" s="40">
        <v>1.6008874127847905E-2</v>
      </c>
      <c r="R24" s="40">
        <v>6.2296114943585001E-2</v>
      </c>
      <c r="S24" s="18">
        <v>0</v>
      </c>
      <c r="T24" s="41" t="s">
        <v>105</v>
      </c>
      <c r="U24" s="10">
        <v>7</v>
      </c>
      <c r="V24" s="18">
        <v>20.6</v>
      </c>
      <c r="W24" s="9" t="s">
        <v>106</v>
      </c>
      <c r="X24" s="9">
        <v>1</v>
      </c>
      <c r="Y24" s="10">
        <v>22</v>
      </c>
      <c r="Z24" s="36">
        <v>38435</v>
      </c>
      <c r="AA24" s="36">
        <v>37618</v>
      </c>
      <c r="AB24" s="36">
        <v>18867</v>
      </c>
      <c r="AC24" s="36">
        <v>29506</v>
      </c>
      <c r="AD24" s="36">
        <v>130</v>
      </c>
      <c r="AE24" s="36">
        <v>13725</v>
      </c>
      <c r="AF24" s="36">
        <v>10722</v>
      </c>
      <c r="AG24" s="36">
        <v>817</v>
      </c>
      <c r="AH24" s="36">
        <v>60104</v>
      </c>
      <c r="AI24" s="36">
        <v>-15832</v>
      </c>
      <c r="AJ24" s="36">
        <v>-19363</v>
      </c>
      <c r="AK24" s="36">
        <v>4768</v>
      </c>
      <c r="AL24" s="36">
        <v>3.3823338103291271E-3</v>
      </c>
      <c r="AM24" s="37">
        <v>0</v>
      </c>
      <c r="AN24" s="37">
        <v>0</v>
      </c>
      <c r="AO24" s="37">
        <v>0</v>
      </c>
      <c r="AP24" s="37">
        <v>0</v>
      </c>
      <c r="AQ24" s="37">
        <v>0</v>
      </c>
      <c r="AR24" s="26">
        <f t="shared" si="1"/>
        <v>0.63942926862333083</v>
      </c>
      <c r="AS24">
        <f>MATCH(Исходник!B24,Модель!$B$2:$B$108,0)</f>
        <v>22</v>
      </c>
    </row>
    <row r="25" spans="1:45" ht="15" x14ac:dyDescent="0.25">
      <c r="A25" s="8">
        <v>2020</v>
      </c>
      <c r="B25" s="9" t="s">
        <v>107</v>
      </c>
      <c r="C25" s="10">
        <v>2020</v>
      </c>
      <c r="D25" s="9" t="s">
        <v>45</v>
      </c>
      <c r="E25" s="18" t="s">
        <v>56</v>
      </c>
      <c r="F25" s="30">
        <v>2904.9402999999998</v>
      </c>
      <c r="G25" s="12">
        <v>3078968</v>
      </c>
      <c r="H25" s="38">
        <v>950</v>
      </c>
      <c r="I25" s="38">
        <v>1100</v>
      </c>
      <c r="J25" s="38">
        <v>950</v>
      </c>
      <c r="K25" s="33">
        <v>0</v>
      </c>
      <c r="L25" s="45">
        <v>3.1578947368420263E-3</v>
      </c>
      <c r="M25" s="46">
        <v>201.74875</v>
      </c>
      <c r="N25" s="46"/>
      <c r="O25" s="45">
        <v>3.1578947368420263E-3</v>
      </c>
      <c r="P25" s="39">
        <v>23.300999999999998</v>
      </c>
      <c r="Q25" s="40">
        <v>5.7843814276061778E-3</v>
      </c>
      <c r="R25" s="40">
        <v>0.1537501949165756</v>
      </c>
      <c r="S25" s="18">
        <v>1</v>
      </c>
      <c r="T25" s="41" t="s">
        <v>108</v>
      </c>
      <c r="U25" s="10">
        <v>1</v>
      </c>
      <c r="V25" s="18">
        <v>5</v>
      </c>
      <c r="W25" s="9" t="s">
        <v>48</v>
      </c>
      <c r="X25" s="9">
        <v>1</v>
      </c>
      <c r="Y25" s="10">
        <v>8</v>
      </c>
      <c r="Z25" s="36">
        <v>78440.148000000001</v>
      </c>
      <c r="AA25" s="36">
        <v>72817.202000000005</v>
      </c>
      <c r="AB25" s="36">
        <v>66067.409</v>
      </c>
      <c r="AC25" s="36">
        <v>54306.182000000001</v>
      </c>
      <c r="AD25" s="36">
        <v>82.119</v>
      </c>
      <c r="AE25" s="36">
        <v>17534.383999999998</v>
      </c>
      <c r="AF25" s="36">
        <v>13522.033999999998</v>
      </c>
      <c r="AG25" s="36">
        <v>5622.9459999999999</v>
      </c>
      <c r="AH25" s="36">
        <v>51145.124000000003</v>
      </c>
      <c r="AI25" s="36">
        <v>7521.348</v>
      </c>
      <c r="AJ25" s="36">
        <v>864.30100000000004</v>
      </c>
      <c r="AK25" s="36">
        <v>271.03300000000002</v>
      </c>
      <c r="AL25" s="36">
        <v>1.0469001154867785E-3</v>
      </c>
      <c r="AM25" s="37">
        <v>0.14705894544316678</v>
      </c>
      <c r="AN25" s="37">
        <v>1.6898991192200452E-2</v>
      </c>
      <c r="AO25" s="37">
        <v>1.7978205502524278</v>
      </c>
      <c r="AP25" s="37">
        <v>1.2179253604684291E-2</v>
      </c>
      <c r="AQ25" s="37">
        <v>0.15894234958191941</v>
      </c>
      <c r="AR25" s="26">
        <f t="shared" si="1"/>
        <v>1.2165725257577489</v>
      </c>
      <c r="AS25">
        <f>MATCH(Исходник!B25,Модель!$B$2:$B$108,0)</f>
        <v>23</v>
      </c>
    </row>
    <row r="26" spans="1:45" ht="30" x14ac:dyDescent="0.25">
      <c r="A26" s="8">
        <v>2020</v>
      </c>
      <c r="B26" s="9" t="s">
        <v>109</v>
      </c>
      <c r="C26" s="10">
        <v>2020</v>
      </c>
      <c r="D26" s="9" t="s">
        <v>45</v>
      </c>
      <c r="E26" s="18" t="s">
        <v>110</v>
      </c>
      <c r="F26" s="30">
        <v>31460.7516</v>
      </c>
      <c r="G26" s="12">
        <v>371178810</v>
      </c>
      <c r="H26" s="38">
        <v>105</v>
      </c>
      <c r="I26" s="38">
        <v>117</v>
      </c>
      <c r="J26" s="38">
        <v>105</v>
      </c>
      <c r="K26" s="33">
        <v>0</v>
      </c>
      <c r="L26" s="45">
        <v>-4.2857142857142816E-2</v>
      </c>
      <c r="M26" s="46">
        <v>10558.149255</v>
      </c>
      <c r="N26" s="46"/>
      <c r="O26" s="45">
        <v>-4.2857142857142816E-2</v>
      </c>
      <c r="P26" s="39">
        <v>905.74599999999998</v>
      </c>
      <c r="Q26" s="40">
        <v>-1.7424878758654505E-2</v>
      </c>
      <c r="R26" s="40">
        <v>9.0909405148309474E-4</v>
      </c>
      <c r="S26" s="18">
        <v>5</v>
      </c>
      <c r="T26" s="41" t="s">
        <v>111</v>
      </c>
      <c r="U26" s="10">
        <v>5</v>
      </c>
      <c r="V26" s="18">
        <v>15.88</v>
      </c>
      <c r="W26" s="9" t="s">
        <v>48</v>
      </c>
      <c r="X26" s="9">
        <v>1</v>
      </c>
      <c r="Y26" s="10">
        <v>47</v>
      </c>
      <c r="Z26" s="36">
        <v>474036.94088106492</v>
      </c>
      <c r="AA26" s="36">
        <v>247576.4114451776</v>
      </c>
      <c r="AB26" s="36">
        <v>45212.612291991056</v>
      </c>
      <c r="AC26" s="36">
        <v>43270.246841081695</v>
      </c>
      <c r="AD26" s="36">
        <v>380.66718358252029</v>
      </c>
      <c r="AE26" s="36">
        <v>226134.07711684832</v>
      </c>
      <c r="AF26" s="36">
        <v>199176.17189701175</v>
      </c>
      <c r="AG26" s="36">
        <v>226460.52943588738</v>
      </c>
      <c r="AH26" s="36">
        <v>107603.06548495975</v>
      </c>
      <c r="AI26" s="36">
        <v>55714.399879129262</v>
      </c>
      <c r="AJ26" s="36">
        <v>14563.572992948777</v>
      </c>
      <c r="AK26" s="36">
        <v>27527.452080487801</v>
      </c>
      <c r="AL26" s="36">
        <v>8.0303274018053597E-4</v>
      </c>
      <c r="AM26" s="37">
        <v>0.51777706915716781</v>
      </c>
      <c r="AN26" s="37">
        <v>0.13534533544478253</v>
      </c>
      <c r="AO26" s="37">
        <v>3.5749496060106285</v>
      </c>
      <c r="AP26" s="37">
        <v>3.1133458293739282E-2</v>
      </c>
      <c r="AQ26" s="37">
        <v>6.5759213753478651E-2</v>
      </c>
      <c r="AR26" s="26">
        <f t="shared" si="1"/>
        <v>1.044889169642204</v>
      </c>
      <c r="AS26">
        <f>MATCH(Исходник!B26,Модель!$B$2:$B$108,0)</f>
        <v>24</v>
      </c>
    </row>
    <row r="27" spans="1:45" ht="15" x14ac:dyDescent="0.25">
      <c r="A27" s="8">
        <v>2020</v>
      </c>
      <c r="B27" s="9" t="s">
        <v>112</v>
      </c>
      <c r="C27" s="10">
        <v>2020</v>
      </c>
      <c r="D27" s="9" t="s">
        <v>113</v>
      </c>
      <c r="E27" s="18" t="s">
        <v>114</v>
      </c>
      <c r="F27" s="30">
        <v>260.8664</v>
      </c>
      <c r="G27" s="12">
        <v>23000000</v>
      </c>
      <c r="H27" s="38">
        <v>10.107872</v>
      </c>
      <c r="I27" s="18">
        <f>0.18*77.6</f>
        <v>13.967999999999998</v>
      </c>
      <c r="J27" s="18">
        <v>10.107872</v>
      </c>
      <c r="K27" s="33">
        <v>0</v>
      </c>
      <c r="L27" s="45">
        <v>9.0909090909090828E-2</v>
      </c>
      <c r="M27" s="46">
        <v>57.574663408384097</v>
      </c>
      <c r="N27" s="46"/>
      <c r="O27" s="45">
        <v>9.0909090909090828E-2</v>
      </c>
      <c r="P27" s="47" t="s">
        <v>115</v>
      </c>
      <c r="Q27" s="40">
        <v>-5.6418078188970044E-3</v>
      </c>
      <c r="R27" s="40">
        <v>-0.19757887131733165</v>
      </c>
      <c r="S27" s="18">
        <v>0</v>
      </c>
      <c r="T27" s="41" t="s">
        <v>115</v>
      </c>
      <c r="U27" s="10">
        <v>0</v>
      </c>
      <c r="V27" s="18">
        <v>15.31</v>
      </c>
      <c r="W27" s="9" t="s">
        <v>116</v>
      </c>
      <c r="X27" s="9">
        <v>1</v>
      </c>
      <c r="Y27" s="10">
        <v>11</v>
      </c>
      <c r="Z27" s="36">
        <v>2442.1731754736848</v>
      </c>
      <c r="AA27" s="36">
        <v>589.36856381052633</v>
      </c>
      <c r="AB27" s="36">
        <v>1257.6468200210529</v>
      </c>
      <c r="AC27" s="36">
        <v>507.69011027368424</v>
      </c>
      <c r="AD27" s="36">
        <v>0</v>
      </c>
      <c r="AE27" s="36">
        <v>442.81300272631586</v>
      </c>
      <c r="AF27" s="36">
        <v>363.33697282105265</v>
      </c>
      <c r="AG27" s="36">
        <v>1852.8046116631581</v>
      </c>
      <c r="AH27" s="36">
        <v>1533.8307434210528</v>
      </c>
      <c r="AI27" s="36">
        <v>529.65142020000008</v>
      </c>
      <c r="AJ27" s="36">
        <v>401.97377595789476</v>
      </c>
      <c r="AK27" s="36">
        <v>132.71175540000002</v>
      </c>
      <c r="AL27" s="36">
        <v>0</v>
      </c>
      <c r="AM27" s="37">
        <v>0.34531282051282053</v>
      </c>
      <c r="AN27" s="37">
        <v>0.26207179487179488</v>
      </c>
      <c r="AO27" s="37">
        <v>0.68599263395509091</v>
      </c>
      <c r="AP27" s="37">
        <v>0.15842664583410834</v>
      </c>
      <c r="AQ27" s="37">
        <v>0.22443960368210245</v>
      </c>
      <c r="AR27" s="26">
        <f t="shared" si="1"/>
        <v>2.4771938522558261</v>
      </c>
      <c r="AS27">
        <f>MATCH(Исходник!B27,Модель!$B$2:$B$108,0)</f>
        <v>25</v>
      </c>
    </row>
    <row r="28" spans="1:45" ht="30" x14ac:dyDescent="0.25">
      <c r="A28" s="8">
        <v>2019</v>
      </c>
      <c r="B28" s="9" t="s">
        <v>117</v>
      </c>
      <c r="C28" s="10">
        <v>2019</v>
      </c>
      <c r="D28" s="9" t="s">
        <v>90</v>
      </c>
      <c r="E28" s="18" t="s">
        <v>91</v>
      </c>
      <c r="F28" s="30">
        <v>14695.985699999999</v>
      </c>
      <c r="G28" s="12">
        <v>18750000</v>
      </c>
      <c r="H28" s="38">
        <v>880.42409999999995</v>
      </c>
      <c r="I28" s="38">
        <v>880.42409999999995</v>
      </c>
      <c r="J28" s="38">
        <v>717.38260000000002</v>
      </c>
      <c r="K28" s="33">
        <v>1</v>
      </c>
      <c r="L28" s="45">
        <v>0.16666666666666674</v>
      </c>
      <c r="M28" s="46" t="s">
        <v>115</v>
      </c>
      <c r="N28" s="46"/>
      <c r="O28" s="45">
        <v>0.16666666666666674</v>
      </c>
      <c r="P28" s="39"/>
      <c r="Q28" s="40">
        <v>-8.0581653736696568E-3</v>
      </c>
      <c r="R28" s="40">
        <v>6.4133951892713759E-2</v>
      </c>
      <c r="S28" s="18">
        <v>0</v>
      </c>
      <c r="T28" s="41" t="s">
        <v>118</v>
      </c>
      <c r="U28" s="10">
        <v>6</v>
      </c>
      <c r="V28" s="18">
        <v>37.5</v>
      </c>
      <c r="W28" s="9" t="s">
        <v>106</v>
      </c>
      <c r="X28" s="9">
        <v>1</v>
      </c>
      <c r="Y28" s="10">
        <v>19</v>
      </c>
      <c r="Z28" s="36">
        <v>13339.281999999999</v>
      </c>
      <c r="AA28" s="36">
        <v>10335.861999999999</v>
      </c>
      <c r="AB28" s="36">
        <v>2966.2139999999999</v>
      </c>
      <c r="AC28" s="36">
        <v>4047.9630000000002</v>
      </c>
      <c r="AD28" s="36">
        <v>3154.605</v>
      </c>
      <c r="AE28" s="36">
        <v>6257.616</v>
      </c>
      <c r="AF28" s="36">
        <v>3576.5059999999999</v>
      </c>
      <c r="AG28" s="36">
        <v>3003.42</v>
      </c>
      <c r="AH28" s="36">
        <v>6117.7730000000001</v>
      </c>
      <c r="AI28" s="36">
        <v>2682.3020000000001</v>
      </c>
      <c r="AJ28" s="36">
        <v>1032.845</v>
      </c>
      <c r="AK28" s="36">
        <v>254.64400000000001</v>
      </c>
      <c r="AL28" s="36">
        <v>0.23648986504670944</v>
      </c>
      <c r="AM28" s="37">
        <v>0.43844418549037373</v>
      </c>
      <c r="AN28" s="37">
        <v>0.16882695712966139</v>
      </c>
      <c r="AO28" s="37">
        <v>1.3333718574567666</v>
      </c>
      <c r="AP28" s="37">
        <v>8.0976076720078657E-2</v>
      </c>
      <c r="AQ28" s="37">
        <v>0.4165816303894514</v>
      </c>
      <c r="AR28" s="26">
        <f t="shared" si="1"/>
        <v>0.73276707321682533</v>
      </c>
      <c r="AS28">
        <f>MATCH(Исходник!B28,Модель!$B$2:$B$108,0)</f>
        <v>26</v>
      </c>
    </row>
    <row r="29" spans="1:45" ht="30" x14ac:dyDescent="0.25">
      <c r="A29" s="8">
        <v>2017</v>
      </c>
      <c r="B29" s="9" t="s">
        <v>119</v>
      </c>
      <c r="C29" s="10">
        <v>2017</v>
      </c>
      <c r="D29" s="9" t="s">
        <v>120</v>
      </c>
      <c r="E29" s="18" t="s">
        <v>121</v>
      </c>
      <c r="F29" s="30">
        <v>87130.35</v>
      </c>
      <c r="G29" s="12">
        <v>107142858</v>
      </c>
      <c r="H29" s="38">
        <v>813.21659999999997</v>
      </c>
      <c r="I29" s="38">
        <v>987.47730000000001</v>
      </c>
      <c r="J29" s="38">
        <v>813.21659999999997</v>
      </c>
      <c r="K29" s="33">
        <v>0</v>
      </c>
      <c r="L29" s="45">
        <v>-1.7857142857142905E-2</v>
      </c>
      <c r="M29" s="46">
        <v>113993.21681784699</v>
      </c>
      <c r="N29" s="46"/>
      <c r="O29" s="45">
        <v>-1.7857142857142905E-2</v>
      </c>
      <c r="P29" s="39">
        <v>28207.703500600001</v>
      </c>
      <c r="Q29" s="40">
        <v>3.9121290471963999E-3</v>
      </c>
      <c r="R29" s="40">
        <v>2.2372940223054139E-2</v>
      </c>
      <c r="S29" s="18">
        <v>6</v>
      </c>
      <c r="T29" s="41" t="s">
        <v>122</v>
      </c>
      <c r="U29" s="10">
        <v>6</v>
      </c>
      <c r="V29" s="18">
        <v>18.75</v>
      </c>
      <c r="W29" s="9" t="s">
        <v>93</v>
      </c>
      <c r="X29" s="9">
        <v>2</v>
      </c>
      <c r="Y29" s="10">
        <v>15</v>
      </c>
      <c r="Z29" s="36">
        <v>1358724.4811693556</v>
      </c>
      <c r="AA29" s="36">
        <v>1212693.3453427425</v>
      </c>
      <c r="AB29" s="36">
        <v>279297.078544355</v>
      </c>
      <c r="AC29" s="36">
        <v>239597.99631048398</v>
      </c>
      <c r="AD29" s="36">
        <v>153716.98508064525</v>
      </c>
      <c r="AE29" s="36">
        <v>949369.46655241982</v>
      </c>
      <c r="AF29" s="36">
        <v>931591.76306048431</v>
      </c>
      <c r="AG29" s="36">
        <v>146031.13582661297</v>
      </c>
      <c r="AH29" s="36">
        <v>653364.02006451646</v>
      </c>
      <c r="AI29" s="36">
        <v>154452.15327016136</v>
      </c>
      <c r="AJ29" s="36">
        <v>90960.35508467746</v>
      </c>
      <c r="AK29" s="36">
        <v>56875.284479838738</v>
      </c>
      <c r="AL29" s="36">
        <v>0.1131333005410723</v>
      </c>
      <c r="AM29" s="37">
        <v>0.23639525368248773</v>
      </c>
      <c r="AN29" s="37">
        <v>0.13921849427168576</v>
      </c>
      <c r="AO29" s="37">
        <v>6.0315880571181308</v>
      </c>
      <c r="AP29" s="37">
        <v>7.8189182202050955E-2</v>
      </c>
      <c r="AQ29" s="37">
        <v>2.2912457912457911</v>
      </c>
      <c r="AR29" s="26">
        <f t="shared" si="1"/>
        <v>1.1656903765690378</v>
      </c>
      <c r="AS29">
        <f>MATCH(Исходник!B29,Модель!$B$2:$B$108,0)</f>
        <v>27</v>
      </c>
    </row>
    <row r="30" spans="1:45" ht="15" x14ac:dyDescent="0.25">
      <c r="A30" s="8">
        <v>2017</v>
      </c>
      <c r="B30" s="9" t="s">
        <v>123</v>
      </c>
      <c r="C30" s="10">
        <v>2017</v>
      </c>
      <c r="D30" s="9" t="s">
        <v>45</v>
      </c>
      <c r="E30" s="18" t="s">
        <v>110</v>
      </c>
      <c r="F30" s="30">
        <v>3454.2359999999999</v>
      </c>
      <c r="G30" s="12">
        <v>26515150</v>
      </c>
      <c r="H30" s="38">
        <v>132</v>
      </c>
      <c r="I30" s="38">
        <v>145</v>
      </c>
      <c r="J30" s="38">
        <v>132</v>
      </c>
      <c r="K30" s="33">
        <v>0</v>
      </c>
      <c r="L30" s="45">
        <v>9.4696969696970168E-3</v>
      </c>
      <c r="M30" s="46">
        <v>0.72258599999999995</v>
      </c>
      <c r="N30" s="46"/>
      <c r="O30" s="45">
        <v>9.4696969696970168E-3</v>
      </c>
      <c r="P30" s="39">
        <v>59.616</v>
      </c>
      <c r="Q30" s="40">
        <v>3.9121290471963999E-3</v>
      </c>
      <c r="R30" s="40">
        <v>2.2372940223054139E-2</v>
      </c>
      <c r="S30" s="18">
        <v>2</v>
      </c>
      <c r="T30" s="41" t="s">
        <v>124</v>
      </c>
      <c r="U30" s="10">
        <v>2</v>
      </c>
      <c r="V30" s="18">
        <v>35.590000000000003</v>
      </c>
      <c r="W30" s="9" t="s">
        <v>48</v>
      </c>
      <c r="X30" s="9">
        <v>1</v>
      </c>
      <c r="Y30" s="10">
        <v>0</v>
      </c>
      <c r="Z30" s="36">
        <v>5587.2839999999997</v>
      </c>
      <c r="AA30" s="36">
        <v>4145.6710000000003</v>
      </c>
      <c r="AB30" s="36">
        <v>1269.6179999999999</v>
      </c>
      <c r="AC30" s="36">
        <v>2421.0839999999998</v>
      </c>
      <c r="AD30" s="36">
        <v>3.27</v>
      </c>
      <c r="AE30" s="36">
        <v>3275.2820000000002</v>
      </c>
      <c r="AF30" s="36">
        <v>3090.2040000000002</v>
      </c>
      <c r="AG30" s="36">
        <v>1441.6130000000001</v>
      </c>
      <c r="AH30" s="36">
        <v>6205.3540000000003</v>
      </c>
      <c r="AI30" s="36">
        <v>0</v>
      </c>
      <c r="AJ30" s="36">
        <v>507.64400000000001</v>
      </c>
      <c r="AK30" s="36">
        <v>185.45000000000002</v>
      </c>
      <c r="AL30" s="36">
        <v>5.8525752404925185E-4</v>
      </c>
      <c r="AM30" s="37">
        <v>0</v>
      </c>
      <c r="AN30" s="37">
        <v>8.1807419850664434E-2</v>
      </c>
      <c r="AO30" s="37">
        <v>0</v>
      </c>
      <c r="AP30" s="37">
        <v>8.9929567478221298E-2</v>
      </c>
      <c r="AQ30" s="37">
        <v>0.39282483589222544</v>
      </c>
      <c r="AR30" s="26">
        <f t="shared" si="1"/>
        <v>0.52440064037431167</v>
      </c>
      <c r="AS30">
        <f>MATCH(Исходник!B30,Модель!$B$2:$B$108,0)</f>
        <v>28</v>
      </c>
    </row>
    <row r="31" spans="1:45" ht="30" x14ac:dyDescent="0.25">
      <c r="A31" s="8">
        <v>2017</v>
      </c>
      <c r="B31" s="9" t="s">
        <v>125</v>
      </c>
      <c r="C31" s="10">
        <v>2017</v>
      </c>
      <c r="D31" s="9" t="s">
        <v>45</v>
      </c>
      <c r="E31" s="18" t="s">
        <v>102</v>
      </c>
      <c r="F31" s="30">
        <v>6096.9098999999997</v>
      </c>
      <c r="G31" s="12">
        <v>42396000</v>
      </c>
      <c r="H31" s="38">
        <v>140</v>
      </c>
      <c r="I31" s="38">
        <v>170</v>
      </c>
      <c r="J31" s="38">
        <v>140</v>
      </c>
      <c r="K31" s="33">
        <v>0</v>
      </c>
      <c r="L31" s="45">
        <v>2.8071428571428525E-2</v>
      </c>
      <c r="M31" s="46">
        <v>3.6750630000000002</v>
      </c>
      <c r="N31" s="46"/>
      <c r="O31" s="45">
        <v>2.8071428571428525E-2</v>
      </c>
      <c r="P31" s="39">
        <v>3914.0410000000002</v>
      </c>
      <c r="Q31" s="40">
        <v>-4.342099549869971E-4</v>
      </c>
      <c r="R31" s="40">
        <v>2.7818384449494138E-2</v>
      </c>
      <c r="S31" s="18">
        <v>4</v>
      </c>
      <c r="T31" s="41" t="s">
        <v>126</v>
      </c>
      <c r="U31" s="10">
        <v>3</v>
      </c>
      <c r="V31" s="18">
        <v>37.5</v>
      </c>
      <c r="W31" s="9" t="s">
        <v>127</v>
      </c>
      <c r="X31" s="9">
        <v>1</v>
      </c>
      <c r="Y31" s="10">
        <v>14</v>
      </c>
      <c r="Z31" s="36">
        <v>13876.358</v>
      </c>
      <c r="AA31" s="36">
        <v>8592.9660000000003</v>
      </c>
      <c r="AB31" s="36">
        <v>11684.638000000001</v>
      </c>
      <c r="AC31" s="36">
        <v>11684.638000000001</v>
      </c>
      <c r="AD31" s="36">
        <v>34.372999999999998</v>
      </c>
      <c r="AE31" s="36">
        <v>7340.7089999999998</v>
      </c>
      <c r="AF31" s="36">
        <v>6988.5190000000002</v>
      </c>
      <c r="AG31" s="36">
        <v>5283.3919999999998</v>
      </c>
      <c r="AH31" s="36">
        <v>9965.4599999999991</v>
      </c>
      <c r="AI31" s="36">
        <v>2539.848</v>
      </c>
      <c r="AJ31" s="36">
        <v>1468.943</v>
      </c>
      <c r="AK31" s="36">
        <v>467.72700000000003</v>
      </c>
      <c r="AL31" s="36">
        <v>2.4770908908519078E-3</v>
      </c>
      <c r="AM31" s="37">
        <v>0.25486510406945589</v>
      </c>
      <c r="AN31" s="37">
        <v>0.14740343145223603</v>
      </c>
      <c r="AO31" s="37">
        <v>2.7515500927614567</v>
      </c>
      <c r="AP31" s="37">
        <v>0.11591491925115741</v>
      </c>
      <c r="AQ31" s="37">
        <v>0.31416949791990978</v>
      </c>
      <c r="AR31" s="26">
        <f t="shared" si="1"/>
        <v>1</v>
      </c>
      <c r="AS31">
        <f>MATCH(Исходник!B31,Модель!$B$2:$B$108,0)</f>
        <v>29</v>
      </c>
    </row>
    <row r="32" spans="1:45" ht="30" x14ac:dyDescent="0.25">
      <c r="A32" s="8">
        <v>2017</v>
      </c>
      <c r="B32" t="s">
        <v>128</v>
      </c>
      <c r="C32" s="10">
        <v>2017</v>
      </c>
      <c r="D32" s="9" t="s">
        <v>45</v>
      </c>
      <c r="E32" s="48" t="s">
        <v>129</v>
      </c>
      <c r="F32" s="30">
        <v>50695.359000000004</v>
      </c>
      <c r="G32" s="49">
        <v>12909429</v>
      </c>
      <c r="H32" s="11">
        <v>3923.5</v>
      </c>
      <c r="I32" s="11">
        <v>4171.4363000000003</v>
      </c>
      <c r="J32" s="11">
        <v>3929.1857500000001</v>
      </c>
      <c r="K32" s="33">
        <v>-1.4470555381608258E-3</v>
      </c>
      <c r="L32" s="50">
        <v>1.2106537530266248E-2</v>
      </c>
      <c r="M32" s="51">
        <v>2.8548033752631583</v>
      </c>
      <c r="N32" s="51"/>
      <c r="O32" s="50">
        <v>1.2106537530266248E-2</v>
      </c>
      <c r="P32" s="51">
        <v>5.3732979591439689E-2</v>
      </c>
      <c r="Q32" s="17">
        <v>-8.1869604048823152E-4</v>
      </c>
      <c r="R32" s="17">
        <v>2.1298217611066761E-2</v>
      </c>
      <c r="S32" s="48">
        <v>4</v>
      </c>
      <c r="T32" s="52" t="s">
        <v>130</v>
      </c>
      <c r="U32" s="10">
        <v>4</v>
      </c>
      <c r="V32" s="18">
        <v>9.67</v>
      </c>
      <c r="W32" t="s">
        <v>131</v>
      </c>
      <c r="X32" s="9">
        <v>2</v>
      </c>
      <c r="Y32" s="10">
        <v>24</v>
      </c>
      <c r="Z32" s="26">
        <v>508934.28499999997</v>
      </c>
      <c r="AA32" s="26">
        <v>546120.80000000005</v>
      </c>
      <c r="AB32" s="26">
        <v>206142.63750000001</v>
      </c>
      <c r="AC32" s="26">
        <v>53713.855000000003</v>
      </c>
      <c r="AD32" s="26">
        <v>0</v>
      </c>
      <c r="AE32" s="26">
        <v>447405.8725</v>
      </c>
      <c r="AF32" s="26">
        <v>297761.58750000002</v>
      </c>
      <c r="AG32" s="36">
        <v>-45629.83</v>
      </c>
      <c r="AH32" s="26">
        <v>220783.70499999999</v>
      </c>
      <c r="AI32" s="26">
        <v>186920.6225</v>
      </c>
      <c r="AJ32" s="26">
        <v>127547.95</v>
      </c>
      <c r="AK32" s="26">
        <v>76.349125000000001</v>
      </c>
      <c r="AL32" s="36">
        <v>0</v>
      </c>
      <c r="AM32" s="44">
        <v>0.84662327095199352</v>
      </c>
      <c r="AN32" s="44">
        <v>0.57770545158665587</v>
      </c>
      <c r="AO32" s="53">
        <v>0.04</v>
      </c>
      <c r="AP32" s="53">
        <v>0.05</v>
      </c>
      <c r="AQ32" s="53">
        <v>1.12E-2</v>
      </c>
      <c r="AR32" s="26">
        <f t="shared" si="1"/>
        <v>3.8377926421404682</v>
      </c>
      <c r="AS32">
        <f>MATCH(Исходник!B32,Модель!$B$2:$B$108,0)</f>
        <v>30</v>
      </c>
    </row>
    <row r="33" spans="1:45" ht="15" x14ac:dyDescent="0.25">
      <c r="A33" s="8">
        <v>2017</v>
      </c>
      <c r="B33" s="9" t="s">
        <v>132</v>
      </c>
      <c r="C33" s="10">
        <v>2017</v>
      </c>
      <c r="D33" s="9" t="s">
        <v>45</v>
      </c>
      <c r="E33" s="18" t="s">
        <v>102</v>
      </c>
      <c r="F33" s="30">
        <v>20939.439599999998</v>
      </c>
      <c r="G33" s="12">
        <v>225527002</v>
      </c>
      <c r="H33" s="38">
        <v>85</v>
      </c>
      <c r="I33" s="38">
        <v>105</v>
      </c>
      <c r="J33" s="38">
        <v>85</v>
      </c>
      <c r="K33" s="33">
        <v>0</v>
      </c>
      <c r="L33" s="45">
        <v>0</v>
      </c>
      <c r="M33" s="46">
        <v>2976.631629</v>
      </c>
      <c r="N33" s="46"/>
      <c r="O33" s="45">
        <v>0</v>
      </c>
      <c r="P33" s="39">
        <v>9060.3019999999997</v>
      </c>
      <c r="Q33" s="40">
        <v>-1.3142416744412411E-2</v>
      </c>
      <c r="R33" s="40">
        <v>-0.11033590683126238</v>
      </c>
      <c r="S33" s="18">
        <v>3</v>
      </c>
      <c r="T33" s="41" t="s">
        <v>133</v>
      </c>
      <c r="U33" s="10">
        <v>3</v>
      </c>
      <c r="V33" s="18">
        <v>30.52</v>
      </c>
      <c r="W33" s="9" t="s">
        <v>48</v>
      </c>
      <c r="X33" s="9">
        <v>1</v>
      </c>
      <c r="Y33" s="10">
        <v>25</v>
      </c>
      <c r="Z33" s="36">
        <v>39194</v>
      </c>
      <c r="AA33" s="36">
        <v>39799</v>
      </c>
      <c r="AB33" s="36">
        <v>23842</v>
      </c>
      <c r="AC33" s="36">
        <v>33271</v>
      </c>
      <c r="AD33" s="36">
        <v>1299.6279999999999</v>
      </c>
      <c r="AE33" s="36">
        <v>18359</v>
      </c>
      <c r="AF33" s="36">
        <v>16425</v>
      </c>
      <c r="AG33" s="36">
        <v>395</v>
      </c>
      <c r="AH33" s="36">
        <v>60544</v>
      </c>
      <c r="AI33" s="36">
        <v>5123</v>
      </c>
      <c r="AJ33" s="36">
        <v>976</v>
      </c>
      <c r="AK33" s="36">
        <v>5307.8540000000003</v>
      </c>
      <c r="AL33" s="36">
        <v>3.3158850844517015E-2</v>
      </c>
      <c r="AM33" s="37">
        <v>8.4616146934460887E-2</v>
      </c>
      <c r="AN33" s="37">
        <v>1.6120507399577166E-2</v>
      </c>
      <c r="AO33" s="37">
        <v>3.2061292211594767</v>
      </c>
      <c r="AP33" s="37">
        <v>2.9559186516649755E-2</v>
      </c>
      <c r="AQ33" s="37">
        <v>0.64189411377836236</v>
      </c>
      <c r="AR33" s="26">
        <f t="shared" si="1"/>
        <v>0.71660004207868711</v>
      </c>
      <c r="AS33">
        <f>MATCH(Исходник!B33,Модель!$B$2:$B$108,0)</f>
        <v>31</v>
      </c>
    </row>
    <row r="34" spans="1:45" ht="15" x14ac:dyDescent="0.25">
      <c r="A34" s="8">
        <v>2016</v>
      </c>
      <c r="B34" s="9" t="s">
        <v>134</v>
      </c>
      <c r="C34" s="10">
        <v>2016</v>
      </c>
      <c r="D34" s="9" t="s">
        <v>45</v>
      </c>
      <c r="E34" s="18" t="s">
        <v>135</v>
      </c>
      <c r="F34" s="30">
        <v>31646.0298</v>
      </c>
      <c r="G34" s="12">
        <v>58822000</v>
      </c>
      <c r="H34" s="38">
        <v>550</v>
      </c>
      <c r="I34" s="38">
        <v>600</v>
      </c>
      <c r="J34" s="38">
        <v>540</v>
      </c>
      <c r="K34" s="33">
        <v>0.16666666666666666</v>
      </c>
      <c r="L34" s="45">
        <v>1.4545454545454639E-2</v>
      </c>
      <c r="M34" s="46">
        <v>17.609487999999999</v>
      </c>
      <c r="N34" s="46"/>
      <c r="O34" s="45">
        <v>1.4545454545454639E-2</v>
      </c>
      <c r="P34" s="39">
        <v>477.38099999999997</v>
      </c>
      <c r="Q34" s="40">
        <v>-2.2919965572498757E-3</v>
      </c>
      <c r="R34" s="40">
        <v>3.5611539869803366E-2</v>
      </c>
      <c r="S34" s="18">
        <v>2</v>
      </c>
      <c r="T34" s="41" t="s">
        <v>136</v>
      </c>
      <c r="U34" s="10">
        <v>2</v>
      </c>
      <c r="V34" s="18">
        <v>20</v>
      </c>
      <c r="W34" s="9" t="s">
        <v>48</v>
      </c>
      <c r="X34" s="9">
        <v>1</v>
      </c>
      <c r="Y34" s="10">
        <v>14</v>
      </c>
      <c r="Z34" s="36">
        <v>213862</v>
      </c>
      <c r="AA34" s="36">
        <v>191230</v>
      </c>
      <c r="AB34" s="36">
        <v>15718</v>
      </c>
      <c r="AC34" s="36">
        <v>50258</v>
      </c>
      <c r="AD34" s="36">
        <v>0</v>
      </c>
      <c r="AE34" s="36">
        <v>178937</v>
      </c>
      <c r="AF34" s="36">
        <v>176994</v>
      </c>
      <c r="AG34" s="36">
        <v>-22632</v>
      </c>
      <c r="AH34" s="36">
        <v>104790</v>
      </c>
      <c r="AI34" s="36">
        <v>0</v>
      </c>
      <c r="AJ34" s="36">
        <v>-25911</v>
      </c>
      <c r="AK34" s="36">
        <v>10077</v>
      </c>
      <c r="AL34" s="36">
        <v>0</v>
      </c>
      <c r="AM34" s="37">
        <v>0</v>
      </c>
      <c r="AN34" s="37">
        <v>0</v>
      </c>
      <c r="AO34" s="37">
        <v>0</v>
      </c>
      <c r="AP34" s="37">
        <v>0</v>
      </c>
      <c r="AQ34" s="37">
        <v>0</v>
      </c>
      <c r="AR34" s="26">
        <f t="shared" si="1"/>
        <v>0.312746229456007</v>
      </c>
      <c r="AS34">
        <f>MATCH(Исходник!B34,Модель!$B$2:$B$108,0)</f>
        <v>32</v>
      </c>
    </row>
    <row r="35" spans="1:45" ht="15" x14ac:dyDescent="0.25">
      <c r="A35" s="8">
        <v>2015</v>
      </c>
      <c r="B35" s="9" t="s">
        <v>137</v>
      </c>
      <c r="C35" s="10">
        <v>2015</v>
      </c>
      <c r="D35" s="9" t="s">
        <v>45</v>
      </c>
      <c r="E35" s="18" t="s">
        <v>110</v>
      </c>
      <c r="F35" s="30">
        <v>3667.6000000000004</v>
      </c>
      <c r="G35" s="12">
        <v>7291000</v>
      </c>
      <c r="H35" s="38">
        <v>512</v>
      </c>
      <c r="I35" s="38">
        <v>518</v>
      </c>
      <c r="J35" s="38">
        <v>444</v>
      </c>
      <c r="K35" s="33">
        <v>0.91891891891891897</v>
      </c>
      <c r="L35" s="45">
        <v>-0.103515625</v>
      </c>
      <c r="M35" s="46" t="s">
        <v>115</v>
      </c>
      <c r="N35" s="46"/>
      <c r="O35" s="45">
        <v>-0.103515625</v>
      </c>
      <c r="P35" s="39">
        <v>2.3969999999999998</v>
      </c>
      <c r="Q35" s="40">
        <v>1.9757710540176721E-2</v>
      </c>
      <c r="R35" s="40">
        <v>-1.6345759934453086E-2</v>
      </c>
      <c r="S35" s="18">
        <v>1</v>
      </c>
      <c r="T35" s="41" t="s">
        <v>108</v>
      </c>
      <c r="U35" s="10">
        <v>1</v>
      </c>
      <c r="V35" s="18">
        <v>10.82</v>
      </c>
      <c r="W35" s="9" t="s">
        <v>48</v>
      </c>
      <c r="X35" s="9">
        <v>1</v>
      </c>
      <c r="Y35" s="10">
        <v>19</v>
      </c>
      <c r="Z35" s="36">
        <v>3192.3389999999999</v>
      </c>
      <c r="AA35" s="36">
        <v>884.60199999999998</v>
      </c>
      <c r="AB35" s="36">
        <v>1674.4580000000001</v>
      </c>
      <c r="AC35" s="36">
        <v>802.65300000000002</v>
      </c>
      <c r="AD35" s="36">
        <v>0</v>
      </c>
      <c r="AE35" s="36">
        <v>0</v>
      </c>
      <c r="AF35" s="36">
        <v>0</v>
      </c>
      <c r="AG35" s="36">
        <v>2307.7370000000001</v>
      </c>
      <c r="AH35" s="36">
        <v>3090.2730000000001</v>
      </c>
      <c r="AI35" s="36">
        <v>1712.712</v>
      </c>
      <c r="AJ35" s="36">
        <v>1319.431</v>
      </c>
      <c r="AK35" s="36">
        <v>295.75200000000001</v>
      </c>
      <c r="AL35" s="36">
        <v>0</v>
      </c>
      <c r="AM35" s="37">
        <v>0.55422676248991587</v>
      </c>
      <c r="AN35" s="37">
        <v>0.42696260168599992</v>
      </c>
      <c r="AO35" s="37">
        <v>0</v>
      </c>
      <c r="AP35" s="37">
        <v>0</v>
      </c>
      <c r="AQ35" s="37">
        <v>0</v>
      </c>
      <c r="AR35" s="26">
        <f t="shared" si="1"/>
        <v>2.0861542908330248</v>
      </c>
      <c r="AS35">
        <f>MATCH(Исходник!B35,Модель!$B$2:$B$108,0)</f>
        <v>33</v>
      </c>
    </row>
    <row r="36" spans="1:45" ht="15" x14ac:dyDescent="0.25">
      <c r="A36" s="8">
        <v>2015</v>
      </c>
      <c r="B36" s="9" t="s">
        <v>138</v>
      </c>
      <c r="C36" s="10">
        <v>2015</v>
      </c>
      <c r="D36" s="9" t="s">
        <v>45</v>
      </c>
      <c r="E36" s="18" t="s">
        <v>110</v>
      </c>
      <c r="F36" s="30">
        <v>6272.7174000000005</v>
      </c>
      <c r="G36" s="12">
        <v>12896570</v>
      </c>
      <c r="H36" s="38">
        <v>700</v>
      </c>
      <c r="I36" s="38">
        <v>750</v>
      </c>
      <c r="J36" s="38">
        <v>650</v>
      </c>
      <c r="K36" s="33">
        <v>0.5</v>
      </c>
      <c r="L36" s="45">
        <v>1.4285714285714235E-2</v>
      </c>
      <c r="M36" s="46">
        <v>79.918312999999998</v>
      </c>
      <c r="N36" s="46"/>
      <c r="O36" s="45">
        <v>1.4285714285714235E-2</v>
      </c>
      <c r="P36" s="39">
        <v>140.941</v>
      </c>
      <c r="Q36" s="40">
        <v>1.0383066325950541E-2</v>
      </c>
      <c r="R36" s="40">
        <v>-3.2346094231563316E-2</v>
      </c>
      <c r="S36" s="18">
        <v>1</v>
      </c>
      <c r="T36" s="41" t="s">
        <v>108</v>
      </c>
      <c r="U36" s="10">
        <v>1</v>
      </c>
      <c r="V36" s="18">
        <v>12.22</v>
      </c>
      <c r="W36" s="9" t="s">
        <v>48</v>
      </c>
      <c r="X36" s="9">
        <v>1</v>
      </c>
      <c r="Y36" s="10">
        <v>3</v>
      </c>
      <c r="Z36" s="43">
        <v>106474.175</v>
      </c>
      <c r="AA36" s="43">
        <v>98913.679000000004</v>
      </c>
      <c r="AB36" s="43">
        <v>28854.704000000002</v>
      </c>
      <c r="AC36" s="43">
        <v>25325.234</v>
      </c>
      <c r="AD36" s="43">
        <v>2731.2489999999998</v>
      </c>
      <c r="AE36" s="43">
        <v>89959.547999999995</v>
      </c>
      <c r="AF36" s="43">
        <v>87572.952999999994</v>
      </c>
      <c r="AG36" s="43">
        <v>7559.8280000000004</v>
      </c>
      <c r="AH36" s="43">
        <v>17057.489000000001</v>
      </c>
      <c r="AI36" s="43">
        <v>9995.6820000000007</v>
      </c>
      <c r="AJ36" s="43">
        <v>557.37300000000005</v>
      </c>
      <c r="AK36" s="36">
        <v>15880.12</v>
      </c>
      <c r="AL36" s="36">
        <v>2.5651750764915528E-2</v>
      </c>
      <c r="AM36" s="44">
        <v>0.58599961576994131</v>
      </c>
      <c r="AN36" s="44">
        <v>3.2676145943872512E-2</v>
      </c>
      <c r="AO36" s="37">
        <v>8.7610783336244573</v>
      </c>
      <c r="AP36" s="44">
        <v>5.2348186778624958E-3</v>
      </c>
      <c r="AQ36" s="44">
        <v>7.3728264717133785E-2</v>
      </c>
      <c r="AR36" s="26">
        <f t="shared" si="1"/>
        <v>1.1393657409049014</v>
      </c>
      <c r="AS36">
        <f>MATCH(Исходник!B36,Модель!$B$2:$B$108,0)</f>
        <v>34</v>
      </c>
    </row>
    <row r="37" spans="1:45" ht="15" x14ac:dyDescent="0.25">
      <c r="A37" s="8">
        <v>2014</v>
      </c>
      <c r="B37" s="9" t="s">
        <v>139</v>
      </c>
      <c r="C37" s="10">
        <v>2014</v>
      </c>
      <c r="D37" s="9" t="s">
        <v>45</v>
      </c>
      <c r="E37" s="18" t="s">
        <v>102</v>
      </c>
      <c r="F37" s="30">
        <v>31071.8662</v>
      </c>
      <c r="G37" s="12">
        <v>19485419</v>
      </c>
      <c r="H37" s="38">
        <v>360.50099999999998</v>
      </c>
      <c r="I37" s="38">
        <v>414.57614999999998</v>
      </c>
      <c r="J37" s="38">
        <v>342.47595000000001</v>
      </c>
      <c r="K37" s="33">
        <v>0.24999999999999961</v>
      </c>
      <c r="L37" s="45">
        <v>-1.5000000000000013E-2</v>
      </c>
      <c r="M37" s="46">
        <v>60.863565999999999</v>
      </c>
      <c r="N37" s="46"/>
      <c r="O37" s="45">
        <v>-1.5000000000000013E-2</v>
      </c>
      <c r="P37" s="39"/>
      <c r="Q37" s="40">
        <v>-2.7541934147856661E-3</v>
      </c>
      <c r="R37" s="40">
        <v>-5.4814661420583999E-2</v>
      </c>
      <c r="S37" s="18">
        <v>3</v>
      </c>
      <c r="T37" s="41" t="s">
        <v>92</v>
      </c>
      <c r="U37" s="10">
        <v>3</v>
      </c>
      <c r="V37" s="18">
        <v>22.61</v>
      </c>
      <c r="W37" s="9" t="s">
        <v>140</v>
      </c>
      <c r="X37" s="9">
        <v>2</v>
      </c>
      <c r="Y37" s="10">
        <v>21</v>
      </c>
      <c r="Z37" s="36">
        <v>88108</v>
      </c>
      <c r="AA37" s="36">
        <v>83371</v>
      </c>
      <c r="AB37" s="36">
        <v>30972</v>
      </c>
      <c r="AC37" s="36">
        <v>41461</v>
      </c>
      <c r="AD37" s="36">
        <v>623.15800000000002</v>
      </c>
      <c r="AE37" s="36">
        <v>46043</v>
      </c>
      <c r="AF37" s="36">
        <v>39831</v>
      </c>
      <c r="AG37" s="36">
        <v>4737</v>
      </c>
      <c r="AH37" s="36">
        <v>144266</v>
      </c>
      <c r="AI37" s="36">
        <v>16045</v>
      </c>
      <c r="AJ37" s="36">
        <v>7092</v>
      </c>
      <c r="AK37" s="36">
        <v>22770.705999999998</v>
      </c>
      <c r="AL37" s="36">
        <v>7.0726608253507059E-3</v>
      </c>
      <c r="AM37" s="37">
        <v>0.11121816644254363</v>
      </c>
      <c r="AN37" s="37">
        <v>4.9159192048022403E-2</v>
      </c>
      <c r="AO37" s="37">
        <v>2.4824555936428796</v>
      </c>
      <c r="AP37" s="37">
        <v>9.9084794327588321E-2</v>
      </c>
      <c r="AQ37" s="37">
        <v>3.7586842061329833</v>
      </c>
      <c r="AR37" s="26">
        <f t="shared" si="1"/>
        <v>0.74701526735968737</v>
      </c>
      <c r="AS37">
        <f>MATCH(Исходник!B37,Модель!$B$2:$B$108,0)</f>
        <v>35</v>
      </c>
    </row>
    <row r="38" spans="1:45" ht="30" x14ac:dyDescent="0.25">
      <c r="A38" s="8">
        <v>2013</v>
      </c>
      <c r="B38" t="s">
        <v>141</v>
      </c>
      <c r="C38" s="10">
        <v>2013</v>
      </c>
      <c r="D38" t="s">
        <v>45</v>
      </c>
      <c r="E38" s="48" t="s">
        <v>142</v>
      </c>
      <c r="F38" s="30">
        <v>41355.47</v>
      </c>
      <c r="G38" s="12">
        <v>1181332741</v>
      </c>
      <c r="H38">
        <v>35</v>
      </c>
      <c r="I38" s="26">
        <v>35.299999999999997</v>
      </c>
      <c r="J38" s="26">
        <v>33.25</v>
      </c>
      <c r="K38" s="33">
        <v>0.85365853658536706</v>
      </c>
      <c r="L38" s="16">
        <v>7.1428571428571175E-3</v>
      </c>
      <c r="M38" s="26">
        <v>1327.9</v>
      </c>
      <c r="O38" s="16">
        <v>7.1428571428571175E-3</v>
      </c>
      <c r="P38" s="39">
        <v>45.592393000000001</v>
      </c>
      <c r="Q38" s="40">
        <v>-3.0735339704650588E-3</v>
      </c>
      <c r="R38" s="17">
        <v>-2.3876785466189432E-2</v>
      </c>
      <c r="S38" s="48">
        <v>4</v>
      </c>
      <c r="T38" s="52" t="s">
        <v>143</v>
      </c>
      <c r="U38" s="10">
        <v>4</v>
      </c>
      <c r="V38" s="48">
        <v>15.72</v>
      </c>
      <c r="W38" t="s">
        <v>144</v>
      </c>
      <c r="X38" s="9">
        <v>1</v>
      </c>
      <c r="Y38" s="10">
        <v>21</v>
      </c>
      <c r="Z38" s="36">
        <v>304709</v>
      </c>
      <c r="AA38" s="36">
        <v>166860</v>
      </c>
      <c r="AB38" s="36">
        <v>73691</v>
      </c>
      <c r="AC38" s="36">
        <v>57230</v>
      </c>
      <c r="AD38" s="36">
        <v>0</v>
      </c>
      <c r="AE38" s="36">
        <v>122701</v>
      </c>
      <c r="AF38" s="36">
        <v>116459</v>
      </c>
      <c r="AG38" s="36">
        <v>137849</v>
      </c>
      <c r="AH38" s="36">
        <v>150880</v>
      </c>
      <c r="AI38" s="36">
        <v>60982</v>
      </c>
      <c r="AJ38" s="36">
        <v>33634</v>
      </c>
      <c r="AK38" s="36">
        <v>30050</v>
      </c>
      <c r="AL38" s="36">
        <v>0</v>
      </c>
      <c r="AM38" s="37">
        <v>0.40417550371155886</v>
      </c>
      <c r="AN38" s="37">
        <v>0.22291887592788973</v>
      </c>
      <c r="AO38" s="37">
        <v>1.9097274605621331</v>
      </c>
      <c r="AP38" s="37">
        <v>0.12327529491105479</v>
      </c>
      <c r="AQ38" s="37">
        <v>0.26805766977756168</v>
      </c>
      <c r="AR38" s="26">
        <f t="shared" si="1"/>
        <v>1.2876288659793815</v>
      </c>
      <c r="AS38">
        <f>MATCH(Исходник!B38,Модель!$B$2:$B$108,0)</f>
        <v>36</v>
      </c>
    </row>
    <row r="39" spans="1:45" ht="15" x14ac:dyDescent="0.25">
      <c r="A39" s="8">
        <v>2013</v>
      </c>
      <c r="B39" s="9" t="s">
        <v>145</v>
      </c>
      <c r="C39" s="10">
        <v>2013</v>
      </c>
      <c r="D39" s="9" t="s">
        <v>90</v>
      </c>
      <c r="E39" s="18" t="s">
        <v>91</v>
      </c>
      <c r="F39" s="30">
        <v>7085.4889999999996</v>
      </c>
      <c r="G39" s="12">
        <v>13473808</v>
      </c>
      <c r="H39" s="38">
        <v>527.73609999999996</v>
      </c>
      <c r="I39" s="38">
        <v>558.77940000000001</v>
      </c>
      <c r="J39" s="38">
        <v>496.69279999999998</v>
      </c>
      <c r="K39" s="33">
        <v>0.49999999999999956</v>
      </c>
      <c r="L39" s="45">
        <v>4.7058823529411153E-3</v>
      </c>
      <c r="M39" s="46">
        <v>244.900136</v>
      </c>
      <c r="N39" s="46"/>
      <c r="O39" s="45">
        <v>4.7058823529411153E-3</v>
      </c>
      <c r="P39" s="39">
        <v>13247.800087499998</v>
      </c>
      <c r="Q39" s="40">
        <v>-6.7249689727827411E-3</v>
      </c>
      <c r="R39" s="40">
        <v>-3.4981383669581811E-2</v>
      </c>
      <c r="S39" s="18">
        <v>0</v>
      </c>
      <c r="T39" s="41" t="s">
        <v>146</v>
      </c>
      <c r="U39" s="10">
        <v>2</v>
      </c>
      <c r="V39" s="18">
        <v>25.91</v>
      </c>
      <c r="W39" s="9" t="s">
        <v>106</v>
      </c>
      <c r="X39" s="9">
        <v>1</v>
      </c>
      <c r="Y39" s="10">
        <v>6</v>
      </c>
      <c r="Z39" s="36">
        <v>18709</v>
      </c>
      <c r="AA39" s="36">
        <v>16210</v>
      </c>
      <c r="AB39" s="36">
        <v>15607</v>
      </c>
      <c r="AC39" s="36">
        <v>16083.499</v>
      </c>
      <c r="AD39" s="36">
        <v>1975.93</v>
      </c>
      <c r="AE39" s="36">
        <v>64.867000000000004</v>
      </c>
      <c r="AF39" s="36">
        <v>-9878.2929999999997</v>
      </c>
      <c r="AG39" s="36">
        <v>2499</v>
      </c>
      <c r="AH39" s="36">
        <v>8911</v>
      </c>
      <c r="AI39" s="36">
        <v>4169</v>
      </c>
      <c r="AJ39" s="36">
        <v>808</v>
      </c>
      <c r="AK39" s="36">
        <v>77.816000000000003</v>
      </c>
      <c r="AL39" s="36">
        <v>0.10561387567480891</v>
      </c>
      <c r="AM39" s="37">
        <v>0.46784872629334529</v>
      </c>
      <c r="AN39" s="37">
        <v>9.0674447312310627E-2</v>
      </c>
      <c r="AO39" s="37">
        <v>-2.3694634204845286</v>
      </c>
      <c r="AP39" s="37">
        <v>4.7508452153461708E-2</v>
      </c>
      <c r="AQ39" s="37">
        <v>0.33292130201895342</v>
      </c>
      <c r="AR39" s="26">
        <f t="shared" si="1"/>
        <v>0.97037342434006435</v>
      </c>
      <c r="AS39">
        <f>MATCH(Исходник!B39,Модель!$B$2:$B$108,0)</f>
        <v>37</v>
      </c>
    </row>
    <row r="40" spans="1:45" ht="15" x14ac:dyDescent="0.25">
      <c r="A40" s="8">
        <v>2012</v>
      </c>
      <c r="B40" s="9" t="s">
        <v>147</v>
      </c>
      <c r="C40" s="10">
        <v>2012</v>
      </c>
      <c r="D40" s="9" t="s">
        <v>45</v>
      </c>
      <c r="E40" s="18" t="s">
        <v>148</v>
      </c>
      <c r="F40" s="30">
        <v>94.633499999999998</v>
      </c>
      <c r="G40" s="12">
        <v>10000000</v>
      </c>
      <c r="H40" s="38">
        <v>9.8000000000000007</v>
      </c>
      <c r="I40" s="38">
        <v>12.5</v>
      </c>
      <c r="J40" s="38">
        <v>11</v>
      </c>
      <c r="K40" s="33">
        <v>-0.10909090909090903</v>
      </c>
      <c r="L40" s="45">
        <v>0.12244897959183665</v>
      </c>
      <c r="M40" s="46">
        <v>334.60878600000001</v>
      </c>
      <c r="N40" s="46"/>
      <c r="O40" s="45">
        <v>0.12244897959183665</v>
      </c>
      <c r="P40" s="39">
        <v>9667.2090000000007</v>
      </c>
      <c r="Q40" s="40">
        <v>3.4475036137708859E-3</v>
      </c>
      <c r="R40" s="40">
        <v>4.7837505853291162E-2</v>
      </c>
      <c r="S40" s="18">
        <v>0</v>
      </c>
      <c r="T40" s="41" t="s">
        <v>70</v>
      </c>
      <c r="U40" s="10">
        <v>1</v>
      </c>
      <c r="V40" s="18">
        <v>10</v>
      </c>
      <c r="W40" s="9" t="s">
        <v>48</v>
      </c>
      <c r="X40" s="9">
        <v>1</v>
      </c>
      <c r="Y40" s="10">
        <v>0</v>
      </c>
      <c r="Z40" s="36">
        <v>231.50299999999999</v>
      </c>
      <c r="AA40" s="36">
        <v>48.67</v>
      </c>
      <c r="AB40" s="36">
        <v>140.81299999999999</v>
      </c>
      <c r="AC40" s="36">
        <v>48.649000000000001</v>
      </c>
      <c r="AD40" s="36">
        <v>0.115</v>
      </c>
      <c r="AE40" s="36">
        <v>0</v>
      </c>
      <c r="AF40" s="36">
        <v>-37.692999999999998</v>
      </c>
      <c r="AG40" s="36">
        <v>182.833</v>
      </c>
      <c r="AH40" s="36">
        <v>107.184</v>
      </c>
      <c r="AI40" s="36">
        <v>0</v>
      </c>
      <c r="AJ40" s="36">
        <v>26.994</v>
      </c>
      <c r="AK40" s="36">
        <v>12.207000000000001</v>
      </c>
      <c r="AL40" s="36">
        <v>4.9675382176472881E-4</v>
      </c>
      <c r="AM40" s="37">
        <v>0</v>
      </c>
      <c r="AN40" s="37">
        <v>0.25184729064039407</v>
      </c>
      <c r="AO40" s="37">
        <v>0</v>
      </c>
      <c r="AP40" s="37">
        <v>9.9330108680253396E-2</v>
      </c>
      <c r="AQ40" s="37">
        <v>0.14129581357369431</v>
      </c>
      <c r="AR40" s="26">
        <f t="shared" si="1"/>
        <v>2.8944685399494334</v>
      </c>
      <c r="AS40">
        <f>MATCH(Исходник!B40,Модель!$B$2:$B$108,0)</f>
        <v>38</v>
      </c>
    </row>
    <row r="41" spans="1:45" ht="15" x14ac:dyDescent="0.25">
      <c r="A41" s="8">
        <v>2012</v>
      </c>
      <c r="B41" s="9" t="s">
        <v>149</v>
      </c>
      <c r="C41" s="10">
        <v>2012</v>
      </c>
      <c r="D41" s="9" t="s">
        <v>45</v>
      </c>
      <c r="E41" s="18" t="s">
        <v>150</v>
      </c>
      <c r="F41" s="30">
        <v>51515.415000000001</v>
      </c>
      <c r="G41" s="12">
        <v>91479500</v>
      </c>
      <c r="H41" s="38">
        <v>618.81999999999994</v>
      </c>
      <c r="I41" s="38">
        <v>773.52499999999998</v>
      </c>
      <c r="J41" s="38">
        <v>618.81999999999994</v>
      </c>
      <c r="K41" s="33">
        <v>0</v>
      </c>
      <c r="L41" s="45">
        <v>-1.9999999999999907E-2</v>
      </c>
      <c r="M41" s="46" t="s">
        <v>115</v>
      </c>
      <c r="N41" s="46"/>
      <c r="O41" s="45">
        <v>-1.9999999999999907E-2</v>
      </c>
      <c r="P41" s="39">
        <v>388.84356559999998</v>
      </c>
      <c r="Q41" s="40">
        <v>-9.9865937327491272E-3</v>
      </c>
      <c r="R41" s="40">
        <v>5.7245478073225664E-2</v>
      </c>
      <c r="S41" s="18">
        <v>2</v>
      </c>
      <c r="T41" s="41" t="s">
        <v>151</v>
      </c>
      <c r="U41" s="10">
        <v>2</v>
      </c>
      <c r="V41" s="18">
        <v>18.22</v>
      </c>
      <c r="W41" s="9" t="s">
        <v>140</v>
      </c>
      <c r="X41" s="9">
        <v>2</v>
      </c>
      <c r="Y41" s="10">
        <v>19</v>
      </c>
      <c r="Z41" s="36">
        <v>383468</v>
      </c>
      <c r="AA41" s="36">
        <v>106836</v>
      </c>
      <c r="AB41" s="36">
        <v>120293</v>
      </c>
      <c r="AC41" s="36">
        <v>49973</v>
      </c>
      <c r="AD41" s="36">
        <v>19672</v>
      </c>
      <c r="AE41" s="36">
        <v>43709</v>
      </c>
      <c r="AF41" s="36">
        <v>-45689</v>
      </c>
      <c r="AG41" s="36">
        <v>276632</v>
      </c>
      <c r="AH41" s="36">
        <v>242608</v>
      </c>
      <c r="AI41" s="36">
        <v>100822</v>
      </c>
      <c r="AJ41" s="36">
        <v>43585</v>
      </c>
      <c r="AK41" s="36">
        <v>73332</v>
      </c>
      <c r="AL41" s="36">
        <v>5.1300238872604757E-2</v>
      </c>
      <c r="AM41" s="37">
        <v>0.41557574358636151</v>
      </c>
      <c r="AN41" s="37">
        <v>0.17965194882279231</v>
      </c>
      <c r="AO41" s="37">
        <v>-0.45316498383289361</v>
      </c>
      <c r="AP41" s="37">
        <v>0.1243624587158581</v>
      </c>
      <c r="AQ41" s="37">
        <v>0.17100271109036053</v>
      </c>
      <c r="AR41" s="26">
        <f t="shared" si="1"/>
        <v>2.4071598663278171</v>
      </c>
      <c r="AS41">
        <f>MATCH(Исходник!B41,Модель!$B$2:$B$108,0)</f>
        <v>39</v>
      </c>
    </row>
    <row r="42" spans="1:45" ht="15" x14ac:dyDescent="0.25">
      <c r="A42" s="8">
        <v>2012</v>
      </c>
      <c r="B42" s="9" t="s">
        <v>152</v>
      </c>
      <c r="C42" s="10">
        <v>2012</v>
      </c>
      <c r="D42" s="9" t="s">
        <v>45</v>
      </c>
      <c r="E42" s="18" t="s">
        <v>50</v>
      </c>
      <c r="F42" s="30">
        <v>9455.4153000000006</v>
      </c>
      <c r="G42" s="12">
        <v>24101569</v>
      </c>
      <c r="H42" s="38">
        <v>374.42039999999997</v>
      </c>
      <c r="I42" s="38">
        <v>421.22294999999997</v>
      </c>
      <c r="J42" s="38">
        <v>351.01912499999997</v>
      </c>
      <c r="K42" s="33">
        <v>0.33333333333333331</v>
      </c>
      <c r="L42" s="45">
        <v>7.5000000000000622E-3</v>
      </c>
      <c r="M42" s="46" t="s">
        <v>115</v>
      </c>
      <c r="N42" s="46"/>
      <c r="O42" s="45">
        <v>7.5000000000000622E-3</v>
      </c>
      <c r="P42" s="39">
        <v>239.62308960000001</v>
      </c>
      <c r="Q42" s="40">
        <v>1.4990451287877349E-3</v>
      </c>
      <c r="R42" s="40">
        <v>-3.6298795972428466E-2</v>
      </c>
      <c r="S42" s="18">
        <v>2</v>
      </c>
      <c r="T42" s="41" t="s">
        <v>153</v>
      </c>
      <c r="U42" s="10">
        <v>2</v>
      </c>
      <c r="V42" s="18">
        <v>32.08</v>
      </c>
      <c r="W42" s="9" t="s">
        <v>154</v>
      </c>
      <c r="X42" s="9">
        <v>1</v>
      </c>
      <c r="Y42" s="10">
        <v>6</v>
      </c>
      <c r="Z42" s="36">
        <v>4769.3869999999997</v>
      </c>
      <c r="AA42" s="36">
        <v>1962.1310000000001</v>
      </c>
      <c r="AB42" s="36">
        <v>232.72499999999999</v>
      </c>
      <c r="AC42" s="36">
        <v>821.94500000000016</v>
      </c>
      <c r="AD42" s="36">
        <v>30.956</v>
      </c>
      <c r="AE42" s="36">
        <v>1192.0620000000001</v>
      </c>
      <c r="AF42" s="36">
        <v>1058.5880000000002</v>
      </c>
      <c r="AG42" s="36">
        <v>2807.2559999999999</v>
      </c>
      <c r="AH42" s="36">
        <v>2907.759</v>
      </c>
      <c r="AI42" s="36">
        <v>1292.317</v>
      </c>
      <c r="AJ42" s="36">
        <v>923.95500000000004</v>
      </c>
      <c r="AK42" s="36">
        <v>364.96000000000004</v>
      </c>
      <c r="AL42" s="36">
        <v>6.4905615753135569E-3</v>
      </c>
      <c r="AM42" s="37">
        <v>0.44443745165950821</v>
      </c>
      <c r="AN42" s="37">
        <v>0.31775501339691498</v>
      </c>
      <c r="AO42" s="37">
        <v>0.81913957643519364</v>
      </c>
      <c r="AP42" s="37">
        <v>0.27512629924598625</v>
      </c>
      <c r="AQ42" s="37">
        <v>0.45593308115979436</v>
      </c>
      <c r="AR42" s="26">
        <f t="shared" si="1"/>
        <v>0.28313938280541878</v>
      </c>
      <c r="AS42" s="165" t="e">
        <f>MATCH(Исходник!B42,Модель!$B$2:$B$108,0)</f>
        <v>#N/A</v>
      </c>
    </row>
    <row r="43" spans="1:45" ht="15" x14ac:dyDescent="0.25">
      <c r="A43" s="8">
        <v>2012</v>
      </c>
      <c r="B43" s="9" t="s">
        <v>155</v>
      </c>
      <c r="C43" s="10">
        <v>2012</v>
      </c>
      <c r="D43" s="9" t="s">
        <v>156</v>
      </c>
      <c r="E43" s="18" t="s">
        <v>135</v>
      </c>
      <c r="F43" s="30">
        <v>7294.768</v>
      </c>
      <c r="G43" s="12">
        <v>126128848</v>
      </c>
      <c r="H43" s="38">
        <v>65.226266052999989</v>
      </c>
      <c r="I43" s="11">
        <v>80.315924617500002</v>
      </c>
      <c r="J43" s="11">
        <v>65.226266052999989</v>
      </c>
      <c r="K43" s="33">
        <v>0</v>
      </c>
      <c r="L43" s="45">
        <v>-5.2238805970149294E-2</v>
      </c>
      <c r="M43" s="46">
        <v>37.976213000000001</v>
      </c>
      <c r="N43" s="46"/>
      <c r="O43" s="45">
        <v>-5.2238805970149294E-2</v>
      </c>
      <c r="P43" s="47"/>
      <c r="Q43" s="40">
        <v>4.9517607007818487E-3</v>
      </c>
      <c r="R43" s="40">
        <v>5.5303631739709758E-2</v>
      </c>
      <c r="S43" s="18">
        <v>1</v>
      </c>
      <c r="T43" s="41" t="s">
        <v>157</v>
      </c>
      <c r="U43" s="10">
        <v>1</v>
      </c>
      <c r="V43" s="18">
        <v>37.83</v>
      </c>
      <c r="W43" s="9" t="s">
        <v>154</v>
      </c>
      <c r="X43" s="9">
        <v>1</v>
      </c>
      <c r="Y43" s="10">
        <v>5</v>
      </c>
      <c r="Z43" s="36">
        <v>16722.893552514055</v>
      </c>
      <c r="AA43" s="36">
        <v>15901.87639248835</v>
      </c>
      <c r="AB43" s="36">
        <v>858.71444786024085</v>
      </c>
      <c r="AC43" s="36">
        <v>2083.8611142120481</v>
      </c>
      <c r="AD43" s="36">
        <v>12898.912266181525</v>
      </c>
      <c r="AE43" s="36">
        <v>11305.936060435339</v>
      </c>
      <c r="AF43" s="36">
        <v>10732.882607575901</v>
      </c>
      <c r="AG43" s="36">
        <v>821.01716002570265</v>
      </c>
      <c r="AH43" s="36">
        <v>380.67881639196781</v>
      </c>
      <c r="AI43" s="36">
        <v>-191.03806864738954</v>
      </c>
      <c r="AJ43" s="36">
        <v>-1518.8878213558232</v>
      </c>
      <c r="AK43" s="36">
        <v>-858.44105898795169</v>
      </c>
      <c r="AL43" s="36">
        <v>0.77133255830850833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26">
        <f t="shared" si="1"/>
        <v>0.41207854112913805</v>
      </c>
      <c r="AS43">
        <f>MATCH(Исходник!B43,Модель!$B$2:$B$108,0)</f>
        <v>40</v>
      </c>
    </row>
    <row r="44" spans="1:45" ht="15" x14ac:dyDescent="0.25">
      <c r="A44" s="8">
        <v>2011</v>
      </c>
      <c r="B44" s="9" t="s">
        <v>158</v>
      </c>
      <c r="C44" s="10">
        <v>2011</v>
      </c>
      <c r="D44" s="9" t="s">
        <v>45</v>
      </c>
      <c r="E44" s="18" t="s">
        <v>159</v>
      </c>
      <c r="F44" s="30">
        <v>16744.792000000001</v>
      </c>
      <c r="G44" s="12">
        <v>1346109</v>
      </c>
      <c r="H44" s="38">
        <v>458.0478</v>
      </c>
      <c r="I44" s="38">
        <v>515.30377499999997</v>
      </c>
      <c r="J44" s="38">
        <v>449.86837500000001</v>
      </c>
      <c r="K44" s="33">
        <v>0.12499999999999978</v>
      </c>
      <c r="L44" s="45">
        <v>0</v>
      </c>
      <c r="M44" s="46" t="s">
        <v>115</v>
      </c>
      <c r="N44" s="46"/>
      <c r="O44" s="45">
        <v>0</v>
      </c>
      <c r="P44" s="39"/>
      <c r="Q44" s="40">
        <v>4.8478240480209767E-3</v>
      </c>
      <c r="R44" s="40">
        <v>-0.13796661039204661</v>
      </c>
      <c r="S44" s="18">
        <v>3</v>
      </c>
      <c r="T44" s="41" t="s">
        <v>160</v>
      </c>
      <c r="U44" s="10">
        <v>3</v>
      </c>
      <c r="V44" s="18">
        <v>10.85</v>
      </c>
      <c r="W44" s="9" t="s">
        <v>161</v>
      </c>
      <c r="X44" s="9">
        <v>3</v>
      </c>
      <c r="Y44" s="10">
        <v>10</v>
      </c>
      <c r="Z44" s="36">
        <v>95945</v>
      </c>
      <c r="AA44" s="36">
        <v>22616</v>
      </c>
      <c r="AB44" s="36">
        <v>32177</v>
      </c>
      <c r="AC44" s="36">
        <v>15562</v>
      </c>
      <c r="AD44" s="36">
        <v>776</v>
      </c>
      <c r="AE44" s="36">
        <v>8932</v>
      </c>
      <c r="AF44" s="36">
        <v>3671</v>
      </c>
      <c r="AG44" s="36">
        <v>73329</v>
      </c>
      <c r="AH44" s="36">
        <v>76951</v>
      </c>
      <c r="AI44" s="36">
        <v>20464</v>
      </c>
      <c r="AJ44" s="36">
        <v>11981</v>
      </c>
      <c r="AK44" s="36">
        <v>13231</v>
      </c>
      <c r="AL44" s="36">
        <v>8.0879670644640154E-3</v>
      </c>
      <c r="AM44" s="37">
        <v>0.26593546542605034</v>
      </c>
      <c r="AN44" s="37">
        <v>0.15569648217696977</v>
      </c>
      <c r="AO44" s="37">
        <v>0.17938819390148553</v>
      </c>
      <c r="AP44" s="37">
        <v>0.13541678440237356</v>
      </c>
      <c r="AQ44" s="37">
        <v>0.17076073401033315</v>
      </c>
      <c r="AR44" s="26">
        <f t="shared" si="1"/>
        <v>2.067664824572677</v>
      </c>
      <c r="AS44">
        <f>MATCH(Исходник!B44,Модель!$B$2:$B$108,0)</f>
        <v>41</v>
      </c>
    </row>
    <row r="45" spans="1:45" ht="30" x14ac:dyDescent="0.25">
      <c r="A45" s="8">
        <v>2011</v>
      </c>
      <c r="B45" s="9" t="s">
        <v>162</v>
      </c>
      <c r="C45" s="10">
        <v>2011</v>
      </c>
      <c r="D45" s="9" t="s">
        <v>90</v>
      </c>
      <c r="E45" s="18" t="s">
        <v>110</v>
      </c>
      <c r="F45" s="30">
        <v>16574.896800000002</v>
      </c>
      <c r="G45" s="12">
        <v>117500001</v>
      </c>
      <c r="H45" s="38">
        <v>420.85199999999998</v>
      </c>
      <c r="I45" s="38">
        <v>451.71448000000004</v>
      </c>
      <c r="J45" s="38">
        <v>412.43495999999999</v>
      </c>
      <c r="K45" s="33">
        <v>0.21428571428571366</v>
      </c>
      <c r="L45" s="45">
        <v>7.9999999999999849E-2</v>
      </c>
      <c r="M45" s="46">
        <v>1.2936399999999999</v>
      </c>
      <c r="N45" s="46"/>
      <c r="O45" s="45">
        <v>7.9999999999999849E-2</v>
      </c>
      <c r="P45" s="39">
        <v>453.17131499999999</v>
      </c>
      <c r="Q45" s="40">
        <v>1.6219813298008035E-2</v>
      </c>
      <c r="R45" s="40">
        <v>7.4021555932856975E-2</v>
      </c>
      <c r="S45" s="18">
        <v>4</v>
      </c>
      <c r="T45" s="41" t="s">
        <v>163</v>
      </c>
      <c r="U45" s="10">
        <v>4</v>
      </c>
      <c r="V45" s="18">
        <v>25</v>
      </c>
      <c r="W45" s="9" t="s">
        <v>154</v>
      </c>
      <c r="X45" s="9">
        <v>1</v>
      </c>
      <c r="Y45" s="10">
        <v>3</v>
      </c>
      <c r="Z45" s="36">
        <v>36391.855969357428</v>
      </c>
      <c r="AA45" s="36">
        <v>10956.089433529316</v>
      </c>
      <c r="AB45" s="36">
        <v>3769.5465242056216</v>
      </c>
      <c r="AC45" s="36">
        <v>2672.862251288353</v>
      </c>
      <c r="AD45" s="36">
        <v>5218.4164177140556</v>
      </c>
      <c r="AE45" s="36">
        <v>6277.5856620449795</v>
      </c>
      <c r="AF45" s="36">
        <v>4839.1045456835345</v>
      </c>
      <c r="AG45" s="36">
        <v>25435.766535828112</v>
      </c>
      <c r="AH45" s="36">
        <v>11617.113350183132</v>
      </c>
      <c r="AI45" s="36">
        <v>6274.8821498634525</v>
      </c>
      <c r="AJ45" s="36">
        <v>3614.6869163244974</v>
      </c>
      <c r="AK45" s="36">
        <v>1592.4294280016063</v>
      </c>
      <c r="AL45" s="36">
        <v>0.14339517121929843</v>
      </c>
      <c r="AM45" s="37">
        <v>0.54014125202320906</v>
      </c>
      <c r="AN45" s="37">
        <v>0.31115190214335953</v>
      </c>
      <c r="AO45" s="37">
        <v>0.77118652272837307</v>
      </c>
      <c r="AP45" s="37">
        <v>9.9778216593088234E-2</v>
      </c>
      <c r="AQ45" s="37">
        <v>0.14670994961145215</v>
      </c>
      <c r="AR45" s="26">
        <f t="shared" si="1"/>
        <v>1.4103033264765714</v>
      </c>
      <c r="AS45">
        <f>MATCH(Исходник!B45,Модель!$B$2:$B$108,0)</f>
        <v>42</v>
      </c>
    </row>
    <row r="46" spans="1:45" ht="15" x14ac:dyDescent="0.25">
      <c r="A46" s="8">
        <v>2011</v>
      </c>
      <c r="B46" s="9" t="s">
        <v>164</v>
      </c>
      <c r="C46" s="10">
        <v>2011</v>
      </c>
      <c r="D46" s="9" t="s">
        <v>165</v>
      </c>
      <c r="E46" s="18" t="s">
        <v>91</v>
      </c>
      <c r="F46" s="30">
        <v>40508.040999999997</v>
      </c>
      <c r="G46" s="12">
        <v>57391493</v>
      </c>
      <c r="H46" s="38">
        <v>776.61</v>
      </c>
      <c r="I46" s="38">
        <v>683.41679999999997</v>
      </c>
      <c r="J46" s="38">
        <v>621.28800000000001</v>
      </c>
      <c r="K46" s="33">
        <v>2.5000000000000018</v>
      </c>
      <c r="L46" s="45">
        <v>0.55360000000000009</v>
      </c>
      <c r="M46" s="46" t="s">
        <v>115</v>
      </c>
      <c r="N46" s="46"/>
      <c r="O46" s="45">
        <v>0.55360000000000009</v>
      </c>
      <c r="P46" s="39">
        <v>202081.13088740001</v>
      </c>
      <c r="Q46" s="40">
        <v>-1.9221057750456683E-2</v>
      </c>
      <c r="R46" s="40">
        <v>2.2544062544810783E-2</v>
      </c>
      <c r="S46" s="18">
        <v>0</v>
      </c>
      <c r="T46" s="41" t="s">
        <v>166</v>
      </c>
      <c r="U46" s="10">
        <v>3</v>
      </c>
      <c r="V46" s="18">
        <v>17.78</v>
      </c>
      <c r="W46" s="9" t="s">
        <v>106</v>
      </c>
      <c r="X46" s="9">
        <v>1</v>
      </c>
      <c r="Y46" s="10">
        <v>11</v>
      </c>
      <c r="Z46" s="36">
        <v>12617</v>
      </c>
      <c r="AA46" s="36">
        <v>3002</v>
      </c>
      <c r="AB46" s="36">
        <v>8195</v>
      </c>
      <c r="AC46" s="36">
        <v>2937</v>
      </c>
      <c r="AD46" s="36">
        <v>129</v>
      </c>
      <c r="AE46" s="36">
        <v>0</v>
      </c>
      <c r="AF46" s="36">
        <v>0</v>
      </c>
      <c r="AG46" s="36">
        <v>9615</v>
      </c>
      <c r="AH46" s="36">
        <v>12500</v>
      </c>
      <c r="AI46" s="36">
        <v>0</v>
      </c>
      <c r="AJ46" s="36">
        <v>3817</v>
      </c>
      <c r="AK46" s="36">
        <v>2199</v>
      </c>
      <c r="AL46" s="36">
        <v>1.0224300546881192E-2</v>
      </c>
      <c r="AM46" s="37">
        <v>0</v>
      </c>
      <c r="AN46" s="37">
        <v>0.30536000000000002</v>
      </c>
      <c r="AO46" s="37">
        <v>0</v>
      </c>
      <c r="AP46" s="37">
        <v>0.36243650002373828</v>
      </c>
      <c r="AQ46" s="37">
        <v>0.47266423131694629</v>
      </c>
      <c r="AR46" s="26">
        <f t="shared" si="1"/>
        <v>2.7902621722846441</v>
      </c>
      <c r="AS46">
        <f>MATCH(Исходник!B46,Модель!$B$2:$B$108,0)</f>
        <v>43</v>
      </c>
    </row>
    <row r="47" spans="1:45" ht="15" x14ac:dyDescent="0.25">
      <c r="A47" s="8">
        <v>2011</v>
      </c>
      <c r="B47" s="9" t="s">
        <v>167</v>
      </c>
      <c r="C47" s="10">
        <v>2011</v>
      </c>
      <c r="D47" s="9" t="s">
        <v>168</v>
      </c>
      <c r="E47" s="18" t="s">
        <v>56</v>
      </c>
      <c r="F47" s="30">
        <v>18025.502500000002</v>
      </c>
      <c r="G47" s="12">
        <v>82142857</v>
      </c>
      <c r="H47" s="38">
        <v>197.3202</v>
      </c>
      <c r="I47" s="38">
        <v>253.69740000000002</v>
      </c>
      <c r="J47" s="38">
        <v>197.3202</v>
      </c>
      <c r="K47" s="33">
        <v>0</v>
      </c>
      <c r="L47" s="45">
        <v>-4.9999999999999933E-2</v>
      </c>
      <c r="M47" s="46" t="s">
        <v>115</v>
      </c>
      <c r="N47" s="46"/>
      <c r="O47" s="45">
        <v>-4.9999999999999933E-2</v>
      </c>
      <c r="P47" s="39">
        <v>3043.2759674999998</v>
      </c>
      <c r="Q47" s="40">
        <v>-6.4551981184501894E-4</v>
      </c>
      <c r="R47" s="40">
        <v>-8.8986309366773098E-2</v>
      </c>
      <c r="S47" s="18">
        <v>3</v>
      </c>
      <c r="T47" s="41" t="s">
        <v>169</v>
      </c>
      <c r="U47" s="10">
        <v>3</v>
      </c>
      <c r="V47" s="18">
        <v>27.85</v>
      </c>
      <c r="W47" s="9" t="s">
        <v>154</v>
      </c>
      <c r="X47" s="9">
        <v>1</v>
      </c>
      <c r="Y47" s="10">
        <v>24</v>
      </c>
      <c r="Z47" s="36">
        <v>36549</v>
      </c>
      <c r="AA47" s="36">
        <v>23981</v>
      </c>
      <c r="AB47" s="36">
        <v>33650</v>
      </c>
      <c r="AC47" s="36">
        <v>16897</v>
      </c>
      <c r="AD47" s="36">
        <v>0</v>
      </c>
      <c r="AE47" s="36">
        <v>8126</v>
      </c>
      <c r="AF47" s="36">
        <v>4213</v>
      </c>
      <c r="AG47" s="36">
        <v>12568</v>
      </c>
      <c r="AH47" s="36">
        <v>20316</v>
      </c>
      <c r="AI47" s="36">
        <v>6909</v>
      </c>
      <c r="AJ47" s="36">
        <v>4687</v>
      </c>
      <c r="AK47" s="36">
        <v>329</v>
      </c>
      <c r="AL47" s="36">
        <v>0</v>
      </c>
      <c r="AM47" s="37">
        <v>0.34007678676904901</v>
      </c>
      <c r="AN47" s="37">
        <v>0.23070486316203978</v>
      </c>
      <c r="AO47" s="37">
        <v>0.60978433926762199</v>
      </c>
      <c r="AP47" s="37">
        <v>0.1262831739189007</v>
      </c>
      <c r="AQ47" s="37">
        <v>0.45462922547165235</v>
      </c>
      <c r="AR47" s="26">
        <f t="shared" si="1"/>
        <v>1.9914777771201988</v>
      </c>
      <c r="AS47">
        <f>MATCH(Исходник!B47,Модель!$B$2:$B$108,0)</f>
        <v>44</v>
      </c>
    </row>
    <row r="48" spans="1:45" ht="15" x14ac:dyDescent="0.25">
      <c r="A48" s="8">
        <v>2011</v>
      </c>
      <c r="B48" s="9" t="s">
        <v>170</v>
      </c>
      <c r="C48" s="10">
        <v>2011</v>
      </c>
      <c r="D48" s="9" t="s">
        <v>90</v>
      </c>
      <c r="E48" s="18" t="s">
        <v>171</v>
      </c>
      <c r="F48" s="30">
        <v>11551.0875</v>
      </c>
      <c r="G48" s="12">
        <v>5000000</v>
      </c>
      <c r="H48" s="38">
        <v>423.42899999999997</v>
      </c>
      <c r="I48" s="38">
        <v>515.17195000000004</v>
      </c>
      <c r="J48" s="38">
        <v>409.31470000000002</v>
      </c>
      <c r="K48" s="33">
        <v>0.13333333333333292</v>
      </c>
      <c r="L48" s="45">
        <v>4.3333333333333446E-2</v>
      </c>
      <c r="M48" s="46">
        <v>14.235984188436401</v>
      </c>
      <c r="N48" s="46"/>
      <c r="O48" s="45">
        <v>4.3333333333333446E-2</v>
      </c>
      <c r="P48" s="39">
        <v>1800.0362815000001</v>
      </c>
      <c r="Q48" s="40">
        <v>6.3112349742182605E-3</v>
      </c>
      <c r="R48" s="40">
        <v>-9.0114025147343346E-2</v>
      </c>
      <c r="S48" s="18">
        <v>3</v>
      </c>
      <c r="T48" s="41" t="s">
        <v>172</v>
      </c>
      <c r="U48" s="10">
        <v>3</v>
      </c>
      <c r="V48" s="18">
        <v>20.83</v>
      </c>
      <c r="W48" s="9" t="s">
        <v>154</v>
      </c>
      <c r="X48" s="9">
        <v>1</v>
      </c>
      <c r="Y48" s="10">
        <v>16</v>
      </c>
      <c r="Z48" s="36">
        <v>39097.642999999996</v>
      </c>
      <c r="AA48" s="36">
        <v>22908.757000000001</v>
      </c>
      <c r="AB48" s="36">
        <v>23713.877</v>
      </c>
      <c r="AC48" s="36">
        <v>13639.849</v>
      </c>
      <c r="AD48" s="36">
        <v>31.710999999999999</v>
      </c>
      <c r="AE48" s="36">
        <v>19465.911</v>
      </c>
      <c r="AF48" s="36">
        <v>14345.94</v>
      </c>
      <c r="AG48" s="36">
        <v>16178.886</v>
      </c>
      <c r="AH48" s="36">
        <v>30955.53</v>
      </c>
      <c r="AI48" s="36">
        <v>7915.9679999999998</v>
      </c>
      <c r="AJ48" s="36">
        <v>5138.2370000000001</v>
      </c>
      <c r="AK48" s="36">
        <v>2942.4960000000001</v>
      </c>
      <c r="AL48" s="36">
        <v>8.1107191039623541E-4</v>
      </c>
      <c r="AM48" s="37">
        <v>0.25572064183685433</v>
      </c>
      <c r="AN48" s="37">
        <v>0.1659876926675137</v>
      </c>
      <c r="AO48" s="37">
        <v>1.8122786752043465</v>
      </c>
      <c r="AP48" s="37">
        <v>0.15853933445430921</v>
      </c>
      <c r="AQ48" s="37">
        <v>0.3332859178470593</v>
      </c>
      <c r="AR48" s="26">
        <f t="shared" si="1"/>
        <v>1.7385732789270614</v>
      </c>
      <c r="AS48">
        <f>MATCH(Исходник!B48,Модель!$B$2:$B$108,0)</f>
        <v>45</v>
      </c>
    </row>
    <row r="49" spans="1:45" ht="15" x14ac:dyDescent="0.25">
      <c r="A49" s="8">
        <v>2011</v>
      </c>
      <c r="B49" s="163" t="s">
        <v>173</v>
      </c>
      <c r="C49" s="10">
        <v>2011</v>
      </c>
      <c r="D49" s="9" t="s">
        <v>45</v>
      </c>
      <c r="E49" s="18" t="s">
        <v>174</v>
      </c>
      <c r="F49" s="30">
        <v>11077.524000000001</v>
      </c>
      <c r="G49" s="12">
        <v>43640000</v>
      </c>
      <c r="H49" s="38">
        <v>242.29342500000001</v>
      </c>
      <c r="I49" s="38">
        <v>352.42680000000001</v>
      </c>
      <c r="J49" s="38">
        <v>271.66232500000001</v>
      </c>
      <c r="K49" s="33">
        <v>-0.10810810810810809</v>
      </c>
      <c r="L49" s="45">
        <v>-2.4242424242424176E-2</v>
      </c>
      <c r="M49" s="46">
        <v>7.7131920548000013E-2</v>
      </c>
      <c r="N49" s="46"/>
      <c r="O49" s="45">
        <v>-2.4242424242424176E-2</v>
      </c>
      <c r="P49" s="39"/>
      <c r="Q49" s="40">
        <v>-2.1377121161539225E-2</v>
      </c>
      <c r="R49" s="40">
        <v>-2.0092683230446218E-2</v>
      </c>
      <c r="S49" s="18">
        <v>3</v>
      </c>
      <c r="T49" s="41" t="s">
        <v>175</v>
      </c>
      <c r="U49" s="10">
        <v>3</v>
      </c>
      <c r="V49" s="18">
        <v>37.25</v>
      </c>
      <c r="W49" s="9" t="s">
        <v>154</v>
      </c>
      <c r="X49" s="9">
        <v>1</v>
      </c>
      <c r="Y49" s="10">
        <v>18</v>
      </c>
      <c r="Z49" s="36">
        <v>11810.594999999999</v>
      </c>
      <c r="AA49" s="36">
        <v>9435.8680000000004</v>
      </c>
      <c r="AB49" s="36">
        <v>6907.0429999999997</v>
      </c>
      <c r="AC49" s="36">
        <v>5696.3590000000004</v>
      </c>
      <c r="AD49" s="36">
        <v>47.109000000000002</v>
      </c>
      <c r="AE49" s="36">
        <v>5297.1130000000003</v>
      </c>
      <c r="AF49" s="36">
        <v>4539.4520000000002</v>
      </c>
      <c r="AG49" s="36">
        <v>2374.7269999999999</v>
      </c>
      <c r="AH49" s="36">
        <v>14772.269</v>
      </c>
      <c r="AI49" s="36">
        <v>1890.4079999999999</v>
      </c>
      <c r="AJ49" s="36">
        <v>83.15</v>
      </c>
      <c r="AK49" s="36">
        <v>212.10599999999999</v>
      </c>
      <c r="AL49" s="36">
        <v>3.9887067501679641E-3</v>
      </c>
      <c r="AM49" s="37">
        <v>0.12797004982782265</v>
      </c>
      <c r="AN49" s="37">
        <v>5.6287899983408106E-3</v>
      </c>
      <c r="AO49" s="37">
        <v>2.4013080774097446</v>
      </c>
      <c r="AP49" s="37">
        <v>7.2904529611470155E-3</v>
      </c>
      <c r="AQ49" s="37">
        <v>3.2606315115821051E-2</v>
      </c>
      <c r="AR49" s="26">
        <f t="shared" si="1"/>
        <v>1.2125364640817053</v>
      </c>
      <c r="AS49" s="165" t="e">
        <f>MATCH(Исходник!B49,Модель!$B$2:$B$108,0)</f>
        <v>#N/A</v>
      </c>
    </row>
    <row r="50" spans="1:45" ht="15" x14ac:dyDescent="0.25">
      <c r="A50" s="8">
        <v>2010</v>
      </c>
      <c r="B50" s="10" t="s">
        <v>176</v>
      </c>
      <c r="C50" s="10">
        <v>2010</v>
      </c>
      <c r="D50" s="10" t="s">
        <v>45</v>
      </c>
      <c r="E50" s="8" t="s">
        <v>177</v>
      </c>
      <c r="F50" s="30">
        <v>11940.234400000001</v>
      </c>
      <c r="G50" s="31">
        <v>33975500</v>
      </c>
      <c r="H50" s="54">
        <v>193.644375</v>
      </c>
      <c r="I50" s="54">
        <v>193.644375</v>
      </c>
      <c r="J50" s="54">
        <v>193.644375</v>
      </c>
      <c r="K50" s="33">
        <v>0</v>
      </c>
      <c r="L50" s="33">
        <v>0.16799999999999993</v>
      </c>
      <c r="M50" s="32">
        <v>5758.4129999999996</v>
      </c>
      <c r="N50" s="32"/>
      <c r="O50" s="33">
        <v>0.16799999999999993</v>
      </c>
      <c r="P50" s="32">
        <v>236.3346684</v>
      </c>
      <c r="Q50" s="34">
        <v>-2.5773506280786229E-3</v>
      </c>
      <c r="R50" s="34">
        <v>-2.5773506280786229E-3</v>
      </c>
      <c r="S50" s="8">
        <v>0</v>
      </c>
      <c r="T50" s="35" t="s">
        <v>178</v>
      </c>
      <c r="U50" s="10">
        <v>2</v>
      </c>
      <c r="V50" s="55">
        <v>0.12039999999999999</v>
      </c>
      <c r="W50" s="10" t="s">
        <v>179</v>
      </c>
      <c r="X50" s="10">
        <v>1</v>
      </c>
      <c r="Y50" s="10">
        <v>18</v>
      </c>
      <c r="Z50" s="36">
        <v>24927</v>
      </c>
      <c r="AA50" s="36">
        <v>15675</v>
      </c>
      <c r="AB50" s="36">
        <v>13738</v>
      </c>
      <c r="AC50" s="36">
        <v>14740</v>
      </c>
      <c r="AD50" s="36">
        <v>26</v>
      </c>
      <c r="AE50" s="36">
        <v>6283</v>
      </c>
      <c r="AF50" s="36">
        <v>1422</v>
      </c>
      <c r="AG50" s="36">
        <v>9252</v>
      </c>
      <c r="AH50" s="36">
        <v>32392</v>
      </c>
      <c r="AI50" s="36">
        <v>5708</v>
      </c>
      <c r="AJ50" s="36">
        <v>2604</v>
      </c>
      <c r="AK50" s="36">
        <v>1864</v>
      </c>
      <c r="AL50" s="36">
        <v>1.0430456934248005E-3</v>
      </c>
      <c r="AM50" s="37">
        <v>0.17621634971597924</v>
      </c>
      <c r="AN50" s="37">
        <v>8.0390219807359845E-2</v>
      </c>
      <c r="AO50" s="37">
        <v>0.2491240364400841</v>
      </c>
      <c r="AP50" s="37">
        <v>0.10492384559593843</v>
      </c>
      <c r="AQ50" s="37">
        <v>0.3210850801479655</v>
      </c>
      <c r="AR50" s="26">
        <f t="shared" si="1"/>
        <v>0.93202170963364994</v>
      </c>
      <c r="AS50">
        <f>MATCH(Исходник!B50,Модель!$B$2:$B$108,0)</f>
        <v>46</v>
      </c>
    </row>
    <row r="51" spans="1:45" ht="15" x14ac:dyDescent="0.25">
      <c r="A51" s="8">
        <v>2010</v>
      </c>
      <c r="B51" s="9" t="s">
        <v>180</v>
      </c>
      <c r="C51" s="10">
        <v>2010</v>
      </c>
      <c r="D51" s="9" t="s">
        <v>45</v>
      </c>
      <c r="E51" s="18" t="s">
        <v>50</v>
      </c>
      <c r="F51" s="30">
        <v>527</v>
      </c>
      <c r="G51" s="12">
        <v>22000000</v>
      </c>
      <c r="H51" s="38">
        <v>24</v>
      </c>
      <c r="I51" s="38">
        <v>27.7</v>
      </c>
      <c r="J51" s="38">
        <v>20.6</v>
      </c>
      <c r="K51" s="33">
        <v>0.47887323943661964</v>
      </c>
      <c r="L51" s="45">
        <v>2.083333333333437E-3</v>
      </c>
      <c r="M51" s="46">
        <v>542.68144215973689</v>
      </c>
      <c r="N51" s="46"/>
      <c r="O51" s="45">
        <v>2.083333333333437E-3</v>
      </c>
      <c r="P51" s="39">
        <v>1924.847</v>
      </c>
      <c r="Q51" s="40">
        <v>1.1923698758735668E-2</v>
      </c>
      <c r="R51" s="40">
        <v>8.4222123709189356E-2</v>
      </c>
      <c r="S51" s="18">
        <v>0</v>
      </c>
      <c r="T51" s="41" t="s">
        <v>70</v>
      </c>
      <c r="U51" s="10">
        <v>1</v>
      </c>
      <c r="V51" s="18">
        <v>30.76</v>
      </c>
      <c r="W51" s="9" t="s">
        <v>144</v>
      </c>
      <c r="X51" s="9">
        <v>1</v>
      </c>
      <c r="Y51" s="10">
        <v>13</v>
      </c>
      <c r="Z51" s="43">
        <v>375.18099999999998</v>
      </c>
      <c r="AA51" s="43">
        <v>104.761</v>
      </c>
      <c r="AB51" s="43">
        <v>155.49700000000001</v>
      </c>
      <c r="AC51" s="43">
        <v>104.18899999999999</v>
      </c>
      <c r="AD51" s="43">
        <v>2.3740000000000001</v>
      </c>
      <c r="AE51" s="43">
        <v>21.760999999999999</v>
      </c>
      <c r="AF51" s="43">
        <v>-0.26700000000000002</v>
      </c>
      <c r="AG51" s="43">
        <v>2704.2</v>
      </c>
      <c r="AH51" s="43">
        <v>228.398</v>
      </c>
      <c r="AI51" s="43">
        <v>9.26</v>
      </c>
      <c r="AJ51" s="43">
        <v>14.042999999999999</v>
      </c>
      <c r="AK51" s="43">
        <v>4.9969999999999999</v>
      </c>
      <c r="AL51" s="36">
        <v>6.327612539014503E-3</v>
      </c>
      <c r="AM51" s="44">
        <v>4.0543262200194399E-2</v>
      </c>
      <c r="AN51" s="44">
        <v>6.1484776574225693E-2</v>
      </c>
      <c r="AO51" s="37">
        <v>-2.883369330453564E-2</v>
      </c>
      <c r="AP51" s="44">
        <v>3.742993381861022E-2</v>
      </c>
      <c r="AQ51" s="44">
        <v>5.1930330596849346E-3</v>
      </c>
      <c r="AR51" s="26">
        <f t="shared" si="1"/>
        <v>1.4924512184587626</v>
      </c>
      <c r="AS51">
        <f>MATCH(Исходник!B51,Модель!$B$2:$B$108,0)</f>
        <v>47</v>
      </c>
    </row>
    <row r="52" spans="1:45" ht="15" x14ac:dyDescent="0.25">
      <c r="A52" s="8">
        <v>2010</v>
      </c>
      <c r="B52" s="9" t="s">
        <v>181</v>
      </c>
      <c r="C52" s="10">
        <v>2010</v>
      </c>
      <c r="D52" s="9" t="s">
        <v>45</v>
      </c>
      <c r="E52" s="18" t="s">
        <v>110</v>
      </c>
      <c r="F52" s="30">
        <v>12444.960000000001</v>
      </c>
      <c r="G52" s="12">
        <v>5002118</v>
      </c>
      <c r="H52" s="38">
        <v>246.42320000000001</v>
      </c>
      <c r="I52" s="38">
        <v>304.94871000000001</v>
      </c>
      <c r="J52" s="38">
        <v>243.34291000000002</v>
      </c>
      <c r="K52" s="33">
        <v>4.9999999999999864E-2</v>
      </c>
      <c r="L52" s="45">
        <v>-3.125E-2</v>
      </c>
      <c r="M52" s="46">
        <v>66.875412999999995</v>
      </c>
      <c r="N52" s="46"/>
      <c r="O52" s="45">
        <v>-3.125E-2</v>
      </c>
      <c r="P52" s="39">
        <v>4.7801790000000004</v>
      </c>
      <c r="Q52" s="40">
        <v>1.6872202313392037E-2</v>
      </c>
      <c r="R52" s="40">
        <v>5.8893295754530506E-2</v>
      </c>
      <c r="S52" s="18">
        <v>3</v>
      </c>
      <c r="T52" s="41" t="s">
        <v>182</v>
      </c>
      <c r="U52" s="10">
        <v>3</v>
      </c>
      <c r="V52" s="18">
        <v>36</v>
      </c>
      <c r="W52" s="9" t="s">
        <v>161</v>
      </c>
      <c r="X52" s="9">
        <v>3</v>
      </c>
      <c r="Y52" s="10">
        <v>7</v>
      </c>
      <c r="Z52" s="36">
        <v>25713</v>
      </c>
      <c r="AA52" s="36">
        <v>7270</v>
      </c>
      <c r="AB52" s="36">
        <v>5028</v>
      </c>
      <c r="AC52" s="36">
        <v>7608</v>
      </c>
      <c r="AD52" s="36">
        <v>102</v>
      </c>
      <c r="AE52" s="36">
        <v>6581</v>
      </c>
      <c r="AF52" s="36">
        <v>6132</v>
      </c>
      <c r="AG52" s="36">
        <v>18443</v>
      </c>
      <c r="AH52" s="36">
        <v>16400</v>
      </c>
      <c r="AI52" s="36">
        <v>3963</v>
      </c>
      <c r="AJ52" s="36">
        <v>589</v>
      </c>
      <c r="AK52" s="36">
        <v>3173</v>
      </c>
      <c r="AL52" s="36">
        <v>3.9668650099171626E-3</v>
      </c>
      <c r="AM52" s="37">
        <v>0.24164634146341463</v>
      </c>
      <c r="AN52" s="37">
        <v>3.5914634146341461E-2</v>
      </c>
      <c r="AO52" s="37">
        <v>1.5473126419379257</v>
      </c>
      <c r="AP52" s="37">
        <v>2.1511266936927065E-2</v>
      </c>
      <c r="AQ52" s="37">
        <v>3.2216600574319708E-2</v>
      </c>
      <c r="AR52" s="26">
        <f t="shared" si="1"/>
        <v>0.66088328075709779</v>
      </c>
      <c r="AS52">
        <f>MATCH(Исходник!B52,Модель!$B$2:$B$108,0)</f>
        <v>48</v>
      </c>
    </row>
    <row r="53" spans="1:45" ht="15" x14ac:dyDescent="0.25">
      <c r="A53" s="8">
        <v>2010</v>
      </c>
      <c r="B53" s="9" t="s">
        <v>183</v>
      </c>
      <c r="C53" s="10">
        <v>2010</v>
      </c>
      <c r="D53" s="9" t="s">
        <v>184</v>
      </c>
      <c r="E53" s="18" t="s">
        <v>91</v>
      </c>
      <c r="F53" s="30">
        <v>30988.688000000002</v>
      </c>
      <c r="G53" s="12">
        <v>36218362</v>
      </c>
      <c r="H53" s="38">
        <v>852.35392999999999</v>
      </c>
      <c r="I53" s="38">
        <v>852.35392999999999</v>
      </c>
      <c r="J53" s="38">
        <v>729.27033000000006</v>
      </c>
      <c r="K53" s="33">
        <v>1</v>
      </c>
      <c r="L53" s="45">
        <v>0.29963898916967513</v>
      </c>
      <c r="M53" s="46" t="s">
        <v>115</v>
      </c>
      <c r="N53" s="46"/>
      <c r="O53" s="45">
        <v>0.29963898916967513</v>
      </c>
      <c r="P53" s="39">
        <v>13436.090880099999</v>
      </c>
      <c r="Q53" s="40">
        <v>1.8277915213848361E-2</v>
      </c>
      <c r="R53" s="40">
        <v>8.6006843667010724E-2</v>
      </c>
      <c r="S53" s="18">
        <v>2</v>
      </c>
      <c r="T53" s="41" t="s">
        <v>185</v>
      </c>
      <c r="U53" s="10">
        <v>2</v>
      </c>
      <c r="V53" s="18">
        <v>18.420000000000002</v>
      </c>
      <c r="W53" s="9" t="s">
        <v>154</v>
      </c>
      <c r="X53" s="9">
        <v>1</v>
      </c>
      <c r="Y53" s="10">
        <v>5</v>
      </c>
      <c r="Z53" s="36">
        <v>53521.769324488349</v>
      </c>
      <c r="AA53" s="36">
        <v>6613.5160505285139</v>
      </c>
      <c r="AB53" s="36">
        <v>5851.809678628113</v>
      </c>
      <c r="AC53" s="36">
        <v>1685.4556249028112</v>
      </c>
      <c r="AD53" s="36">
        <v>7750.516403479518</v>
      </c>
      <c r="AE53" s="36">
        <v>0</v>
      </c>
      <c r="AF53" s="36">
        <v>-4698.7988155662651</v>
      </c>
      <c r="AG53" s="36">
        <v>46908.253273959839</v>
      </c>
      <c r="AH53" s="36">
        <v>4711.5373365076302</v>
      </c>
      <c r="AI53" s="36">
        <v>0</v>
      </c>
      <c r="AJ53" s="36">
        <v>5263.7728677911646</v>
      </c>
      <c r="AK53" s="36">
        <v>542.76899951164648</v>
      </c>
      <c r="AL53" s="36">
        <v>0.1448105416039254</v>
      </c>
      <c r="AM53" s="37">
        <v>0</v>
      </c>
      <c r="AN53" s="37">
        <v>1.1172092019741631</v>
      </c>
      <c r="AO53" s="37">
        <v>0</v>
      </c>
      <c r="AP53" s="37">
        <v>0.12382956955959792</v>
      </c>
      <c r="AQ53" s="37">
        <v>0.13657705909286291</v>
      </c>
      <c r="AR53" s="26">
        <f t="shared" si="1"/>
        <v>3.4719452664115953</v>
      </c>
      <c r="AS53">
        <f>MATCH(Исходник!B53,Модель!$B$2:$B$108,0)</f>
        <v>49</v>
      </c>
    </row>
    <row r="54" spans="1:45" ht="15" x14ac:dyDescent="0.25">
      <c r="A54" s="8">
        <v>2010</v>
      </c>
      <c r="B54" s="9" t="s">
        <v>186</v>
      </c>
      <c r="C54" s="10">
        <v>2010</v>
      </c>
      <c r="D54" s="9" t="s">
        <v>187</v>
      </c>
      <c r="E54" s="18" t="s">
        <v>102</v>
      </c>
      <c r="F54" s="30">
        <v>12449.749600000001</v>
      </c>
      <c r="G54" s="12">
        <v>38929031</v>
      </c>
      <c r="H54" s="38">
        <v>338.51179999999999</v>
      </c>
      <c r="I54" s="38">
        <v>396.98202000000003</v>
      </c>
      <c r="J54" s="38">
        <v>304.66062000000005</v>
      </c>
      <c r="K54" s="33">
        <v>0.36666666666666609</v>
      </c>
      <c r="L54" s="45">
        <v>-2.2727272727272707E-2</v>
      </c>
      <c r="M54" s="46">
        <v>1565.1510310000001</v>
      </c>
      <c r="N54" s="46"/>
      <c r="O54" s="45">
        <v>-2.2727272727272707E-2</v>
      </c>
      <c r="P54" s="39">
        <v>595.45261500000004</v>
      </c>
      <c r="Q54" s="40">
        <v>2.3277042446370189E-3</v>
      </c>
      <c r="R54" s="40">
        <v>6.4334615635391446E-2</v>
      </c>
      <c r="S54" s="18">
        <v>2</v>
      </c>
      <c r="T54" s="41" t="s">
        <v>188</v>
      </c>
      <c r="U54" s="10">
        <v>2</v>
      </c>
      <c r="V54" s="18">
        <v>14.47</v>
      </c>
      <c r="W54" s="9" t="s">
        <v>154</v>
      </c>
      <c r="X54" s="9">
        <v>1</v>
      </c>
      <c r="Y54" s="10">
        <v>9</v>
      </c>
      <c r="Z54" s="36">
        <v>33946</v>
      </c>
      <c r="AA54" s="36">
        <v>26810</v>
      </c>
      <c r="AB54" s="36">
        <v>8053</v>
      </c>
      <c r="AC54" s="36">
        <v>17390</v>
      </c>
      <c r="AD54" s="36">
        <v>481.42599999999999</v>
      </c>
      <c r="AE54" s="36">
        <v>15465</v>
      </c>
      <c r="AF54" s="36">
        <v>14003</v>
      </c>
      <c r="AG54" s="36">
        <v>7135</v>
      </c>
      <c r="AH54" s="36">
        <v>67874</v>
      </c>
      <c r="AI54" s="36">
        <v>5896</v>
      </c>
      <c r="AJ54" s="36">
        <v>714.4</v>
      </c>
      <c r="AK54" s="36">
        <v>3287.5790000000002</v>
      </c>
      <c r="AL54" s="36">
        <v>1.4182112767336358E-2</v>
      </c>
      <c r="AM54" s="37">
        <v>8.6866841500427255E-2</v>
      </c>
      <c r="AN54" s="37">
        <v>1.0525385272711199E-2</v>
      </c>
      <c r="AO54" s="37">
        <v>2.375</v>
      </c>
      <c r="AP54" s="37">
        <v>2.1682980499279157E-2</v>
      </c>
      <c r="AQ54" s="37">
        <v>0.10643203151246264</v>
      </c>
      <c r="AR54" s="26">
        <f t="shared" si="1"/>
        <v>0.46308223116733754</v>
      </c>
      <c r="AS54">
        <f>MATCH(Исходник!B54,Модель!$B$2:$B$108,0)</f>
        <v>50</v>
      </c>
    </row>
    <row r="55" spans="1:45" ht="15" x14ac:dyDescent="0.25">
      <c r="A55" s="8">
        <v>2010</v>
      </c>
      <c r="B55" s="9" t="s">
        <v>189</v>
      </c>
      <c r="C55" s="10">
        <v>2010</v>
      </c>
      <c r="D55" s="9" t="s">
        <v>190</v>
      </c>
      <c r="E55" s="18" t="s">
        <v>142</v>
      </c>
      <c r="F55" s="30">
        <v>6999.7003999999997</v>
      </c>
      <c r="G55" s="12">
        <v>1040000000</v>
      </c>
      <c r="H55" s="38">
        <v>7.1926199999999989</v>
      </c>
      <c r="I55" s="38">
        <v>11.987699999999998</v>
      </c>
      <c r="J55" s="38">
        <v>8.7909799999999994</v>
      </c>
      <c r="K55" s="33">
        <v>-0.18181818181818188</v>
      </c>
      <c r="L55" s="45">
        <v>-8.333333333333337E-2</v>
      </c>
      <c r="M55" s="46" t="s">
        <v>115</v>
      </c>
      <c r="N55" s="46"/>
      <c r="O55" s="45">
        <v>-8.333333333333337E-2</v>
      </c>
      <c r="P55" s="47" t="s">
        <v>115</v>
      </c>
      <c r="Q55" s="40">
        <v>1.0441337682199014E-2</v>
      </c>
      <c r="R55" s="40">
        <v>4.8166844861887492E-2</v>
      </c>
      <c r="S55" s="18">
        <v>1</v>
      </c>
      <c r="T55" s="41" t="s">
        <v>157</v>
      </c>
      <c r="U55" s="10">
        <v>1</v>
      </c>
      <c r="V55" s="18">
        <v>30.93</v>
      </c>
      <c r="W55" s="9" t="s">
        <v>191</v>
      </c>
      <c r="X55" s="9">
        <v>1</v>
      </c>
      <c r="Y55" s="10">
        <v>0</v>
      </c>
      <c r="Z55" s="36">
        <v>28173.002123955019</v>
      </c>
      <c r="AA55" s="36">
        <v>9133.8371838104413</v>
      </c>
      <c r="AB55" s="36">
        <v>13550.83196129478</v>
      </c>
      <c r="AC55" s="36">
        <v>585.08249051887549</v>
      </c>
      <c r="AD55" s="36">
        <v>911.39193468273095</v>
      </c>
      <c r="AE55" s="36">
        <v>0</v>
      </c>
      <c r="AF55" s="36">
        <v>0</v>
      </c>
      <c r="AG55" s="36">
        <v>19039.164940144579</v>
      </c>
      <c r="AH55" s="36">
        <v>262.39447126104415</v>
      </c>
      <c r="AI55" s="36">
        <v>0</v>
      </c>
      <c r="AJ55" s="36">
        <v>-4419.9490978024096</v>
      </c>
      <c r="AK55" s="36">
        <v>2349.002321718875</v>
      </c>
      <c r="AL55" s="36">
        <v>3.2349833740572154E-2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26">
        <f t="shared" si="1"/>
        <v>23.160549462482354</v>
      </c>
      <c r="AS55">
        <f>MATCH(Исходник!B55,Модель!$B$2:$B$108,0)</f>
        <v>51</v>
      </c>
    </row>
    <row r="56" spans="1:45" ht="15" x14ac:dyDescent="0.25">
      <c r="A56" s="8">
        <v>2010</v>
      </c>
      <c r="B56" s="9" t="s">
        <v>192</v>
      </c>
      <c r="C56" s="10">
        <v>2010</v>
      </c>
      <c r="D56" s="9" t="s">
        <v>45</v>
      </c>
      <c r="E56" s="18" t="s">
        <v>91</v>
      </c>
      <c r="F56" s="30">
        <v>300</v>
      </c>
      <c r="G56" s="12">
        <v>3520000</v>
      </c>
      <c r="H56" s="39">
        <v>85.23</v>
      </c>
      <c r="I56" s="38">
        <v>117.5</v>
      </c>
      <c r="J56" s="38">
        <v>80</v>
      </c>
      <c r="K56" s="33">
        <v>0.13946666666666677</v>
      </c>
      <c r="L56" s="45">
        <v>-3.9892056787516061E-3</v>
      </c>
      <c r="M56" s="46">
        <v>2.3966450119808087</v>
      </c>
      <c r="N56" s="46"/>
      <c r="O56" s="45">
        <v>-3.9892056787516061E-3</v>
      </c>
      <c r="P56" s="39">
        <v>638.13699999999994</v>
      </c>
      <c r="Q56" s="40">
        <v>1.0545106693871098E-4</v>
      </c>
      <c r="R56" s="40">
        <v>5.6830592860962703E-2</v>
      </c>
      <c r="S56" s="18">
        <v>0</v>
      </c>
      <c r="T56" s="41" t="s">
        <v>115</v>
      </c>
      <c r="U56" s="10">
        <v>0</v>
      </c>
      <c r="V56" s="18">
        <v>22</v>
      </c>
      <c r="W56" s="9" t="s">
        <v>144</v>
      </c>
      <c r="X56" s="9">
        <v>1</v>
      </c>
      <c r="Y56" s="10">
        <v>10</v>
      </c>
      <c r="Z56" s="36">
        <v>291.89600000000002</v>
      </c>
      <c r="AA56" s="36">
        <v>92.991000000000014</v>
      </c>
      <c r="AB56" s="36">
        <v>197.82900000000001</v>
      </c>
      <c r="AC56" s="36">
        <v>83.18</v>
      </c>
      <c r="AD56" s="36">
        <v>60.256999999999998</v>
      </c>
      <c r="AE56" s="36">
        <v>6.883</v>
      </c>
      <c r="AF56" s="36">
        <v>-14.864000000000001</v>
      </c>
      <c r="AG56" s="36">
        <v>198.905</v>
      </c>
      <c r="AH56" s="36">
        <v>210.18600000000001</v>
      </c>
      <c r="AI56" s="36">
        <v>45</v>
      </c>
      <c r="AJ56" s="36">
        <v>36.354999999999997</v>
      </c>
      <c r="AK56" s="36">
        <v>2.6349999999999998</v>
      </c>
      <c r="AL56" s="36">
        <v>0.2064331131635925</v>
      </c>
      <c r="AM56" s="37">
        <v>0.21409608632354199</v>
      </c>
      <c r="AN56" s="37">
        <v>0.17296584929538597</v>
      </c>
      <c r="AO56" s="37">
        <v>-0.33031111111111111</v>
      </c>
      <c r="AP56" s="37">
        <v>0.1221400974298673</v>
      </c>
      <c r="AQ56" s="37">
        <v>0.19787241569807787</v>
      </c>
      <c r="AR56" s="26">
        <f t="shared" si="1"/>
        <v>2.3783241163741282</v>
      </c>
      <c r="AS56">
        <f>MATCH(Исходник!B56,Модель!$B$2:$B$108,0)</f>
        <v>52</v>
      </c>
    </row>
    <row r="57" spans="1:45" ht="15" x14ac:dyDescent="0.25">
      <c r="A57" s="8">
        <v>2010</v>
      </c>
      <c r="B57" s="9" t="s">
        <v>193</v>
      </c>
      <c r="C57" s="10">
        <v>2010</v>
      </c>
      <c r="D57" s="9" t="s">
        <v>45</v>
      </c>
      <c r="E57" s="18" t="s">
        <v>50</v>
      </c>
      <c r="F57" s="30">
        <v>302.10699999999997</v>
      </c>
      <c r="G57" s="12">
        <v>9150000</v>
      </c>
      <c r="H57" s="38">
        <v>32.5</v>
      </c>
      <c r="I57" s="38">
        <v>40.74</v>
      </c>
      <c r="J57" s="38">
        <v>30.55</v>
      </c>
      <c r="K57" s="33">
        <v>0.19136408243375849</v>
      </c>
      <c r="L57" s="45">
        <v>-1.5692307692307783E-2</v>
      </c>
      <c r="M57" s="46" t="s">
        <v>115</v>
      </c>
      <c r="N57" s="46"/>
      <c r="O57" s="45">
        <v>-1.5692307692307783E-2</v>
      </c>
      <c r="P57" s="39">
        <v>97.594999999999999</v>
      </c>
      <c r="Q57" s="40">
        <v>-7.304896586005305E-3</v>
      </c>
      <c r="R57" s="40">
        <v>-5.2229290185936694E-3</v>
      </c>
      <c r="S57" s="18">
        <v>0</v>
      </c>
      <c r="T57" s="41" t="s">
        <v>70</v>
      </c>
      <c r="U57" s="10">
        <v>1</v>
      </c>
      <c r="V57" s="18">
        <v>10</v>
      </c>
      <c r="W57" s="9" t="s">
        <v>144</v>
      </c>
      <c r="X57" s="9">
        <v>1</v>
      </c>
      <c r="Y57" s="10">
        <v>16</v>
      </c>
      <c r="Z57" s="36">
        <v>3101.0659999999998</v>
      </c>
      <c r="AA57" s="36">
        <v>1096.2840000000001</v>
      </c>
      <c r="AB57" s="36">
        <v>1240.992</v>
      </c>
      <c r="AC57" s="36">
        <v>717.71400000000006</v>
      </c>
      <c r="AD57" s="36">
        <v>1100.482</v>
      </c>
      <c r="AE57" s="36">
        <v>529.45899999999995</v>
      </c>
      <c r="AF57" s="36">
        <v>490.99799999999993</v>
      </c>
      <c r="AG57" s="36">
        <v>2004.7819999999999</v>
      </c>
      <c r="AH57" s="36">
        <v>1558.6890000000001</v>
      </c>
      <c r="AI57" s="36">
        <v>331.56099999999998</v>
      </c>
      <c r="AJ57" s="36">
        <v>363.71899999999999</v>
      </c>
      <c r="AK57" s="36">
        <v>22.07</v>
      </c>
      <c r="AL57" s="36">
        <v>0.3548721633141636</v>
      </c>
      <c r="AM57" s="37">
        <v>0.21271786738727222</v>
      </c>
      <c r="AN57" s="37">
        <v>0.23334930829690848</v>
      </c>
      <c r="AO57" s="37">
        <v>1.4808677739541138</v>
      </c>
      <c r="AP57" s="37">
        <v>0.13352712171571002</v>
      </c>
      <c r="AQ57" s="37">
        <v>0.2120574326707638</v>
      </c>
      <c r="AR57" s="26">
        <f t="shared" si="1"/>
        <v>1.7290898603064728</v>
      </c>
      <c r="AS57">
        <f>MATCH(Исходник!B57,Модель!$B$2:$B$108,0)</f>
        <v>53</v>
      </c>
    </row>
    <row r="58" spans="1:45" ht="15" x14ac:dyDescent="0.25">
      <c r="A58" s="8">
        <v>2010</v>
      </c>
      <c r="B58" s="10" t="s">
        <v>194</v>
      </c>
      <c r="C58" s="10">
        <v>2010</v>
      </c>
      <c r="D58" s="10" t="s">
        <v>45</v>
      </c>
      <c r="E58" s="8" t="s">
        <v>142</v>
      </c>
      <c r="F58" s="30">
        <v>4854.4728999999998</v>
      </c>
      <c r="G58" s="31">
        <v>25768158</v>
      </c>
      <c r="H58" s="54">
        <v>190.3759</v>
      </c>
      <c r="I58" s="54">
        <v>219.6645</v>
      </c>
      <c r="J58" s="54">
        <v>190.3759</v>
      </c>
      <c r="K58" s="33">
        <v>0</v>
      </c>
      <c r="L58" s="33">
        <v>4.6153846153846212E-2</v>
      </c>
      <c r="M58" s="46" t="s">
        <v>115</v>
      </c>
      <c r="N58" s="46"/>
      <c r="O58" s="33">
        <v>4.6153846153846212E-2</v>
      </c>
      <c r="P58" s="32">
        <v>194.12309999999997</v>
      </c>
      <c r="Q58" s="34">
        <v>-1.3125884794590315E-2</v>
      </c>
      <c r="R58" s="34">
        <v>-1.3125884794590315E-2</v>
      </c>
      <c r="S58" s="8">
        <v>0</v>
      </c>
      <c r="T58" s="35" t="s">
        <v>195</v>
      </c>
      <c r="U58" s="10">
        <v>2</v>
      </c>
      <c r="V58" s="8">
        <v>26</v>
      </c>
      <c r="W58" s="10" t="s">
        <v>179</v>
      </c>
      <c r="X58" s="10">
        <v>1</v>
      </c>
      <c r="Y58" s="10">
        <v>10</v>
      </c>
      <c r="Z58" s="36">
        <v>9415</v>
      </c>
      <c r="AA58" s="36">
        <v>5948</v>
      </c>
      <c r="AB58" s="36">
        <v>1985</v>
      </c>
      <c r="AC58" s="36">
        <v>3079</v>
      </c>
      <c r="AD58" s="36">
        <v>14</v>
      </c>
      <c r="AE58" s="36">
        <v>3859</v>
      </c>
      <c r="AF58" s="36">
        <v>3773</v>
      </c>
      <c r="AG58" s="36">
        <v>3467</v>
      </c>
      <c r="AH58" s="36">
        <v>10658</v>
      </c>
      <c r="AI58" s="36">
        <v>2177</v>
      </c>
      <c r="AJ58" s="36">
        <v>663</v>
      </c>
      <c r="AK58" s="36">
        <v>1084</v>
      </c>
      <c r="AL58" s="36">
        <v>1.4869888475836431E-3</v>
      </c>
      <c r="AM58" s="37">
        <v>0.20425971101519985</v>
      </c>
      <c r="AN58" s="37">
        <v>6.2206793019328202E-2</v>
      </c>
      <c r="AO58" s="37">
        <v>1.7331189710610932</v>
      </c>
      <c r="AP58" s="37">
        <v>7.1788208543121651E-2</v>
      </c>
      <c r="AQ58" s="37">
        <v>0.21097852028639619</v>
      </c>
      <c r="AR58" s="26">
        <f t="shared" si="1"/>
        <v>0.64468983436180582</v>
      </c>
      <c r="AS58">
        <f>MATCH(Исходник!B58,Модель!$B$2:$B$108,0)</f>
        <v>54</v>
      </c>
    </row>
    <row r="59" spans="1:45" ht="15" x14ac:dyDescent="0.25">
      <c r="A59" s="8">
        <v>2010</v>
      </c>
      <c r="B59" s="9" t="s">
        <v>196</v>
      </c>
      <c r="C59" s="10">
        <v>2010</v>
      </c>
      <c r="D59" s="9" t="s">
        <v>45</v>
      </c>
      <c r="E59" s="18" t="s">
        <v>50</v>
      </c>
      <c r="F59" s="30">
        <v>9458.84</v>
      </c>
      <c r="G59" s="12">
        <v>114285714</v>
      </c>
      <c r="H59" s="38">
        <v>101.8087</v>
      </c>
      <c r="I59" s="38">
        <v>130.89690000000002</v>
      </c>
      <c r="J59" s="38">
        <v>90.173420000000007</v>
      </c>
      <c r="K59" s="33">
        <v>0.28571428571428553</v>
      </c>
      <c r="L59" s="45">
        <v>7.714285714285718E-2</v>
      </c>
      <c r="M59" s="46">
        <v>45.638092</v>
      </c>
      <c r="N59" s="46"/>
      <c r="O59" s="45">
        <v>7.714285714285718E-2</v>
      </c>
      <c r="P59" s="39">
        <v>854.23428100000001</v>
      </c>
      <c r="Q59" s="40">
        <v>-1.35353644240227E-2</v>
      </c>
      <c r="R59" s="40">
        <v>-0.12010698934149</v>
      </c>
      <c r="S59" s="18">
        <v>2</v>
      </c>
      <c r="T59" s="41" t="s">
        <v>197</v>
      </c>
      <c r="U59" s="10">
        <v>2</v>
      </c>
      <c r="V59" s="18">
        <v>21.68</v>
      </c>
      <c r="W59" s="9" t="s">
        <v>198</v>
      </c>
      <c r="X59" s="9">
        <v>2</v>
      </c>
      <c r="Y59" s="10">
        <v>20</v>
      </c>
      <c r="Z59" s="36">
        <v>45440.987000000001</v>
      </c>
      <c r="AA59" s="36">
        <v>32674.42</v>
      </c>
      <c r="AB59" s="36">
        <v>33052.358999999997</v>
      </c>
      <c r="AC59" s="36">
        <v>32322.881000000001</v>
      </c>
      <c r="AD59" s="36">
        <v>548.53499999999997</v>
      </c>
      <c r="AE59" s="36">
        <v>3177.0549999999998</v>
      </c>
      <c r="AF59" s="36">
        <v>2114.9009999999998</v>
      </c>
      <c r="AG59" s="36">
        <v>12766.566999999999</v>
      </c>
      <c r="AH59" s="36">
        <v>91580.957999999999</v>
      </c>
      <c r="AI59" s="36">
        <v>5836.5550000000003</v>
      </c>
      <c r="AJ59" s="36">
        <v>3273.886</v>
      </c>
      <c r="AK59" s="36">
        <v>536.18499999999995</v>
      </c>
      <c r="AL59" s="36">
        <v>1.207137072088685E-2</v>
      </c>
      <c r="AM59" s="37">
        <v>6.3731097899194289E-2</v>
      </c>
      <c r="AN59" s="37">
        <v>3.5748545019588025E-2</v>
      </c>
      <c r="AO59" s="37">
        <v>0.36235433402066797</v>
      </c>
      <c r="AP59" s="37">
        <v>7.2563900540773926E-2</v>
      </c>
      <c r="AQ59" s="37">
        <v>0.28477383329669159</v>
      </c>
      <c r="AR59" s="26">
        <f t="shared" si="1"/>
        <v>1.0225684709231209</v>
      </c>
      <c r="AS59">
        <f>MATCH(Исходник!B59,Модель!$B$2:$B$108,0)</f>
        <v>55</v>
      </c>
    </row>
    <row r="60" spans="1:45" ht="15" x14ac:dyDescent="0.25">
      <c r="A60" s="8">
        <v>2010</v>
      </c>
      <c r="B60" s="9" t="s">
        <v>199</v>
      </c>
      <c r="C60" s="10">
        <v>2010</v>
      </c>
      <c r="D60" s="9" t="s">
        <v>45</v>
      </c>
      <c r="E60" s="18" t="s">
        <v>171</v>
      </c>
      <c r="F60" s="30">
        <v>2225.1240000000003</v>
      </c>
      <c r="G60" s="12">
        <v>15000000</v>
      </c>
      <c r="H60" s="38">
        <v>174.2664</v>
      </c>
      <c r="I60" s="38">
        <v>232.3552</v>
      </c>
      <c r="J60" s="38">
        <v>174.2664</v>
      </c>
      <c r="K60" s="33">
        <v>0</v>
      </c>
      <c r="L60" s="45">
        <v>1.6666666666666607E-2</v>
      </c>
      <c r="M60" s="46">
        <v>3.8172350000000002</v>
      </c>
      <c r="N60" s="46"/>
      <c r="O60" s="45">
        <v>1.6666666666666607E-2</v>
      </c>
      <c r="P60" s="39"/>
      <c r="Q60" s="40">
        <v>2.8297993593648929E-3</v>
      </c>
      <c r="R60" s="40">
        <v>-0.11093206516399079</v>
      </c>
      <c r="S60" s="18">
        <v>0</v>
      </c>
      <c r="T60" s="41" t="s">
        <v>200</v>
      </c>
      <c r="U60" s="10">
        <v>2</v>
      </c>
      <c r="V60" s="18">
        <v>18.86</v>
      </c>
      <c r="W60" s="9" t="s">
        <v>198</v>
      </c>
      <c r="X60" s="9">
        <v>2</v>
      </c>
      <c r="Y60" s="10">
        <v>13</v>
      </c>
      <c r="Z60" s="36">
        <v>5764.6559999999999</v>
      </c>
      <c r="AA60" s="36">
        <v>5376.8220000000001</v>
      </c>
      <c r="AB60" s="36">
        <v>4377.9790000000003</v>
      </c>
      <c r="AC60" s="36">
        <v>5376.8220000000001</v>
      </c>
      <c r="AD60" s="36">
        <v>40.396999999999998</v>
      </c>
      <c r="AE60" s="36">
        <v>3732.904</v>
      </c>
      <c r="AF60" s="36">
        <v>3496.6669999999999</v>
      </c>
      <c r="AG60" s="36">
        <v>396.834</v>
      </c>
      <c r="AH60" s="36">
        <v>17936.170999999998</v>
      </c>
      <c r="AI60" s="36">
        <v>1550.7049999999999</v>
      </c>
      <c r="AJ60" s="36">
        <v>115.63500000000001</v>
      </c>
      <c r="AK60" s="36">
        <v>434.46199999999999</v>
      </c>
      <c r="AL60" s="36">
        <v>7.0077034952302445E-3</v>
      </c>
      <c r="AM60" s="37">
        <v>8.6456858601537651E-2</v>
      </c>
      <c r="AN60" s="37">
        <v>6.4470281867852405E-3</v>
      </c>
      <c r="AO60" s="37">
        <v>2.2548885829348588</v>
      </c>
      <c r="AP60" s="37">
        <v>1.7493325313447609E-2</v>
      </c>
      <c r="AQ60" s="37">
        <v>0.21143893120349319</v>
      </c>
      <c r="AR60" s="26">
        <f t="shared" si="1"/>
        <v>0.81423171531436234</v>
      </c>
      <c r="AS60">
        <f>MATCH(Исходник!B60,Модель!$B$2:$B$108,0)</f>
        <v>56</v>
      </c>
    </row>
    <row r="61" spans="1:45" ht="15" x14ac:dyDescent="0.25">
      <c r="A61" s="8">
        <v>2010</v>
      </c>
      <c r="B61" s="9" t="s">
        <v>201</v>
      </c>
      <c r="C61" s="10">
        <v>2010</v>
      </c>
      <c r="D61" s="9" t="s">
        <v>120</v>
      </c>
      <c r="E61" s="18" t="s">
        <v>121</v>
      </c>
      <c r="F61" s="30">
        <v>54836.916300000004</v>
      </c>
      <c r="G61" s="12">
        <v>1610292840</v>
      </c>
      <c r="H61" s="38">
        <v>41.698800000000006</v>
      </c>
      <c r="I61" s="38">
        <v>48.262500000000003</v>
      </c>
      <c r="J61" s="38">
        <v>35.135100000000001</v>
      </c>
      <c r="K61" s="33">
        <v>0.50000000000000022</v>
      </c>
      <c r="L61" s="45">
        <v>-0.10555555555555562</v>
      </c>
      <c r="M61" s="46">
        <v>58.604406876088497</v>
      </c>
      <c r="N61" s="46"/>
      <c r="O61" s="45">
        <v>-0.10555555555555562</v>
      </c>
      <c r="P61" s="39"/>
      <c r="Q61" s="40">
        <v>-1.7772825405668935E-2</v>
      </c>
      <c r="R61" s="40">
        <v>-7.059683821993179E-2</v>
      </c>
      <c r="S61" s="18">
        <v>2</v>
      </c>
      <c r="T61" s="41" t="s">
        <v>202</v>
      </c>
      <c r="U61" s="10">
        <v>2</v>
      </c>
      <c r="V61" s="18">
        <v>10.64</v>
      </c>
      <c r="W61" s="9" t="s">
        <v>203</v>
      </c>
      <c r="X61" s="9">
        <v>2</v>
      </c>
      <c r="Y61" s="10">
        <v>10</v>
      </c>
      <c r="Z61" s="36">
        <v>597099.29989759019</v>
      </c>
      <c r="AA61" s="36">
        <v>485464.98796506011</v>
      </c>
      <c r="AB61" s="36">
        <v>126160.70189879515</v>
      </c>
      <c r="AC61" s="36">
        <v>462357.08337831317</v>
      </c>
      <c r="AD61" s="36">
        <v>104147.25135060238</v>
      </c>
      <c r="AE61" s="36">
        <v>345200.75334216858</v>
      </c>
      <c r="AF61" s="36">
        <v>327589.99290361436</v>
      </c>
      <c r="AG61" s="36">
        <v>111634.31193253009</v>
      </c>
      <c r="AH61" s="36">
        <v>390147.99078915652</v>
      </c>
      <c r="AI61" s="36">
        <v>87705.566816867446</v>
      </c>
      <c r="AJ61" s="36">
        <v>-148845.74924337346</v>
      </c>
      <c r="AK61" s="36">
        <v>60269.593986746971</v>
      </c>
      <c r="AL61" s="36">
        <v>0.17442199541762132</v>
      </c>
      <c r="AM61" s="37">
        <v>0.22480076506216129</v>
      </c>
      <c r="AN61" s="37">
        <v>0</v>
      </c>
      <c r="AO61" s="37">
        <v>3.7351106069200228</v>
      </c>
      <c r="AP61" s="37">
        <v>0</v>
      </c>
      <c r="AQ61" s="37">
        <v>0</v>
      </c>
      <c r="AR61" s="26">
        <f t="shared" si="1"/>
        <v>0.27286421347105655</v>
      </c>
      <c r="AS61">
        <f>MATCH(Исходник!B61,Модель!$B$2:$B$108,0)</f>
        <v>57</v>
      </c>
    </row>
    <row r="62" spans="1:45" ht="15" x14ac:dyDescent="0.25">
      <c r="A62" s="8">
        <v>2009</v>
      </c>
      <c r="B62" s="9" t="s">
        <v>204</v>
      </c>
      <c r="C62" s="10">
        <v>2009</v>
      </c>
      <c r="D62" s="9" t="s">
        <v>205</v>
      </c>
      <c r="E62" s="18" t="s">
        <v>135</v>
      </c>
      <c r="F62" s="30">
        <v>2475.7422999999999</v>
      </c>
      <c r="G62" s="12">
        <v>40500000</v>
      </c>
      <c r="H62" s="38">
        <v>75.402553812299999</v>
      </c>
      <c r="I62" s="38">
        <v>75.402553812299999</v>
      </c>
      <c r="J62" s="38">
        <v>75.402553812299999</v>
      </c>
      <c r="K62" s="33">
        <v>0</v>
      </c>
      <c r="L62" s="45">
        <v>3.2679738562091609E-2</v>
      </c>
      <c r="M62" s="46">
        <v>92.609581151061761</v>
      </c>
      <c r="N62" s="46"/>
      <c r="O62" s="45">
        <v>3.2679738562091609E-2</v>
      </c>
      <c r="P62" s="39"/>
      <c r="Q62" s="40">
        <v>1.2295113460843998E-2</v>
      </c>
      <c r="R62" s="40">
        <v>0.10272567296535096</v>
      </c>
      <c r="S62" s="18">
        <v>2</v>
      </c>
      <c r="T62" s="41" t="s">
        <v>206</v>
      </c>
      <c r="U62" s="10">
        <v>2</v>
      </c>
      <c r="V62" s="18">
        <v>32.299999999999997</v>
      </c>
      <c r="W62" s="9" t="s">
        <v>154</v>
      </c>
      <c r="X62" s="9">
        <v>1</v>
      </c>
      <c r="Y62" s="10">
        <v>0</v>
      </c>
      <c r="Z62" s="36">
        <v>1184.5723790469876</v>
      </c>
      <c r="AA62" s="36">
        <v>780.81833464216845</v>
      </c>
      <c r="AB62" s="36">
        <v>28.530426868674692</v>
      </c>
      <c r="AC62" s="36">
        <v>105.98792405180721</v>
      </c>
      <c r="AD62" s="36">
        <v>0</v>
      </c>
      <c r="AE62" s="36">
        <v>563.34534239036134</v>
      </c>
      <c r="AF62" s="36">
        <v>561.08181244698778</v>
      </c>
      <c r="AG62" s="36">
        <v>403.75404440481918</v>
      </c>
      <c r="AH62" s="36">
        <v>1039.8059584927707</v>
      </c>
      <c r="AI62" s="36">
        <v>39.101857922891561</v>
      </c>
      <c r="AJ62" s="36">
        <v>-156.00944840481924</v>
      </c>
      <c r="AK62" s="36">
        <v>211.42862108433729</v>
      </c>
      <c r="AL62" s="36">
        <v>0</v>
      </c>
      <c r="AM62" s="37">
        <v>3.760495658206349E-2</v>
      </c>
      <c r="AN62" s="37">
        <v>0</v>
      </c>
      <c r="AO62" s="37">
        <v>14.349236641221372</v>
      </c>
      <c r="AP62" s="37">
        <v>0</v>
      </c>
      <c r="AQ62" s="37">
        <v>0</v>
      </c>
      <c r="AR62" s="26">
        <f t="shared" si="1"/>
        <v>0.26918563717437216</v>
      </c>
      <c r="AS62" t="e">
        <f>MATCH(Исходник!B62,Модель!$B$2:$B$108,0)</f>
        <v>#N/A</v>
      </c>
    </row>
    <row r="63" spans="1:45" ht="15" x14ac:dyDescent="0.25">
      <c r="A63" s="8">
        <v>2009</v>
      </c>
      <c r="B63" s="9" t="s">
        <v>207</v>
      </c>
      <c r="C63" s="10">
        <v>2009</v>
      </c>
      <c r="D63" s="9" t="s">
        <v>45</v>
      </c>
      <c r="E63" s="18" t="s">
        <v>50</v>
      </c>
      <c r="F63" s="30">
        <v>123.42349999999999</v>
      </c>
      <c r="G63" s="12">
        <v>15000000</v>
      </c>
      <c r="H63" s="38">
        <v>9.5</v>
      </c>
      <c r="I63" s="38">
        <v>11</v>
      </c>
      <c r="J63" s="38">
        <v>9</v>
      </c>
      <c r="K63" s="33">
        <v>0.25</v>
      </c>
      <c r="L63" s="45">
        <v>0</v>
      </c>
      <c r="M63" s="46" t="s">
        <v>115</v>
      </c>
      <c r="N63" s="46"/>
      <c r="O63" s="45">
        <v>0</v>
      </c>
      <c r="P63" s="39">
        <v>935.06600000000003</v>
      </c>
      <c r="Q63" s="40">
        <v>2.677146970699229E-2</v>
      </c>
      <c r="R63" s="40">
        <v>6.6197128292929674E-2</v>
      </c>
      <c r="S63" s="18">
        <v>0</v>
      </c>
      <c r="T63" s="41" t="s">
        <v>208</v>
      </c>
      <c r="U63" s="10">
        <v>1</v>
      </c>
      <c r="V63" s="18">
        <v>20</v>
      </c>
      <c r="W63" s="9" t="s">
        <v>144</v>
      </c>
      <c r="X63" s="9">
        <v>1</v>
      </c>
      <c r="Y63" s="10">
        <v>6</v>
      </c>
      <c r="Z63" s="36">
        <v>252.667</v>
      </c>
      <c r="AA63" s="36">
        <v>77.201999999999998</v>
      </c>
      <c r="AB63" s="36">
        <v>197.667</v>
      </c>
      <c r="AC63" s="36">
        <v>77.201999999999998</v>
      </c>
      <c r="AD63" s="36">
        <v>0.218</v>
      </c>
      <c r="AE63" s="36">
        <v>0</v>
      </c>
      <c r="AF63" s="36">
        <v>-6.5529999999999999</v>
      </c>
      <c r="AG63" s="36">
        <v>175.465</v>
      </c>
      <c r="AH63" s="36">
        <v>145.84899999999999</v>
      </c>
      <c r="AI63" s="36">
        <v>0</v>
      </c>
      <c r="AJ63" s="36">
        <v>23.329000000000001</v>
      </c>
      <c r="AK63" s="36">
        <v>0</v>
      </c>
      <c r="AL63" s="36">
        <v>8.6279569552019056E-4</v>
      </c>
      <c r="AM63" s="37">
        <v>0</v>
      </c>
      <c r="AN63" s="37">
        <v>0.15995310218102285</v>
      </c>
      <c r="AO63" s="37">
        <v>0</v>
      </c>
      <c r="AP63" s="37">
        <v>0</v>
      </c>
      <c r="AQ63" s="37">
        <v>0</v>
      </c>
      <c r="AR63" s="26">
        <f t="shared" si="1"/>
        <v>2.5603870366052695</v>
      </c>
      <c r="AS63">
        <f>MATCH(Исходник!B63,Модель!$B$2:$B$108,0)</f>
        <v>58</v>
      </c>
    </row>
    <row r="64" spans="1:45" ht="15" x14ac:dyDescent="0.25">
      <c r="A64" s="8">
        <v>2008</v>
      </c>
      <c r="B64" s="9" t="s">
        <v>209</v>
      </c>
      <c r="C64" s="10">
        <v>2008</v>
      </c>
      <c r="D64" s="9" t="s">
        <v>90</v>
      </c>
      <c r="E64" s="18" t="s">
        <v>110</v>
      </c>
      <c r="F64" s="30">
        <v>11601.808999999999</v>
      </c>
      <c r="G64" s="12">
        <v>35502855</v>
      </c>
      <c r="H64" s="38">
        <v>313.32407499999999</v>
      </c>
      <c r="I64" s="38">
        <v>354.70649999999995</v>
      </c>
      <c r="J64" s="38">
        <v>271.94164999999998</v>
      </c>
      <c r="K64" s="33">
        <v>0.50000000000000033</v>
      </c>
      <c r="L64" s="45">
        <v>-9.8113207547170234E-3</v>
      </c>
      <c r="M64" s="46" t="s">
        <v>115</v>
      </c>
      <c r="N64" s="46"/>
      <c r="O64" s="45">
        <v>-9.8113207547170234E-3</v>
      </c>
      <c r="P64" s="39">
        <v>2676.7646613000002</v>
      </c>
      <c r="Q64" s="40">
        <v>-5.5746037835380235E-4</v>
      </c>
      <c r="R64" s="40">
        <v>0.15402690195890378</v>
      </c>
      <c r="S64" s="18">
        <v>1</v>
      </c>
      <c r="T64" s="41" t="s">
        <v>210</v>
      </c>
      <c r="U64" s="10">
        <v>1</v>
      </c>
      <c r="V64" s="18">
        <v>30.35</v>
      </c>
      <c r="W64" s="9" t="s">
        <v>154</v>
      </c>
      <c r="X64" s="9">
        <v>1</v>
      </c>
      <c r="Y64" s="10">
        <v>4</v>
      </c>
      <c r="Z64" s="36">
        <v>19879.193646660649</v>
      </c>
      <c r="AA64" s="36">
        <v>14189.933452319281</v>
      </c>
      <c r="AB64" s="36">
        <v>3956.1742454799205</v>
      </c>
      <c r="AC64" s="36">
        <v>5884.9596249859451</v>
      </c>
      <c r="AD64" s="36">
        <v>0</v>
      </c>
      <c r="AE64" s="36">
        <v>11528.175900536147</v>
      </c>
      <c r="AF64" s="36">
        <v>10733.445597449801</v>
      </c>
      <c r="AG64" s="36">
        <v>5689.2601943413665</v>
      </c>
      <c r="AH64" s="36">
        <v>14024.512625319279</v>
      </c>
      <c r="AI64" s="36">
        <v>4553.0076833955836</v>
      </c>
      <c r="AJ64" s="36">
        <v>1995.1172403172693</v>
      </c>
      <c r="AK64" s="36">
        <v>2339.6800843232936</v>
      </c>
      <c r="AL64" s="36">
        <v>0</v>
      </c>
      <c r="AM64" s="37">
        <v>0.32464641054091031</v>
      </c>
      <c r="AN64" s="37">
        <v>0.14225929225628609</v>
      </c>
      <c r="AO64" s="37">
        <v>2.3574406949923956</v>
      </c>
      <c r="AP64" s="37">
        <v>0.10582102366478578</v>
      </c>
      <c r="AQ64" s="37">
        <v>0.36082838678074736</v>
      </c>
      <c r="AR64" s="26">
        <f t="shared" si="1"/>
        <v>0.67225172262577226</v>
      </c>
      <c r="AS64">
        <f>MATCH(Исходник!B64,Модель!$B$2:$B$108,0)</f>
        <v>59</v>
      </c>
    </row>
    <row r="65" spans="1:45" ht="15" x14ac:dyDescent="0.25">
      <c r="A65" s="8">
        <v>2008</v>
      </c>
      <c r="B65" t="s">
        <v>211</v>
      </c>
      <c r="C65" s="10">
        <v>2008</v>
      </c>
      <c r="D65" t="s">
        <v>45</v>
      </c>
      <c r="E65" s="48" t="s">
        <v>212</v>
      </c>
      <c r="F65" s="30">
        <v>11140.5216</v>
      </c>
      <c r="G65" s="12">
        <v>52922890034</v>
      </c>
      <c r="H65">
        <v>0.21</v>
      </c>
      <c r="I65">
        <v>0.21</v>
      </c>
      <c r="J65">
        <v>0.21</v>
      </c>
      <c r="K65" s="28">
        <v>0</v>
      </c>
      <c r="L65" s="28">
        <v>0</v>
      </c>
      <c r="M65" s="51"/>
      <c r="N65" s="51"/>
      <c r="O65" s="28">
        <v>0</v>
      </c>
      <c r="Q65" s="17">
        <v>2.3693609942264438E-2</v>
      </c>
      <c r="R65" s="17">
        <v>3.9121031437823417E-2</v>
      </c>
      <c r="S65" s="48">
        <v>2</v>
      </c>
      <c r="T65" s="52" t="s">
        <v>213</v>
      </c>
      <c r="U65" s="10">
        <v>2</v>
      </c>
      <c r="V65" s="56">
        <v>33.200000000000003</v>
      </c>
      <c r="W65" s="9" t="s">
        <v>48</v>
      </c>
      <c r="X65" s="9">
        <v>1</v>
      </c>
      <c r="Y65" s="10">
        <v>3</v>
      </c>
      <c r="Z65" s="36">
        <v>33241.531000000003</v>
      </c>
      <c r="AA65" s="36">
        <v>7132.2380000000012</v>
      </c>
      <c r="AB65" s="36">
        <v>1550.75</v>
      </c>
      <c r="AC65" s="36">
        <v>2289.1959999999999</v>
      </c>
      <c r="AD65" s="36">
        <v>21.888000000000002</v>
      </c>
      <c r="AE65" s="36">
        <v>1341.652</v>
      </c>
      <c r="AF65" s="36">
        <v>890.15800000000002</v>
      </c>
      <c r="AG65" s="36">
        <v>26109.293000000001</v>
      </c>
      <c r="AH65" s="36">
        <v>9681.8770000000004</v>
      </c>
      <c r="AI65" s="36">
        <v>312.99900000000002</v>
      </c>
      <c r="AJ65" s="36">
        <v>-1254.9659999999999</v>
      </c>
      <c r="AK65" s="36">
        <v>715.27100000000007</v>
      </c>
      <c r="AL65" s="36">
        <v>6.5845342682922759E-4</v>
      </c>
      <c r="AM65" s="37">
        <v>3.2328338812814911E-2</v>
      </c>
      <c r="AN65" s="37">
        <v>0</v>
      </c>
      <c r="AO65" s="37">
        <v>2.8439643577136029</v>
      </c>
      <c r="AP65" s="37">
        <v>0</v>
      </c>
      <c r="AQ65" s="37">
        <v>0</v>
      </c>
      <c r="AR65" s="26">
        <f t="shared" si="1"/>
        <v>0.67742124309146101</v>
      </c>
      <c r="AS65">
        <f>MATCH(Исходник!B65,Модель!$B$2:$B$108,0)</f>
        <v>60</v>
      </c>
    </row>
    <row r="66" spans="1:45" ht="15" x14ac:dyDescent="0.25">
      <c r="A66" s="8">
        <v>2007</v>
      </c>
      <c r="B66" s="9" t="s">
        <v>214</v>
      </c>
      <c r="C66" s="10">
        <v>2007</v>
      </c>
      <c r="D66" s="9" t="s">
        <v>45</v>
      </c>
      <c r="E66" s="18" t="s">
        <v>171</v>
      </c>
      <c r="F66" s="30">
        <v>4948.835</v>
      </c>
      <c r="G66" s="12">
        <v>2720000</v>
      </c>
      <c r="H66" s="38">
        <v>1714.4190000000001</v>
      </c>
      <c r="I66" s="38">
        <v>1763.4024000000002</v>
      </c>
      <c r="J66" s="38">
        <v>1493.9937</v>
      </c>
      <c r="K66" s="33">
        <v>0.81818181818181801</v>
      </c>
      <c r="L66" s="45">
        <v>-5.0000000000000044E-2</v>
      </c>
      <c r="M66" s="46" t="s">
        <v>115</v>
      </c>
      <c r="N66" s="46"/>
      <c r="O66" s="45">
        <v>-5.0000000000000044E-2</v>
      </c>
      <c r="P66" s="39">
        <v>639.63390470000002</v>
      </c>
      <c r="Q66" s="40">
        <v>-1.1725239616613425E-2</v>
      </c>
      <c r="R66" s="40">
        <v>5.1171458998935382E-3</v>
      </c>
      <c r="S66" s="18">
        <v>1</v>
      </c>
      <c r="T66" s="41" t="s">
        <v>215</v>
      </c>
      <c r="U66" s="10">
        <v>1</v>
      </c>
      <c r="V66" s="18">
        <v>23.45</v>
      </c>
      <c r="W66" s="9" t="s">
        <v>198</v>
      </c>
      <c r="X66" s="9">
        <v>2</v>
      </c>
      <c r="Y66" s="10">
        <v>9</v>
      </c>
      <c r="Z66" s="36">
        <v>7592.2860000000001</v>
      </c>
      <c r="AA66" s="36">
        <v>5438.7880000000005</v>
      </c>
      <c r="AB66" s="36">
        <v>5486.0230000000001</v>
      </c>
      <c r="AC66" s="36">
        <v>4969.6170000000002</v>
      </c>
      <c r="AD66" s="36">
        <v>184.89400000000001</v>
      </c>
      <c r="AE66" s="36">
        <v>3930.0109999999995</v>
      </c>
      <c r="AF66" s="36">
        <v>3636.2479999999996</v>
      </c>
      <c r="AG66" s="36">
        <v>2153.498</v>
      </c>
      <c r="AH66" s="36">
        <v>7165.6760000000004</v>
      </c>
      <c r="AI66" s="36">
        <v>1138.526267821705</v>
      </c>
      <c r="AJ66" s="36">
        <v>690.60199999999998</v>
      </c>
      <c r="AK66" s="36">
        <v>453.24</v>
      </c>
      <c r="AL66" s="36">
        <v>2.4352876063941743E-2</v>
      </c>
      <c r="AM66" s="37">
        <v>0.15888609362490083</v>
      </c>
      <c r="AN66" s="37">
        <v>9.6376392122669227E-2</v>
      </c>
      <c r="AO66" s="37">
        <v>3.1938200310099845</v>
      </c>
      <c r="AP66" s="37">
        <v>0.11324172520792691</v>
      </c>
      <c r="AQ66" s="37">
        <v>0.38677465261228944</v>
      </c>
      <c r="AR66" s="26">
        <f t="shared" si="1"/>
        <v>1.1039126355210069</v>
      </c>
      <c r="AS66">
        <f>MATCH(Исходник!B66,Модель!$B$2:$B$108,0)</f>
        <v>61</v>
      </c>
    </row>
    <row r="67" spans="1:45" ht="15" x14ac:dyDescent="0.25">
      <c r="A67" s="8">
        <v>2007</v>
      </c>
      <c r="B67" s="9" t="s">
        <v>216</v>
      </c>
      <c r="C67" s="10">
        <v>2007</v>
      </c>
      <c r="D67" s="9" t="s">
        <v>45</v>
      </c>
      <c r="E67" s="18" t="s">
        <v>56</v>
      </c>
      <c r="F67" s="30">
        <v>19998.119599999998</v>
      </c>
      <c r="G67" s="12">
        <v>10643618</v>
      </c>
      <c r="H67" s="38">
        <v>355.42835000000002</v>
      </c>
      <c r="I67" s="38">
        <v>404.45294999999999</v>
      </c>
      <c r="J67" s="38">
        <v>318.65989999999999</v>
      </c>
      <c r="K67" s="33">
        <v>0.42857142857142894</v>
      </c>
      <c r="L67" s="45">
        <v>4.0172413793103452</v>
      </c>
      <c r="M67" s="46" t="s">
        <v>115</v>
      </c>
      <c r="N67" s="46"/>
      <c r="O67" s="57">
        <v>3.4482758620689789E-3</v>
      </c>
      <c r="P67" s="39">
        <v>2804.0976243</v>
      </c>
      <c r="Q67" s="40">
        <v>7.2180925113602967E-3</v>
      </c>
      <c r="R67" s="40">
        <v>2.2053531559454775E-2</v>
      </c>
      <c r="S67" s="18">
        <v>2</v>
      </c>
      <c r="T67" s="41" t="s">
        <v>217</v>
      </c>
      <c r="U67" s="10">
        <v>2</v>
      </c>
      <c r="V67" s="18">
        <v>12.5</v>
      </c>
      <c r="W67" s="9" t="s">
        <v>161</v>
      </c>
      <c r="X67" s="9">
        <v>3</v>
      </c>
      <c r="Y67" s="10">
        <v>14</v>
      </c>
      <c r="Z67" s="36">
        <v>38741.328999999998</v>
      </c>
      <c r="AA67" s="36">
        <v>33601.642</v>
      </c>
      <c r="AB67" s="36">
        <v>25324.833999999999</v>
      </c>
      <c r="AC67" s="36">
        <v>23927.738000000001</v>
      </c>
      <c r="AD67" s="36">
        <v>575.90300000000002</v>
      </c>
      <c r="AE67" s="36">
        <v>14477.88</v>
      </c>
      <c r="AF67" s="36">
        <v>12869.657999999999</v>
      </c>
      <c r="AG67" s="36">
        <v>5139.6869999999999</v>
      </c>
      <c r="AH67" s="36">
        <v>21110.751</v>
      </c>
      <c r="AI67" s="36">
        <v>3625.4279999999999</v>
      </c>
      <c r="AJ67" s="36">
        <v>1100.9449999999999</v>
      </c>
      <c r="AK67" s="36">
        <v>2964.9</v>
      </c>
      <c r="AL67" s="36">
        <v>1.4865339286631082E-2</v>
      </c>
      <c r="AM67" s="37">
        <v>0.17173372941587914</v>
      </c>
      <c r="AN67" s="37">
        <v>5.2150915900623332E-2</v>
      </c>
      <c r="AO67" s="37">
        <v>3.5498313578424394</v>
      </c>
      <c r="AP67" s="37">
        <v>5.0798002196096724E-2</v>
      </c>
      <c r="AQ67" s="37">
        <v>0.33579365562289554</v>
      </c>
      <c r="AR67" s="26">
        <f t="shared" si="1"/>
        <v>1.0583881351425697</v>
      </c>
      <c r="AS67">
        <f>MATCH(Исходник!B67,Модель!$B$2:$B$108,0)</f>
        <v>62</v>
      </c>
    </row>
    <row r="68" spans="1:45" ht="15" x14ac:dyDescent="0.25">
      <c r="A68" s="8">
        <v>2007</v>
      </c>
      <c r="B68" s="9" t="s">
        <v>218</v>
      </c>
      <c r="C68" s="10">
        <v>2007</v>
      </c>
      <c r="D68" s="9" t="s">
        <v>45</v>
      </c>
      <c r="E68" s="18" t="s">
        <v>110</v>
      </c>
      <c r="F68" s="30">
        <v>24737.460499999997</v>
      </c>
      <c r="G68" s="12">
        <v>3731873325</v>
      </c>
      <c r="H68" s="38">
        <v>473.94623999999999</v>
      </c>
      <c r="I68" s="38">
        <v>473.94623999999999</v>
      </c>
      <c r="J68" s="38">
        <v>375.20743999999996</v>
      </c>
      <c r="K68" s="33">
        <v>1</v>
      </c>
      <c r="L68" s="45">
        <v>8.3333333333333481E-2</v>
      </c>
      <c r="M68" s="46">
        <v>8.5227873028840975</v>
      </c>
      <c r="N68" s="46"/>
      <c r="O68" s="45">
        <v>8.3333333333333481E-2</v>
      </c>
      <c r="P68" s="39">
        <v>90981.581828200011</v>
      </c>
      <c r="Q68" s="40">
        <v>6.9220836972070376E-3</v>
      </c>
      <c r="R68" s="40">
        <v>-1.4846047929536255E-2</v>
      </c>
      <c r="S68" s="18">
        <v>0</v>
      </c>
      <c r="T68" s="41" t="s">
        <v>219</v>
      </c>
      <c r="U68" s="10">
        <v>2</v>
      </c>
      <c r="V68" s="18">
        <v>19.38</v>
      </c>
      <c r="W68" s="9" t="s">
        <v>140</v>
      </c>
      <c r="X68" s="9">
        <v>2</v>
      </c>
      <c r="Y68" s="10">
        <v>15</v>
      </c>
      <c r="Z68" s="36">
        <v>17069.783320458886</v>
      </c>
      <c r="AA68" s="36">
        <v>12674.13597109235</v>
      </c>
      <c r="AB68" s="36">
        <v>9842.224244527024</v>
      </c>
      <c r="AC68" s="36">
        <v>6922.2850592987961</v>
      </c>
      <c r="AD68" s="36">
        <v>0</v>
      </c>
      <c r="AE68" s="36">
        <v>7536.9576837229897</v>
      </c>
      <c r="AF68" s="36">
        <v>6741.9970089423441</v>
      </c>
      <c r="AG68" s="36">
        <v>4395.6473493665362</v>
      </c>
      <c r="AH68" s="36">
        <v>29511.775361569376</v>
      </c>
      <c r="AI68" s="36">
        <v>4504.2977638197617</v>
      </c>
      <c r="AJ68" s="36">
        <v>2462.9507661955663</v>
      </c>
      <c r="AK68" s="36">
        <v>2607.7727596862924</v>
      </c>
      <c r="AL68" s="36">
        <v>0</v>
      </c>
      <c r="AM68" s="37">
        <v>0.15262713641027906</v>
      </c>
      <c r="AN68" s="37">
        <v>8.3456543566770763E-2</v>
      </c>
      <c r="AO68" s="37">
        <v>1.4967920333989988</v>
      </c>
      <c r="AP68" s="37">
        <v>0.18266967610924559</v>
      </c>
      <c r="AQ68" s="37">
        <v>0.80438683948155532</v>
      </c>
      <c r="AR68" s="26">
        <f t="shared" si="1"/>
        <v>1.4218172410143433</v>
      </c>
      <c r="AS68">
        <f>MATCH(Исходник!B68,Модель!$B$2:$B$108,0)</f>
        <v>63</v>
      </c>
    </row>
    <row r="69" spans="1:45" ht="15" x14ac:dyDescent="0.25">
      <c r="A69" s="8">
        <v>2007</v>
      </c>
      <c r="B69" s="9" t="s">
        <v>220</v>
      </c>
      <c r="C69" s="10">
        <v>2007</v>
      </c>
      <c r="D69" s="9" t="s">
        <v>221</v>
      </c>
      <c r="E69" s="18" t="s">
        <v>135</v>
      </c>
      <c r="F69" s="30">
        <v>20207.194200000002</v>
      </c>
      <c r="G69" s="12">
        <v>33331802</v>
      </c>
      <c r="H69" s="38">
        <v>580.09045000000003</v>
      </c>
      <c r="I69" s="38">
        <v>671.42383999999993</v>
      </c>
      <c r="J69" s="38">
        <v>513.44176000000004</v>
      </c>
      <c r="K69" s="33">
        <v>0.42187500000000022</v>
      </c>
      <c r="L69" s="45">
        <v>6.5957446808510678E-2</v>
      </c>
      <c r="M69" s="46">
        <v>2623.256286124315</v>
      </c>
      <c r="N69" s="46"/>
      <c r="O69" s="45">
        <v>6.5957446808510678E-2</v>
      </c>
      <c r="P69" s="39"/>
      <c r="Q69" s="40">
        <v>6.9220836972070376E-3</v>
      </c>
      <c r="R69" s="40">
        <v>-1.4846047929536255E-2</v>
      </c>
      <c r="S69" s="18">
        <v>0</v>
      </c>
      <c r="T69" s="41" t="s">
        <v>222</v>
      </c>
      <c r="U69" s="10">
        <v>2</v>
      </c>
      <c r="V69" s="18">
        <v>20.59</v>
      </c>
      <c r="W69" s="9" t="s">
        <v>154</v>
      </c>
      <c r="X69" s="9">
        <v>1</v>
      </c>
      <c r="Y69" s="10">
        <v>3</v>
      </c>
      <c r="Z69" s="36">
        <v>35191.391657160508</v>
      </c>
      <c r="AA69" s="36">
        <v>17454.1029557988</v>
      </c>
      <c r="AB69" s="36">
        <v>3588.4757139205672</v>
      </c>
      <c r="AC69" s="36">
        <v>2339.6471989439538</v>
      </c>
      <c r="AD69" s="36">
        <v>385.18797032056483</v>
      </c>
      <c r="AE69" s="36">
        <v>14726.337155974608</v>
      </c>
      <c r="AF69" s="36">
        <v>13721.32082228227</v>
      </c>
      <c r="AG69" s="36">
        <v>17737.288701361707</v>
      </c>
      <c r="AH69" s="36">
        <v>7524.041200885893</v>
      </c>
      <c r="AI69" s="36">
        <v>3231.1558693850834</v>
      </c>
      <c r="AJ69" s="36">
        <v>1196.375655052017</v>
      </c>
      <c r="AK69" s="36">
        <v>2708.4453465048409</v>
      </c>
      <c r="AL69" s="36">
        <v>1.0945516848924881E-2</v>
      </c>
      <c r="AM69" s="37">
        <v>0.42944420200737893</v>
      </c>
      <c r="AN69" s="37">
        <v>0.15900705792402545</v>
      </c>
      <c r="AO69" s="37">
        <v>4.2465672895234094</v>
      </c>
      <c r="AP69" s="37">
        <v>4.6744731821331195E-2</v>
      </c>
      <c r="AQ69" s="37">
        <v>7.4111303953168783E-2</v>
      </c>
      <c r="AR69" s="26">
        <f t="shared" si="1"/>
        <v>1.5337678755755555</v>
      </c>
      <c r="AS69">
        <f>MATCH(Исходник!B69,Модель!$B$2:$B$108,0)</f>
        <v>64</v>
      </c>
    </row>
    <row r="70" spans="1:45" ht="15" x14ac:dyDescent="0.25">
      <c r="A70" s="8">
        <v>2007</v>
      </c>
      <c r="B70" s="9" t="s">
        <v>223</v>
      </c>
      <c r="C70" s="10">
        <v>2007</v>
      </c>
      <c r="D70" s="9" t="s">
        <v>45</v>
      </c>
      <c r="E70" s="18" t="s">
        <v>102</v>
      </c>
      <c r="F70" s="30">
        <v>9401.0859999999993</v>
      </c>
      <c r="G70" s="12">
        <v>52500000</v>
      </c>
      <c r="H70" s="38">
        <v>171.47318000000001</v>
      </c>
      <c r="I70" s="38">
        <v>178.8749</v>
      </c>
      <c r="J70" s="38">
        <v>166.53870000000001</v>
      </c>
      <c r="K70" s="33">
        <v>0.40000000000000091</v>
      </c>
      <c r="L70" s="45">
        <v>1.1510791366906581E-2</v>
      </c>
      <c r="M70" s="46">
        <v>4.5116000000000003E-2</v>
      </c>
      <c r="N70" s="46"/>
      <c r="O70" s="45">
        <v>1.1510791366906581E-2</v>
      </c>
      <c r="P70" s="39">
        <v>25788.486421500002</v>
      </c>
      <c r="Q70" s="40">
        <v>-4.3952995898075553E-3</v>
      </c>
      <c r="R70" s="40">
        <v>-1.9176094690968815E-2</v>
      </c>
      <c r="S70" s="18">
        <v>1</v>
      </c>
      <c r="T70" s="41" t="s">
        <v>210</v>
      </c>
      <c r="U70" s="10">
        <v>1</v>
      </c>
      <c r="V70" s="18">
        <v>29.2</v>
      </c>
      <c r="W70" s="9" t="s">
        <v>198</v>
      </c>
      <c r="X70" s="9">
        <v>2</v>
      </c>
      <c r="Y70" s="10">
        <v>14</v>
      </c>
      <c r="Z70" s="36">
        <v>15616</v>
      </c>
      <c r="AA70" s="36">
        <v>14521</v>
      </c>
      <c r="AB70" s="36">
        <v>11686</v>
      </c>
      <c r="AC70" s="36">
        <v>11907</v>
      </c>
      <c r="AD70" s="36">
        <v>33</v>
      </c>
      <c r="AE70" s="36">
        <v>7038</v>
      </c>
      <c r="AF70" s="36">
        <v>6106</v>
      </c>
      <c r="AG70" s="36">
        <v>1095</v>
      </c>
      <c r="AH70" s="36">
        <v>31402</v>
      </c>
      <c r="AI70" s="36">
        <v>1446</v>
      </c>
      <c r="AJ70" s="36">
        <v>398</v>
      </c>
      <c r="AK70" s="36">
        <v>3083</v>
      </c>
      <c r="AL70" s="36">
        <v>2.1132172131147543E-3</v>
      </c>
      <c r="AM70" s="37">
        <v>4.6048022418954206E-2</v>
      </c>
      <c r="AN70" s="37">
        <v>1.2674351952104961E-2</v>
      </c>
      <c r="AO70" s="37">
        <v>4.2226832641770402</v>
      </c>
      <c r="AP70" s="37">
        <v>3.3009869785187031E-2</v>
      </c>
      <c r="AQ70" s="37">
        <v>1.3891797556719023</v>
      </c>
      <c r="AR70" s="26">
        <f t="shared" ref="AR70:AR119" si="2">AB70/AC70</f>
        <v>0.98143948937599734</v>
      </c>
      <c r="AS70">
        <f>MATCH(Исходник!B70,Модель!$B$2:$B$108,0)</f>
        <v>65</v>
      </c>
    </row>
    <row r="71" spans="1:45" ht="15" x14ac:dyDescent="0.25">
      <c r="A71" s="8">
        <v>2007</v>
      </c>
      <c r="B71" t="s">
        <v>224</v>
      </c>
      <c r="C71" s="10">
        <v>2007</v>
      </c>
      <c r="D71" t="s">
        <v>45</v>
      </c>
      <c r="E71" s="48" t="s">
        <v>225</v>
      </c>
      <c r="F71" s="30">
        <v>31165.3053</v>
      </c>
      <c r="G71" s="12">
        <v>305381063</v>
      </c>
      <c r="H71" s="11">
        <v>102.03795</v>
      </c>
      <c r="I71" s="11">
        <v>102.03795</v>
      </c>
      <c r="J71" s="11">
        <v>81.630359999999996</v>
      </c>
      <c r="K71" s="28">
        <v>1</v>
      </c>
      <c r="L71" s="28">
        <v>0.23428571428571443</v>
      </c>
      <c r="M71" s="51" t="s">
        <v>115</v>
      </c>
      <c r="N71" s="51"/>
      <c r="O71" s="28">
        <v>0.23428571428571443</v>
      </c>
      <c r="P71" s="39">
        <v>78845</v>
      </c>
      <c r="Q71" s="17">
        <v>-7.3614521694918E-3</v>
      </c>
      <c r="R71" s="17">
        <v>2.9860342958026642E-2</v>
      </c>
      <c r="S71" s="48">
        <v>3</v>
      </c>
      <c r="T71" s="52" t="s">
        <v>226</v>
      </c>
      <c r="U71" s="10">
        <v>3</v>
      </c>
      <c r="V71" s="48">
        <v>14.38</v>
      </c>
      <c r="W71" t="s">
        <v>227</v>
      </c>
      <c r="X71" s="9">
        <v>2</v>
      </c>
      <c r="Y71" s="10">
        <v>15</v>
      </c>
      <c r="Z71" s="36">
        <v>33038</v>
      </c>
      <c r="AA71" s="36">
        <v>15388</v>
      </c>
      <c r="AB71" s="36">
        <v>9352</v>
      </c>
      <c r="AC71" s="36">
        <v>10731</v>
      </c>
      <c r="AD71" s="36">
        <v>171</v>
      </c>
      <c r="AE71" s="36">
        <v>11595</v>
      </c>
      <c r="AF71" s="36">
        <v>8783</v>
      </c>
      <c r="AG71" s="36">
        <v>17650</v>
      </c>
      <c r="AH71" s="36">
        <v>22290</v>
      </c>
      <c r="AI71" s="36">
        <v>6526</v>
      </c>
      <c r="AJ71" s="36">
        <v>3494</v>
      </c>
      <c r="AK71" s="36">
        <v>5198</v>
      </c>
      <c r="AL71" s="36">
        <v>5.1758581027907258E-3</v>
      </c>
      <c r="AM71" s="37">
        <v>0.29277703005832212</v>
      </c>
      <c r="AN71" s="37">
        <v>0.15675190668461195</v>
      </c>
      <c r="AO71" s="37">
        <v>1.3458473797119215</v>
      </c>
      <c r="AP71" s="37">
        <v>0.11061512647608193</v>
      </c>
      <c r="AQ71" s="37">
        <v>0.19613236408543602</v>
      </c>
      <c r="AR71" s="26">
        <f t="shared" si="2"/>
        <v>0.87149380300065227</v>
      </c>
      <c r="AS71">
        <f>MATCH(Исходник!B71,Модель!$B$2:$B$108,0)</f>
        <v>66</v>
      </c>
    </row>
    <row r="72" spans="1:45" ht="30" x14ac:dyDescent="0.25">
      <c r="A72" s="8">
        <v>2007</v>
      </c>
      <c r="B72" s="9" t="s">
        <v>228</v>
      </c>
      <c r="C72" s="10">
        <v>2007</v>
      </c>
      <c r="D72" t="s">
        <v>45</v>
      </c>
      <c r="E72" s="8" t="s">
        <v>212</v>
      </c>
      <c r="F72" s="30">
        <v>25582.3596</v>
      </c>
      <c r="G72" s="58">
        <v>26480895818</v>
      </c>
      <c r="H72" s="59">
        <v>4</v>
      </c>
      <c r="I72">
        <v>4.5</v>
      </c>
      <c r="J72">
        <v>3.75</v>
      </c>
      <c r="K72" s="33">
        <v>0</v>
      </c>
      <c r="L72" s="60">
        <v>-1.828571428571435E-2</v>
      </c>
      <c r="M72" s="26">
        <v>9.8949473333333302E-2</v>
      </c>
      <c r="O72" s="28">
        <v>-1.828571428571435E-2</v>
      </c>
      <c r="P72" s="26">
        <v>0.10266773704697987</v>
      </c>
      <c r="Q72" s="61">
        <v>-4.6972583250947109E-3</v>
      </c>
      <c r="R72" s="61">
        <v>-5.2410319091802382E-3</v>
      </c>
      <c r="S72" s="18">
        <v>3</v>
      </c>
      <c r="T72" s="52" t="s">
        <v>229</v>
      </c>
      <c r="U72" s="10">
        <v>3</v>
      </c>
      <c r="V72" s="18">
        <v>19</v>
      </c>
      <c r="W72" t="s">
        <v>230</v>
      </c>
      <c r="X72" s="9">
        <v>2</v>
      </c>
      <c r="Y72" s="10">
        <v>2</v>
      </c>
      <c r="Z72" s="36">
        <v>23807.264999999999</v>
      </c>
      <c r="AA72" s="36">
        <v>10732.396000000001</v>
      </c>
      <c r="AB72" s="36">
        <v>5859.902</v>
      </c>
      <c r="AC72" s="36">
        <v>6495.7529999999997</v>
      </c>
      <c r="AD72" s="36">
        <v>298.86099999999999</v>
      </c>
      <c r="AE72" s="36">
        <v>5737.4569999999994</v>
      </c>
      <c r="AF72" s="36">
        <v>4558.8869999999997</v>
      </c>
      <c r="AG72" s="36">
        <v>13074.869000000001</v>
      </c>
      <c r="AH72" s="36">
        <v>25433.668000000001</v>
      </c>
      <c r="AI72" s="36">
        <v>4512.7719999999999</v>
      </c>
      <c r="AJ72" s="36">
        <v>2434.0129999999999</v>
      </c>
      <c r="AK72" s="36">
        <v>826.4</v>
      </c>
      <c r="AL72" s="36">
        <v>1.2553352936593095E-2</v>
      </c>
      <c r="AM72" s="37">
        <v>0.17743299943995494</v>
      </c>
      <c r="AN72" s="37">
        <v>9.570043141240972E-2</v>
      </c>
      <c r="AO72" s="37">
        <v>1.0102187746245543</v>
      </c>
      <c r="AP72" s="37">
        <v>0.11784235290124848</v>
      </c>
      <c r="AQ72" s="37">
        <v>0.20031872233878842</v>
      </c>
      <c r="AR72" s="26">
        <f t="shared" si="2"/>
        <v>0.90211281124759524</v>
      </c>
      <c r="AS72" s="165" t="e">
        <f>MATCH(Исходник!B72,Модель!$B$2:$B$108,0)</f>
        <v>#N/A</v>
      </c>
    </row>
    <row r="73" spans="1:45" ht="15" x14ac:dyDescent="0.25">
      <c r="A73" s="8">
        <v>2007</v>
      </c>
      <c r="B73" s="10" t="s">
        <v>231</v>
      </c>
      <c r="C73" s="10">
        <v>2007</v>
      </c>
      <c r="D73" s="10" t="s">
        <v>45</v>
      </c>
      <c r="E73" s="8" t="s">
        <v>110</v>
      </c>
      <c r="F73" s="30">
        <v>5256.2028</v>
      </c>
      <c r="G73" s="31">
        <v>306509000</v>
      </c>
      <c r="H73" s="32">
        <v>16.829999999999998</v>
      </c>
      <c r="I73" s="32">
        <v>15</v>
      </c>
      <c r="J73" s="32">
        <v>15</v>
      </c>
      <c r="K73" s="33">
        <v>0</v>
      </c>
      <c r="L73" s="33">
        <v>0.17468805704099832</v>
      </c>
      <c r="M73" s="46" t="s">
        <v>115</v>
      </c>
      <c r="N73" s="46"/>
      <c r="O73" s="28">
        <v>0.17468805704099832</v>
      </c>
      <c r="P73" s="32">
        <v>957.423</v>
      </c>
      <c r="Q73" s="34">
        <v>1.9098236187360396E-3</v>
      </c>
      <c r="R73" s="34">
        <v>1.9098236187360396E-3</v>
      </c>
      <c r="S73" s="8">
        <v>0</v>
      </c>
      <c r="T73" s="35" t="s">
        <v>115</v>
      </c>
      <c r="U73" s="10">
        <v>0</v>
      </c>
      <c r="V73" s="8">
        <v>13</v>
      </c>
      <c r="W73" s="10" t="s">
        <v>127</v>
      </c>
      <c r="X73" s="10">
        <v>1</v>
      </c>
      <c r="Y73" s="10">
        <v>15</v>
      </c>
      <c r="Z73" s="43">
        <v>44509.443659999997</v>
      </c>
      <c r="AA73" s="43">
        <v>26677.735390000002</v>
      </c>
      <c r="AB73" s="43">
        <v>8617.2535100000005</v>
      </c>
      <c r="AC73" s="43">
        <v>14603.71574</v>
      </c>
      <c r="AD73" s="43">
        <v>6662.1760999999997</v>
      </c>
      <c r="AE73" s="43">
        <v>22272.211480000002</v>
      </c>
      <c r="AF73" s="43">
        <v>20861.747930000001</v>
      </c>
      <c r="AG73" s="43">
        <v>17830.286989999997</v>
      </c>
      <c r="AH73" s="43">
        <v>12040.56691</v>
      </c>
      <c r="AI73" s="43">
        <v>4626.3488799999996</v>
      </c>
      <c r="AJ73" s="43">
        <v>1723.0401100000001</v>
      </c>
      <c r="AK73" s="43">
        <v>7331.02045</v>
      </c>
      <c r="AL73" s="36">
        <v>0.14968005780730984</v>
      </c>
      <c r="AM73" s="44">
        <v>0.38423015415974293</v>
      </c>
      <c r="AN73" s="44">
        <v>0.14310290560895195</v>
      </c>
      <c r="AO73" s="37">
        <v>4.5093330553142383</v>
      </c>
      <c r="AP73" s="44">
        <v>3.8711787169527612E-2</v>
      </c>
      <c r="AQ73" s="44">
        <v>9.6635579167422048E-2</v>
      </c>
      <c r="AR73" s="26">
        <f t="shared" si="2"/>
        <v>0.59007266804003133</v>
      </c>
      <c r="AS73">
        <f>MATCH(Исходник!B73,Модель!$B$2:$B$108,0)</f>
        <v>67</v>
      </c>
    </row>
    <row r="74" spans="1:45" ht="15" x14ac:dyDescent="0.25">
      <c r="A74" s="8">
        <v>2007</v>
      </c>
      <c r="B74" s="9" t="s">
        <v>232</v>
      </c>
      <c r="C74" s="10">
        <v>2007</v>
      </c>
      <c r="D74" s="9" t="s">
        <v>45</v>
      </c>
      <c r="E74" s="18" t="s">
        <v>233</v>
      </c>
      <c r="F74" s="30">
        <v>2652.88</v>
      </c>
      <c r="G74" s="12">
        <v>3125000</v>
      </c>
      <c r="H74" s="38">
        <v>828.93759999999997</v>
      </c>
      <c r="I74" s="38">
        <v>1113.8849</v>
      </c>
      <c r="J74" s="38">
        <v>803.03329999999994</v>
      </c>
      <c r="K74" s="33">
        <v>8.3333333333333426E-2</v>
      </c>
      <c r="L74" s="45">
        <v>0.140625</v>
      </c>
      <c r="M74" s="46" t="s">
        <v>115</v>
      </c>
      <c r="N74" s="46"/>
      <c r="O74" s="45">
        <v>0.140625</v>
      </c>
      <c r="P74" s="39">
        <v>102.69684359999999</v>
      </c>
      <c r="Q74" s="40">
        <v>3.1553676273928133E-2</v>
      </c>
      <c r="R74" s="40">
        <v>7.1545015729077788E-2</v>
      </c>
      <c r="S74" s="18">
        <v>0</v>
      </c>
      <c r="T74" s="41" t="s">
        <v>215</v>
      </c>
      <c r="U74" s="10">
        <v>1</v>
      </c>
      <c r="V74" s="18">
        <v>19.649999999999999</v>
      </c>
      <c r="W74" s="9" t="s">
        <v>179</v>
      </c>
      <c r="X74" s="9">
        <v>1</v>
      </c>
      <c r="Y74" s="10">
        <v>16</v>
      </c>
      <c r="Z74" s="36">
        <v>2709.0423268040345</v>
      </c>
      <c r="AA74" s="36">
        <v>3356.1689711298409</v>
      </c>
      <c r="AB74" s="36">
        <v>658.25218626532308</v>
      </c>
      <c r="AC74" s="36">
        <v>1783.3972374362916</v>
      </c>
      <c r="AD74" s="36">
        <v>165.66203302620983</v>
      </c>
      <c r="AE74" s="36">
        <v>1911.9108145717757</v>
      </c>
      <c r="AF74" s="36">
        <v>1743.0467963044368</v>
      </c>
      <c r="AG74" s="36">
        <v>-647.12664432580698</v>
      </c>
      <c r="AH74" s="36">
        <v>5932.5188587040375</v>
      </c>
      <c r="AI74" s="36">
        <v>562.43684824475849</v>
      </c>
      <c r="AJ74" s="36">
        <v>21.138529685080663</v>
      </c>
      <c r="AK74" s="36">
        <v>485.94196354354881</v>
      </c>
      <c r="AL74" s="36">
        <v>6.1151511509105118E-2</v>
      </c>
      <c r="AM74" s="37">
        <v>9.4805741311646374E-2</v>
      </c>
      <c r="AN74" s="37">
        <v>3.5631626613486047E-3</v>
      </c>
      <c r="AO74" s="37">
        <v>3.0990977951464274</v>
      </c>
      <c r="AP74" s="37">
        <v>1.8120842993712136E-4</v>
      </c>
      <c r="AQ74" s="37">
        <v>0</v>
      </c>
      <c r="AR74" s="26">
        <f t="shared" si="2"/>
        <v>0.36910014911293026</v>
      </c>
      <c r="AS74">
        <f>MATCH(Исходник!B74,Модель!$B$2:$B$108,0)</f>
        <v>68</v>
      </c>
    </row>
    <row r="75" spans="1:45" ht="15" x14ac:dyDescent="0.25">
      <c r="A75" s="8">
        <v>2007</v>
      </c>
      <c r="B75" s="9" t="s">
        <v>234</v>
      </c>
      <c r="C75" s="10">
        <v>2007</v>
      </c>
      <c r="D75" s="9" t="s">
        <v>45</v>
      </c>
      <c r="E75" s="18" t="s">
        <v>56</v>
      </c>
      <c r="F75" s="30">
        <v>51174.055200000003</v>
      </c>
      <c r="G75" s="12">
        <v>77168094</v>
      </c>
      <c r="H75" s="38">
        <v>647.57749999999999</v>
      </c>
      <c r="I75" s="38">
        <v>802.99609999999996</v>
      </c>
      <c r="J75" s="38">
        <v>647.57749999999999</v>
      </c>
      <c r="K75" s="33">
        <v>0</v>
      </c>
      <c r="L75" s="45">
        <v>0</v>
      </c>
      <c r="M75" s="46" t="s">
        <v>115</v>
      </c>
      <c r="N75" s="46"/>
      <c r="O75" s="45">
        <v>0</v>
      </c>
      <c r="P75" s="39">
        <v>26886.221549500002</v>
      </c>
      <c r="Q75" s="40">
        <v>3.578283611131261E-2</v>
      </c>
      <c r="R75" s="40">
        <v>0.1098879354128055</v>
      </c>
      <c r="S75" s="18">
        <v>3</v>
      </c>
      <c r="T75" s="41" t="s">
        <v>235</v>
      </c>
      <c r="U75" s="10">
        <v>3</v>
      </c>
      <c r="V75" s="18">
        <v>15.64</v>
      </c>
      <c r="W75" s="9" t="s">
        <v>140</v>
      </c>
      <c r="X75" s="9">
        <v>2</v>
      </c>
      <c r="Y75" s="10">
        <v>13</v>
      </c>
      <c r="Z75" s="36">
        <v>65653.951000000001</v>
      </c>
      <c r="AA75" s="36">
        <v>55723.032999999996</v>
      </c>
      <c r="AB75" s="36">
        <v>50158.39</v>
      </c>
      <c r="AC75" s="36">
        <v>41202.559999999998</v>
      </c>
      <c r="AD75" s="36">
        <v>4088.018</v>
      </c>
      <c r="AE75" s="36">
        <v>24023.527999999998</v>
      </c>
      <c r="AF75" s="36">
        <v>22889.46</v>
      </c>
      <c r="AG75" s="36">
        <v>9930.9179999999997</v>
      </c>
      <c r="AH75" s="36">
        <v>42045.707000000002</v>
      </c>
      <c r="AI75" s="36">
        <v>13217.489</v>
      </c>
      <c r="AJ75" s="36">
        <v>8099.7939999999999</v>
      </c>
      <c r="AK75" s="36">
        <v>8800</v>
      </c>
      <c r="AL75" s="36">
        <v>6.2266138408029699E-2</v>
      </c>
      <c r="AM75" s="37">
        <v>0.31436001302106775</v>
      </c>
      <c r="AN75" s="37">
        <v>0.19264259250058513</v>
      </c>
      <c r="AO75" s="37">
        <v>1.7317555550831176</v>
      </c>
      <c r="AP75" s="37">
        <v>0.14737413594370738</v>
      </c>
      <c r="AQ75" s="37">
        <v>1.37191121577799</v>
      </c>
      <c r="AR75" s="26">
        <f t="shared" si="2"/>
        <v>1.2173610086363567</v>
      </c>
      <c r="AS75">
        <f>MATCH(Исходник!B75,Модель!$B$2:$B$108,0)</f>
        <v>69</v>
      </c>
    </row>
    <row r="76" spans="1:45" ht="15" x14ac:dyDescent="0.25">
      <c r="A76" s="8">
        <v>2007</v>
      </c>
      <c r="B76" s="9" t="s">
        <v>236</v>
      </c>
      <c r="C76" s="10">
        <v>2007</v>
      </c>
      <c r="D76" s="9" t="s">
        <v>45</v>
      </c>
      <c r="E76" s="18" t="s">
        <v>102</v>
      </c>
      <c r="F76" s="30">
        <v>9427.7880000000005</v>
      </c>
      <c r="G76" s="12">
        <v>24999999</v>
      </c>
      <c r="H76" s="38">
        <v>371.62656000000004</v>
      </c>
      <c r="I76" s="38">
        <v>407.75692000000004</v>
      </c>
      <c r="J76" s="38">
        <v>371.62656000000004</v>
      </c>
      <c r="K76" s="33">
        <v>0</v>
      </c>
      <c r="L76" s="45">
        <v>1.0416666666666741E-2</v>
      </c>
      <c r="M76" s="46">
        <v>4.3361999999999998E-2</v>
      </c>
      <c r="N76" s="46"/>
      <c r="O76" s="45">
        <v>1.0416666666666741E-2</v>
      </c>
      <c r="P76" s="39">
        <v>3015.060986</v>
      </c>
      <c r="Q76" s="40">
        <v>1.6560525291708483E-2</v>
      </c>
      <c r="R76" s="40">
        <v>3.9106559351662407E-2</v>
      </c>
      <c r="S76" s="18">
        <v>0</v>
      </c>
      <c r="T76" s="41" t="s">
        <v>237</v>
      </c>
      <c r="U76" s="10">
        <v>2</v>
      </c>
      <c r="V76" s="18">
        <v>41.67</v>
      </c>
      <c r="W76" s="9" t="s">
        <v>144</v>
      </c>
      <c r="X76" s="9">
        <v>1</v>
      </c>
      <c r="Y76" s="10">
        <v>4</v>
      </c>
      <c r="Z76" s="36">
        <v>12798.159</v>
      </c>
      <c r="AA76" s="36">
        <v>11098.135</v>
      </c>
      <c r="AB76" s="36">
        <v>3652.252</v>
      </c>
      <c r="AC76" s="36">
        <v>7241.9840000000004</v>
      </c>
      <c r="AD76" s="36">
        <v>701.07100000000003</v>
      </c>
      <c r="AE76" s="36">
        <v>6576.7939999999999</v>
      </c>
      <c r="AF76" s="36">
        <v>5897.8899999999994</v>
      </c>
      <c r="AG76" s="36">
        <v>1700.0239999999999</v>
      </c>
      <c r="AH76" s="36">
        <v>27435.8</v>
      </c>
      <c r="AI76" s="36">
        <v>1213.5</v>
      </c>
      <c r="AJ76" s="36">
        <v>243.3</v>
      </c>
      <c r="AK76" s="36">
        <v>3885.5230000000001</v>
      </c>
      <c r="AL76" s="36">
        <v>5.4779050643143284E-2</v>
      </c>
      <c r="AM76" s="37">
        <v>4.4230530912165861E-2</v>
      </c>
      <c r="AN76" s="37">
        <v>8.8679754189781249E-3</v>
      </c>
      <c r="AO76" s="37">
        <v>4.8602307375360523</v>
      </c>
      <c r="AP76" s="37">
        <v>2.2745771780256774E-2</v>
      </c>
      <c r="AQ76" s="37">
        <v>0.15103208360957371</v>
      </c>
      <c r="AR76" s="26">
        <f t="shared" si="2"/>
        <v>0.50431649669482836</v>
      </c>
      <c r="AS76">
        <f>MATCH(Исходник!B76,Модель!$B$2:$B$108,0)</f>
        <v>70</v>
      </c>
    </row>
    <row r="77" spans="1:45" ht="15" x14ac:dyDescent="0.25">
      <c r="A77" s="8">
        <v>2007</v>
      </c>
      <c r="B77" s="9" t="s">
        <v>238</v>
      </c>
      <c r="C77" s="10">
        <v>2007</v>
      </c>
      <c r="D77" s="9" t="s">
        <v>45</v>
      </c>
      <c r="E77" s="18" t="s">
        <v>50</v>
      </c>
      <c r="F77" s="30">
        <v>25422.588800000001</v>
      </c>
      <c r="G77" s="12">
        <v>16349408</v>
      </c>
      <c r="H77" s="38">
        <v>374.75562000000002</v>
      </c>
      <c r="I77" s="38">
        <v>374.75562000000002</v>
      </c>
      <c r="J77" s="38">
        <v>297.48642000000001</v>
      </c>
      <c r="K77" s="33">
        <v>1</v>
      </c>
      <c r="L77" s="45">
        <v>0.17525773195876293</v>
      </c>
      <c r="M77" s="46">
        <v>604.86453167851903</v>
      </c>
      <c r="N77" s="46"/>
      <c r="O77" s="45">
        <v>0.17525773195876293</v>
      </c>
      <c r="P77" s="39">
        <v>2635.6958893000001</v>
      </c>
      <c r="Q77" s="40">
        <v>8.6649436034254013E-3</v>
      </c>
      <c r="R77" s="40">
        <v>-4.0120773234554985E-2</v>
      </c>
      <c r="S77" s="18">
        <v>2</v>
      </c>
      <c r="T77" s="41" t="s">
        <v>239</v>
      </c>
      <c r="U77" s="10">
        <v>2</v>
      </c>
      <c r="V77" s="18">
        <v>10.82</v>
      </c>
      <c r="W77" s="9" t="s">
        <v>140</v>
      </c>
      <c r="X77" s="9">
        <v>2</v>
      </c>
      <c r="Y77" s="10">
        <v>1</v>
      </c>
      <c r="Z77" s="36">
        <v>13769.8</v>
      </c>
      <c r="AA77" s="36">
        <v>7429.5</v>
      </c>
      <c r="AB77" s="36">
        <v>5470.4319999999998</v>
      </c>
      <c r="AC77" s="36">
        <v>2776.9</v>
      </c>
      <c r="AD77" s="36">
        <v>4473.6390000000001</v>
      </c>
      <c r="AE77" s="36">
        <v>3875.4119999999998</v>
      </c>
      <c r="AF77" s="36">
        <v>3682.4459999999999</v>
      </c>
      <c r="AG77" s="36">
        <v>6340.3630000000003</v>
      </c>
      <c r="AH77" s="36">
        <v>8522.7800000000007</v>
      </c>
      <c r="AI77" s="36">
        <v>3252.3</v>
      </c>
      <c r="AJ77" s="36">
        <v>2036.068</v>
      </c>
      <c r="AK77" s="36">
        <v>889.91099999999994</v>
      </c>
      <c r="AL77" s="36">
        <v>0.32488772531191451</v>
      </c>
      <c r="AM77" s="37">
        <v>0.38160083916280835</v>
      </c>
      <c r="AN77" s="37">
        <v>0.23889716735619126</v>
      </c>
      <c r="AO77" s="37">
        <v>1.1322590166958766</v>
      </c>
      <c r="AP77" s="37">
        <v>0.18440212957421559</v>
      </c>
      <c r="AQ77" s="37">
        <v>0.39669232773758001</v>
      </c>
      <c r="AR77" s="26">
        <f t="shared" si="2"/>
        <v>1.9699780330584464</v>
      </c>
      <c r="AS77">
        <f>MATCH(Исходник!B77,Модель!$B$2:$B$108,0)</f>
        <v>71</v>
      </c>
    </row>
    <row r="78" spans="1:45" ht="15" x14ac:dyDescent="0.25">
      <c r="A78" s="8">
        <v>2007</v>
      </c>
      <c r="B78" s="9" t="s">
        <v>240</v>
      </c>
      <c r="C78" s="10">
        <v>2007</v>
      </c>
      <c r="D78" s="9" t="s">
        <v>45</v>
      </c>
      <c r="E78" s="18" t="s">
        <v>56</v>
      </c>
      <c r="F78" s="30">
        <v>37380.980000000003</v>
      </c>
      <c r="G78" s="12">
        <v>100000000</v>
      </c>
      <c r="H78" s="38">
        <v>408.15179999999998</v>
      </c>
      <c r="I78" s="38">
        <v>378.99810000000002</v>
      </c>
      <c r="J78" s="38">
        <v>291.53700000000003</v>
      </c>
      <c r="K78" s="33">
        <v>1.3333333333333328</v>
      </c>
      <c r="L78" s="45">
        <v>-8.5714285714285632E-2</v>
      </c>
      <c r="M78" s="46" t="s">
        <v>115</v>
      </c>
      <c r="N78" s="46"/>
      <c r="O78" s="45">
        <v>-8.5714285714285632E-2</v>
      </c>
      <c r="P78" s="39"/>
      <c r="Q78" s="40">
        <v>-1.0664121417797823E-2</v>
      </c>
      <c r="R78" s="40">
        <v>-4.5596483785821929E-2</v>
      </c>
      <c r="S78" s="18">
        <v>0</v>
      </c>
      <c r="T78" s="41" t="s">
        <v>241</v>
      </c>
      <c r="U78" s="10">
        <v>2</v>
      </c>
      <c r="V78" s="18">
        <v>19.09</v>
      </c>
      <c r="W78" s="9" t="s">
        <v>154</v>
      </c>
      <c r="X78" s="9">
        <v>1</v>
      </c>
      <c r="Y78" s="10">
        <v>6</v>
      </c>
      <c r="Z78" s="36">
        <v>18645.567091116547</v>
      </c>
      <c r="AA78" s="36">
        <v>2268.1995113177436</v>
      </c>
      <c r="AB78" s="36">
        <v>8474.3524307975877</v>
      </c>
      <c r="AC78" s="36">
        <v>589.38236811290369</v>
      </c>
      <c r="AD78" s="36">
        <v>0</v>
      </c>
      <c r="AE78" s="36">
        <v>2076.7316480854856</v>
      </c>
      <c r="AF78" s="36">
        <v>1363.8286289758075</v>
      </c>
      <c r="AG78" s="36">
        <v>16377.367579798805</v>
      </c>
      <c r="AH78" s="36">
        <v>104.82431344475815</v>
      </c>
      <c r="AI78" s="36">
        <v>0</v>
      </c>
      <c r="AJ78" s="36">
        <v>3038.7382647677441</v>
      </c>
      <c r="AK78" s="36">
        <v>3405.3384394088735</v>
      </c>
      <c r="AL78" s="36">
        <v>0</v>
      </c>
      <c r="AM78" s="37">
        <v>0</v>
      </c>
      <c r="AN78" s="37">
        <v>28.98886875485374</v>
      </c>
      <c r="AO78" s="37">
        <v>0</v>
      </c>
      <c r="AP78" s="37">
        <v>0.23704531599268441</v>
      </c>
      <c r="AQ78" s="37">
        <v>0.33530352298654398</v>
      </c>
      <c r="AR78" s="26">
        <f t="shared" si="2"/>
        <v>14.378360957642727</v>
      </c>
      <c r="AS78" s="165" t="e">
        <f>MATCH(Исходник!B78,Модель!$B$2:$B$108,0)</f>
        <v>#N/A</v>
      </c>
    </row>
    <row r="79" spans="1:45" ht="15" x14ac:dyDescent="0.25">
      <c r="A79" s="8">
        <v>2007</v>
      </c>
      <c r="B79" s="9" t="s">
        <v>242</v>
      </c>
      <c r="C79" s="10">
        <v>2007</v>
      </c>
      <c r="D79" s="9" t="s">
        <v>45</v>
      </c>
      <c r="E79" s="18" t="s">
        <v>171</v>
      </c>
      <c r="F79" s="30">
        <v>5249.3</v>
      </c>
      <c r="G79" s="12">
        <v>3773584</v>
      </c>
      <c r="H79" s="38">
        <v>1361.3102999999999</v>
      </c>
      <c r="I79" s="38">
        <v>1618.1613</v>
      </c>
      <c r="J79" s="38">
        <v>1361.3102999999999</v>
      </c>
      <c r="K79" s="33">
        <v>0</v>
      </c>
      <c r="L79" s="45">
        <v>0</v>
      </c>
      <c r="M79" s="46" t="s">
        <v>115</v>
      </c>
      <c r="N79" s="46"/>
      <c r="O79" s="45">
        <v>0</v>
      </c>
      <c r="P79" s="39"/>
      <c r="Q79" s="40">
        <v>-1.0664121417797823E-2</v>
      </c>
      <c r="R79" s="40">
        <v>-0.1067531579939669</v>
      </c>
      <c r="S79" s="18">
        <v>0</v>
      </c>
      <c r="T79" s="41" t="s">
        <v>215</v>
      </c>
      <c r="U79" s="10">
        <v>1</v>
      </c>
      <c r="V79" s="18">
        <v>27.4</v>
      </c>
      <c r="W79" s="9" t="s">
        <v>144</v>
      </c>
      <c r="X79" s="9">
        <v>1</v>
      </c>
      <c r="Y79" s="10">
        <v>17</v>
      </c>
      <c r="Z79" s="36">
        <v>10314.200000000001</v>
      </c>
      <c r="AA79" s="36">
        <v>6316.7729999999992</v>
      </c>
      <c r="AB79" s="36">
        <v>3873.9</v>
      </c>
      <c r="AC79" s="36">
        <v>1773.6</v>
      </c>
      <c r="AD79" s="36">
        <v>998.11199999999997</v>
      </c>
      <c r="AE79" s="36">
        <v>4680.2340000000004</v>
      </c>
      <c r="AF79" s="36">
        <v>3744.1700000000005</v>
      </c>
      <c r="AG79" s="36">
        <v>3997.4140000000002</v>
      </c>
      <c r="AH79" s="36">
        <v>6502.3</v>
      </c>
      <c r="AI79" s="36">
        <v>970.1</v>
      </c>
      <c r="AJ79" s="36">
        <v>176.791</v>
      </c>
      <c r="AK79" s="36">
        <v>1276.9760000000001</v>
      </c>
      <c r="AL79" s="36">
        <v>9.6770665684202353E-2</v>
      </c>
      <c r="AM79" s="37">
        <v>0.14919336234870739</v>
      </c>
      <c r="AN79" s="37">
        <v>2.7188994663426787E-2</v>
      </c>
      <c r="AO79" s="37">
        <v>3.8595711782290492</v>
      </c>
      <c r="AP79" s="37">
        <v>2.2315039391899365E-2</v>
      </c>
      <c r="AQ79" s="37">
        <v>5.5923547859138875E-2</v>
      </c>
      <c r="AR79" s="26">
        <f t="shared" si="2"/>
        <v>2.1842016238159676</v>
      </c>
      <c r="AS79" s="165" t="e">
        <f>MATCH(Исходник!B79,Модель!$B$2:$B$108,0)</f>
        <v>#N/A</v>
      </c>
    </row>
    <row r="80" spans="1:45" ht="30" x14ac:dyDescent="0.25">
      <c r="A80" s="8">
        <v>2007</v>
      </c>
      <c r="B80" t="s">
        <v>243</v>
      </c>
      <c r="C80" s="10">
        <v>2007</v>
      </c>
      <c r="D80" t="s">
        <v>45</v>
      </c>
      <c r="E80" s="48" t="s">
        <v>121</v>
      </c>
      <c r="F80" s="30">
        <v>37340.881170113855</v>
      </c>
      <c r="G80" s="31">
        <v>1040000000</v>
      </c>
      <c r="H80" s="11">
        <v>334.75375000000003</v>
      </c>
      <c r="I80" s="11">
        <v>415.09465</v>
      </c>
      <c r="J80" s="11">
        <v>328.05867499999999</v>
      </c>
      <c r="K80" s="28">
        <v>7.6923076923077274E-2</v>
      </c>
      <c r="L80" s="28">
        <v>-1.7600000000000171E-2</v>
      </c>
      <c r="M80" s="51" t="s">
        <v>244</v>
      </c>
      <c r="N80" s="51"/>
      <c r="O80" s="28">
        <v>-1.7600000000000171E-2</v>
      </c>
      <c r="P80" s="39">
        <v>46869743</v>
      </c>
      <c r="Q80" s="17">
        <v>-4.9498980734445919E-3</v>
      </c>
      <c r="R80" s="17">
        <v>-8.9022004466681626E-2</v>
      </c>
      <c r="S80" s="48">
        <v>3</v>
      </c>
      <c r="T80" s="52" t="s">
        <v>245</v>
      </c>
      <c r="U80" s="10">
        <v>3</v>
      </c>
      <c r="V80" s="48">
        <v>9.0399999999999991</v>
      </c>
      <c r="W80" t="s">
        <v>161</v>
      </c>
      <c r="X80" s="9">
        <v>2</v>
      </c>
      <c r="Y80" s="10">
        <v>15</v>
      </c>
      <c r="Z80" s="36">
        <v>154373.67827782271</v>
      </c>
      <c r="AA80" s="36">
        <v>44773.522439516164</v>
      </c>
      <c r="AB80" s="36">
        <v>67295.961000000054</v>
      </c>
      <c r="AC80" s="36">
        <v>26158.591291935503</v>
      </c>
      <c r="AD80" s="36">
        <v>1166.8251302419364</v>
      </c>
      <c r="AE80" s="36">
        <v>44773.522439516164</v>
      </c>
      <c r="AF80" s="36">
        <v>35601.734206451642</v>
      </c>
      <c r="AG80" s="36">
        <v>109274.5302205646</v>
      </c>
      <c r="AH80" s="36">
        <v>174318.24736451625</v>
      </c>
      <c r="AI80" s="36">
        <v>56333.23186935488</v>
      </c>
      <c r="AJ80" s="36">
        <v>38695.177575000031</v>
      </c>
      <c r="AK80" s="36">
        <v>19673.21440524195</v>
      </c>
      <c r="AL80" s="36">
        <v>7.5584461240991389E-3</v>
      </c>
      <c r="AM80" s="37">
        <v>0.3231631382316314</v>
      </c>
      <c r="AN80" s="37">
        <v>0.22198007471980075</v>
      </c>
      <c r="AO80" s="37">
        <v>0.63198458574181116</v>
      </c>
      <c r="AP80" s="37">
        <v>0.2705112396850991</v>
      </c>
      <c r="AQ80" s="37">
        <v>0.37019730010384216</v>
      </c>
      <c r="AR80" s="26">
        <f t="shared" si="2"/>
        <v>2.5726141078838176</v>
      </c>
      <c r="AS80">
        <f>MATCH(Исходник!B80,Модель!$B$2:$B$108,0)</f>
        <v>72</v>
      </c>
    </row>
    <row r="81" spans="1:45" ht="15" x14ac:dyDescent="0.25">
      <c r="A81" s="8">
        <v>2007</v>
      </c>
      <c r="B81" s="9" t="s">
        <v>246</v>
      </c>
      <c r="C81" s="10">
        <v>2007</v>
      </c>
      <c r="D81" s="9" t="s">
        <v>156</v>
      </c>
      <c r="E81" s="18" t="s">
        <v>135</v>
      </c>
      <c r="F81" s="30">
        <v>3608.0504999999998</v>
      </c>
      <c r="G81" s="12">
        <v>22500000</v>
      </c>
      <c r="H81" s="19">
        <v>150</v>
      </c>
      <c r="I81" s="19">
        <f>7.6*26.7</f>
        <v>202.92</v>
      </c>
      <c r="J81" s="18">
        <f>5.6*26.7</f>
        <v>149.51999999999998</v>
      </c>
      <c r="K81" s="33">
        <v>0</v>
      </c>
      <c r="L81" s="45">
        <v>5.0000000000000044E-2</v>
      </c>
      <c r="M81" s="46" t="s">
        <v>115</v>
      </c>
      <c r="N81" s="46"/>
      <c r="O81" s="45">
        <v>5.0000000000000044E-2</v>
      </c>
      <c r="P81" s="39"/>
      <c r="Q81" s="40">
        <v>3.0312343015868271E-2</v>
      </c>
      <c r="R81" s="40">
        <v>-2.4059572707662347E-2</v>
      </c>
      <c r="S81" s="18">
        <v>1</v>
      </c>
      <c r="T81" s="41" t="s">
        <v>215</v>
      </c>
      <c r="U81" s="10">
        <v>1</v>
      </c>
      <c r="V81" s="18">
        <v>42.06</v>
      </c>
      <c r="W81" s="9" t="s">
        <v>247</v>
      </c>
      <c r="X81" s="9">
        <v>1</v>
      </c>
      <c r="Y81" s="10">
        <v>1</v>
      </c>
      <c r="Z81" s="36">
        <v>818.94842862096834</v>
      </c>
      <c r="AA81" s="36">
        <v>395.44517727943582</v>
      </c>
      <c r="AB81" s="36">
        <v>119.34178890241944</v>
      </c>
      <c r="AC81" s="36">
        <v>42.358465774596809</v>
      </c>
      <c r="AD81" s="36">
        <v>683.54244257661344</v>
      </c>
      <c r="AE81" s="36">
        <v>364.3207953169358</v>
      </c>
      <c r="AF81" s="36">
        <v>274.01395732983895</v>
      </c>
      <c r="AG81" s="36">
        <v>423.50325134153258</v>
      </c>
      <c r="AH81" s="36">
        <v>0</v>
      </c>
      <c r="AI81" s="36">
        <v>0</v>
      </c>
      <c r="AJ81" s="36">
        <v>-34.489180012500022</v>
      </c>
      <c r="AK81" s="36">
        <v>117.95788002701623</v>
      </c>
      <c r="AL81" s="36">
        <v>0.83465871438038441</v>
      </c>
      <c r="AM81" s="37">
        <v>0</v>
      </c>
      <c r="AN81" s="37">
        <v>0</v>
      </c>
      <c r="AO81" s="37">
        <v>0</v>
      </c>
      <c r="AP81" s="37">
        <v>0</v>
      </c>
      <c r="AQ81" s="37">
        <v>0</v>
      </c>
      <c r="AR81" s="26">
        <f t="shared" si="2"/>
        <v>2.8174247277386288</v>
      </c>
      <c r="AS81">
        <f>MATCH(Исходник!B81,Модель!$B$2:$B$108,0)</f>
        <v>73</v>
      </c>
    </row>
    <row r="82" spans="1:45" ht="30" x14ac:dyDescent="0.25">
      <c r="A82" s="8">
        <v>2007</v>
      </c>
      <c r="B82" s="10" t="s">
        <v>248</v>
      </c>
      <c r="C82" s="10">
        <v>2007</v>
      </c>
      <c r="D82" s="10" t="s">
        <v>45</v>
      </c>
      <c r="E82" s="8" t="s">
        <v>212</v>
      </c>
      <c r="F82" s="30">
        <v>778.40639999999996</v>
      </c>
      <c r="G82" s="31">
        <v>163656899</v>
      </c>
      <c r="H82" s="54">
        <v>4.6938599999999999</v>
      </c>
      <c r="I82" s="54">
        <v>4.6938599999999999</v>
      </c>
      <c r="J82" s="54">
        <v>4.6938599999999999</v>
      </c>
      <c r="K82" s="33">
        <v>0</v>
      </c>
      <c r="L82" s="33">
        <v>-5.5555555555555469E-2</v>
      </c>
      <c r="M82" s="46" t="s">
        <v>115</v>
      </c>
      <c r="N82" s="46"/>
      <c r="O82" s="33">
        <v>-5.5555555555555469E-2</v>
      </c>
      <c r="P82" s="32">
        <v>0</v>
      </c>
      <c r="Q82" s="34">
        <v>-5.3468709053838825E-4</v>
      </c>
      <c r="R82" s="34">
        <v>-5.3468709053838825E-4</v>
      </c>
      <c r="S82" s="8">
        <v>0</v>
      </c>
      <c r="T82" s="35" t="s">
        <v>249</v>
      </c>
      <c r="U82" s="10">
        <v>4</v>
      </c>
      <c r="V82" s="55">
        <v>3.4000000000000002E-3</v>
      </c>
      <c r="W82" s="10" t="s">
        <v>127</v>
      </c>
      <c r="X82" s="10">
        <v>1</v>
      </c>
      <c r="Y82" s="10">
        <v>3</v>
      </c>
      <c r="Z82" s="36">
        <v>51567.822</v>
      </c>
      <c r="AA82" s="36">
        <v>15247.906000000001</v>
      </c>
      <c r="AB82" s="43">
        <v>9295.1579999999994</v>
      </c>
      <c r="AC82" s="43">
        <v>7014.6279999999997</v>
      </c>
      <c r="AD82" s="36">
        <v>1941.33</v>
      </c>
      <c r="AE82" s="36">
        <v>7621.5069999999996</v>
      </c>
      <c r="AF82" s="36">
        <v>4460.09</v>
      </c>
      <c r="AG82" s="36">
        <v>36319.915999999997</v>
      </c>
      <c r="AH82" s="43">
        <v>40556.305</v>
      </c>
      <c r="AI82" s="36">
        <v>601.91999999999996</v>
      </c>
      <c r="AJ82" s="36">
        <v>-385.08499999999998</v>
      </c>
      <c r="AK82" s="36">
        <v>19108.094000000001</v>
      </c>
      <c r="AL82" s="36">
        <v>3.7646150733300313E-2</v>
      </c>
      <c r="AM82" s="44">
        <v>1.4841588749270921E-2</v>
      </c>
      <c r="AN82" s="62">
        <v>0</v>
      </c>
      <c r="AO82" s="37">
        <v>7.40977206273259</v>
      </c>
      <c r="AP82" s="44">
        <v>0</v>
      </c>
      <c r="AQ82" s="44">
        <v>0</v>
      </c>
      <c r="AR82" s="26">
        <f t="shared" si="2"/>
        <v>1.3251106117102718</v>
      </c>
      <c r="AS82" s="165" t="e">
        <f>MATCH(Исходник!B82,Модель!$B$2:$B$108,0)</f>
        <v>#N/A</v>
      </c>
    </row>
    <row r="83" spans="1:45" ht="15" x14ac:dyDescent="0.25">
      <c r="A83" s="8">
        <v>2007</v>
      </c>
      <c r="B83" s="9" t="s">
        <v>250</v>
      </c>
      <c r="C83" s="10">
        <v>2007</v>
      </c>
      <c r="D83" s="9" t="s">
        <v>221</v>
      </c>
      <c r="E83" s="18" t="s">
        <v>135</v>
      </c>
      <c r="F83" s="30">
        <v>20668.569599999999</v>
      </c>
      <c r="G83" s="12">
        <v>45868100</v>
      </c>
      <c r="H83" s="38">
        <v>438.79472499999997</v>
      </c>
      <c r="I83" s="38">
        <v>438.79472499999997</v>
      </c>
      <c r="J83" s="38">
        <v>360.20462500000002</v>
      </c>
      <c r="K83" s="33">
        <v>1</v>
      </c>
      <c r="L83" s="45">
        <v>0.13134328358208958</v>
      </c>
      <c r="M83" s="46" t="s">
        <v>115</v>
      </c>
      <c r="N83" s="46"/>
      <c r="O83" s="45">
        <v>0.13134328358208958</v>
      </c>
      <c r="P83" s="39"/>
      <c r="Q83" s="40">
        <v>1.840078717424487E-2</v>
      </c>
      <c r="R83" s="40">
        <v>2.2448606831211304E-3</v>
      </c>
      <c r="S83" s="18">
        <v>3</v>
      </c>
      <c r="T83" s="41" t="s">
        <v>251</v>
      </c>
      <c r="U83" s="10">
        <v>3</v>
      </c>
      <c r="V83" s="18">
        <v>30.93</v>
      </c>
      <c r="W83" s="9" t="s">
        <v>154</v>
      </c>
      <c r="X83" s="9">
        <v>1</v>
      </c>
      <c r="Y83" s="10">
        <v>3</v>
      </c>
      <c r="Z83" s="36">
        <v>8401.9528104483816</v>
      </c>
      <c r="AA83" s="36">
        <v>6051.2146974241896</v>
      </c>
      <c r="AB83" s="36">
        <v>3019.1660006758048</v>
      </c>
      <c r="AC83" s="36">
        <v>2145.2095618354824</v>
      </c>
      <c r="AD83" s="36">
        <v>971.97818346290262</v>
      </c>
      <c r="AE83" s="36">
        <v>3589.6570845580627</v>
      </c>
      <c r="AF83" s="36">
        <v>2981.7353980209659</v>
      </c>
      <c r="AG83" s="36">
        <v>2350.7381130241924</v>
      </c>
      <c r="AH83" s="36">
        <v>2772.4977629080631</v>
      </c>
      <c r="AI83" s="36">
        <v>637.82086687258027</v>
      </c>
      <c r="AJ83" s="36">
        <v>94.822305817741878</v>
      </c>
      <c r="AK83" s="36">
        <v>484.70082212419322</v>
      </c>
      <c r="AL83" s="36">
        <v>0.11568479440329441</v>
      </c>
      <c r="AM83" s="37">
        <v>0.23005279766342254</v>
      </c>
      <c r="AN83" s="37">
        <v>3.4201039613566041E-2</v>
      </c>
      <c r="AO83" s="37">
        <v>4.6748790340480317</v>
      </c>
      <c r="AP83" s="37">
        <v>2.0200253332529106E-2</v>
      </c>
      <c r="AQ83" s="37">
        <v>7.1414101566248361E-2</v>
      </c>
      <c r="AR83" s="26">
        <f t="shared" si="2"/>
        <v>1.4073990972203894</v>
      </c>
      <c r="AS83">
        <f>MATCH(Исходник!B83,Модель!$B$2:$B$108,0)</f>
        <v>74</v>
      </c>
    </row>
    <row r="84" spans="1:45" ht="30" x14ac:dyDescent="0.25">
      <c r="A84" s="8">
        <v>2007</v>
      </c>
      <c r="B84" s="9" t="s">
        <v>252</v>
      </c>
      <c r="C84" s="10">
        <v>2007</v>
      </c>
      <c r="D84" s="9" t="s">
        <v>45</v>
      </c>
      <c r="E84" s="18" t="s">
        <v>91</v>
      </c>
      <c r="F84" s="30">
        <v>10821.397800000001</v>
      </c>
      <c r="G84" s="12">
        <v>1675000000</v>
      </c>
      <c r="H84" s="38">
        <v>318.34559999999999</v>
      </c>
      <c r="I84" s="38">
        <v>397.93200000000002</v>
      </c>
      <c r="J84" s="38">
        <v>318.34559999999999</v>
      </c>
      <c r="K84" s="33">
        <v>0</v>
      </c>
      <c r="L84" s="45">
        <v>-8.333333333333337E-2</v>
      </c>
      <c r="M84" s="46" t="s">
        <v>115</v>
      </c>
      <c r="N84" s="46"/>
      <c r="O84" s="45">
        <v>-8.333333333333337E-2</v>
      </c>
      <c r="P84" s="39"/>
      <c r="Q84" s="40">
        <v>9.9788168974632718E-3</v>
      </c>
      <c r="R84" s="40">
        <v>-6.0643196022478585E-2</v>
      </c>
      <c r="S84" s="18">
        <v>0</v>
      </c>
      <c r="T84" s="41" t="s">
        <v>253</v>
      </c>
      <c r="U84" s="10">
        <v>1</v>
      </c>
      <c r="V84" s="18">
        <v>17.54</v>
      </c>
      <c r="W84" s="9" t="s">
        <v>140</v>
      </c>
      <c r="X84" s="9">
        <v>2</v>
      </c>
      <c r="Y84" s="10">
        <v>3</v>
      </c>
      <c r="Z84" s="36">
        <v>16028.05586753225</v>
      </c>
      <c r="AA84" s="36">
        <v>10599.061233604833</v>
      </c>
      <c r="AB84" s="36">
        <v>12123.692921772572</v>
      </c>
      <c r="AC84" s="36">
        <v>10096.777654862897</v>
      </c>
      <c r="AD84" s="36">
        <v>558.7409325193546</v>
      </c>
      <c r="AE84" s="36">
        <v>3219.7396687596756</v>
      </c>
      <c r="AF84" s="36">
        <v>859.54480740967699</v>
      </c>
      <c r="AG84" s="36">
        <v>4609.9949271241903</v>
      </c>
      <c r="AH84" s="36">
        <v>26970.674538817726</v>
      </c>
      <c r="AI84" s="36">
        <v>4352.2843784370943</v>
      </c>
      <c r="AJ84" s="36">
        <v>1960.0668154209666</v>
      </c>
      <c r="AK84" s="36">
        <v>1341.8955992612894</v>
      </c>
      <c r="AL84" s="36">
        <v>3.4860181243265211E-2</v>
      </c>
      <c r="AM84" s="37">
        <v>0.16137098729855792</v>
      </c>
      <c r="AN84" s="37">
        <v>7.2674000518597612E-2</v>
      </c>
      <c r="AO84" s="37">
        <v>0.19749279520157173</v>
      </c>
      <c r="AP84" s="37">
        <v>0.1596687013410861</v>
      </c>
      <c r="AQ84" s="37">
        <v>0.60743821595131864</v>
      </c>
      <c r="AR84" s="26">
        <f t="shared" si="2"/>
        <v>1.200748727583741</v>
      </c>
      <c r="AS84">
        <f>MATCH(Исходник!B84,Модель!$B$2:$B$108,0)</f>
        <v>75</v>
      </c>
    </row>
    <row r="85" spans="1:45" ht="15" x14ac:dyDescent="0.25">
      <c r="A85" s="8">
        <v>2007</v>
      </c>
      <c r="B85" s="9" t="s">
        <v>254</v>
      </c>
      <c r="C85" s="10">
        <v>2007</v>
      </c>
      <c r="D85" s="9" t="s">
        <v>45</v>
      </c>
      <c r="E85" s="18" t="s">
        <v>142</v>
      </c>
      <c r="F85" s="30">
        <v>16325.320000000002</v>
      </c>
      <c r="G85" s="12">
        <v>78000000</v>
      </c>
      <c r="H85" s="38">
        <v>205.59819999999999</v>
      </c>
      <c r="I85" s="38">
        <v>252.02360000000002</v>
      </c>
      <c r="J85" s="38">
        <v>192.3338</v>
      </c>
      <c r="K85" s="33">
        <v>0.22222222222222207</v>
      </c>
      <c r="L85" s="45">
        <v>-2.5806451612903292E-2</v>
      </c>
      <c r="M85" s="46" t="s">
        <v>115</v>
      </c>
      <c r="N85" s="46"/>
      <c r="O85" s="45">
        <v>-2.5806451612903292E-2</v>
      </c>
      <c r="P85" s="39"/>
      <c r="Q85" s="40">
        <v>9.9788168974632718E-3</v>
      </c>
      <c r="R85" s="40">
        <v>-6.0643196022478585E-2</v>
      </c>
      <c r="S85" s="18">
        <v>3</v>
      </c>
      <c r="T85" s="41" t="s">
        <v>255</v>
      </c>
      <c r="U85" s="10">
        <v>3</v>
      </c>
      <c r="V85" s="18">
        <v>24.76</v>
      </c>
      <c r="W85" s="9" t="s">
        <v>140</v>
      </c>
      <c r="X85" s="9">
        <v>2</v>
      </c>
      <c r="Y85" s="10">
        <v>9</v>
      </c>
      <c r="Z85" s="36">
        <v>13870.294542399204</v>
      </c>
      <c r="AA85" s="36">
        <v>10268.386771746782</v>
      </c>
      <c r="AB85" s="36">
        <v>4550.6994143479878</v>
      </c>
      <c r="AC85" s="36">
        <v>6548.901017621376</v>
      </c>
      <c r="AD85" s="36">
        <v>0</v>
      </c>
      <c r="AE85" s="36">
        <v>8269.2082916201671</v>
      </c>
      <c r="AF85" s="36">
        <v>7780.091478303636</v>
      </c>
      <c r="AG85" s="36">
        <v>3142.3143466778251</v>
      </c>
      <c r="AH85" s="36">
        <v>6484.6442290536343</v>
      </c>
      <c r="AI85" s="36">
        <v>2125.6297616830661</v>
      </c>
      <c r="AJ85" s="36">
        <v>477.55710388669394</v>
      </c>
      <c r="AK85" s="36">
        <v>681.7515016790328</v>
      </c>
      <c r="AL85" s="36">
        <v>0</v>
      </c>
      <c r="AM85" s="37">
        <v>0.32779435333698786</v>
      </c>
      <c r="AN85" s="37">
        <v>7.3644302912881363E-2</v>
      </c>
      <c r="AO85" s="37">
        <v>3.6601348073633417</v>
      </c>
      <c r="AP85" s="37">
        <v>3.2999909057583425E-2</v>
      </c>
      <c r="AQ85" s="37">
        <v>0.1633257234070197</v>
      </c>
      <c r="AR85" s="26">
        <f t="shared" si="2"/>
        <v>0.69487985878901648</v>
      </c>
      <c r="AS85">
        <f>MATCH(Исходник!B85,Модель!$B$2:$B$108,0)</f>
        <v>76</v>
      </c>
    </row>
    <row r="86" spans="1:45" ht="15" x14ac:dyDescent="0.25">
      <c r="A86" s="8">
        <v>2006</v>
      </c>
      <c r="B86" s="9" t="s">
        <v>256</v>
      </c>
      <c r="C86" s="10">
        <v>2006</v>
      </c>
      <c r="D86" s="9" t="s">
        <v>90</v>
      </c>
      <c r="E86" s="18" t="s">
        <v>56</v>
      </c>
      <c r="F86" s="30">
        <v>8394.8310000000001</v>
      </c>
      <c r="G86" s="12">
        <v>33558000</v>
      </c>
      <c r="H86" s="38">
        <v>247.74805452540002</v>
      </c>
      <c r="I86" s="38">
        <v>279.88273942199999</v>
      </c>
      <c r="J86" s="38">
        <v>225.46109564549997</v>
      </c>
      <c r="K86" s="33">
        <v>0.4095238095238104</v>
      </c>
      <c r="L86" s="45">
        <v>1.882845188284521E-2</v>
      </c>
      <c r="M86" s="46" t="s">
        <v>115</v>
      </c>
      <c r="N86" s="46"/>
      <c r="O86" s="45">
        <v>1.882845188284521E-2</v>
      </c>
      <c r="P86" s="47" t="s">
        <v>115</v>
      </c>
      <c r="Q86" s="40">
        <v>-2.0041323596021732E-3</v>
      </c>
      <c r="R86" s="40">
        <v>-7.445692976850049E-3</v>
      </c>
      <c r="S86" s="18">
        <v>2</v>
      </c>
      <c r="T86" s="41" t="s">
        <v>257</v>
      </c>
      <c r="U86" s="10">
        <v>2</v>
      </c>
      <c r="V86" s="18">
        <v>32.409999999999997</v>
      </c>
      <c r="W86" s="9" t="s">
        <v>247</v>
      </c>
      <c r="X86" s="9">
        <v>1</v>
      </c>
      <c r="Y86" s="10">
        <v>2</v>
      </c>
      <c r="Z86" s="36">
        <v>1389.094400037096</v>
      </c>
      <c r="AA86" s="36">
        <v>1225.2718077822574</v>
      </c>
      <c r="AB86" s="36">
        <v>24.576220199999984</v>
      </c>
      <c r="AC86" s="36">
        <v>1225.2718077822574</v>
      </c>
      <c r="AD86" s="36">
        <v>0</v>
      </c>
      <c r="AE86" s="36">
        <v>1136.6784978677413</v>
      </c>
      <c r="AF86" s="36">
        <v>1117.878255687096</v>
      </c>
      <c r="AG86" s="36">
        <v>188.39881245483861</v>
      </c>
      <c r="AH86" s="36">
        <v>137.20779157741927</v>
      </c>
      <c r="AI86" s="36">
        <v>0</v>
      </c>
      <c r="AJ86" s="36">
        <v>84.940853225806393</v>
      </c>
      <c r="AK86" s="36">
        <v>0</v>
      </c>
      <c r="AL86" s="36">
        <v>0</v>
      </c>
      <c r="AM86" s="37">
        <v>0</v>
      </c>
      <c r="AN86" s="37">
        <v>0.61906727197688816</v>
      </c>
      <c r="AO86" s="37">
        <v>0</v>
      </c>
      <c r="AP86" s="37">
        <v>0</v>
      </c>
      <c r="AQ86" s="37">
        <v>0</v>
      </c>
      <c r="AR86" s="26">
        <f t="shared" si="2"/>
        <v>2.0057770075101095E-2</v>
      </c>
      <c r="AS86">
        <f>MATCH(Исходник!B86,Модель!$B$2:$B$108,0)</f>
        <v>77</v>
      </c>
    </row>
    <row r="87" spans="1:45" ht="15" x14ac:dyDescent="0.25">
      <c r="A87" s="8">
        <v>2006</v>
      </c>
      <c r="B87" s="9" t="s">
        <v>258</v>
      </c>
      <c r="C87" s="10">
        <v>2006</v>
      </c>
      <c r="D87" s="9" t="s">
        <v>45</v>
      </c>
      <c r="E87" s="18" t="s">
        <v>56</v>
      </c>
      <c r="F87" s="30">
        <v>2880.4755</v>
      </c>
      <c r="G87" s="12">
        <v>195000000</v>
      </c>
      <c r="H87" s="38">
        <v>14.139360000000002</v>
      </c>
      <c r="I87" s="38">
        <v>15.7104</v>
      </c>
      <c r="J87" s="38">
        <v>13.615680000000001</v>
      </c>
      <c r="K87" s="33">
        <v>0.25000000000000044</v>
      </c>
      <c r="L87" s="45">
        <v>7.4074074074073959E-2</v>
      </c>
      <c r="M87" s="46" t="s">
        <v>115</v>
      </c>
      <c r="N87" s="46"/>
      <c r="O87" s="45">
        <v>7.4074074074073959E-2</v>
      </c>
      <c r="P87" s="39">
        <v>579.02088900000001</v>
      </c>
      <c r="Q87" s="40">
        <v>1.3586853391020615E-2</v>
      </c>
      <c r="R87" s="40">
        <v>-5.6991410173694579E-3</v>
      </c>
      <c r="S87" s="18">
        <v>0</v>
      </c>
      <c r="T87" s="41" t="s">
        <v>259</v>
      </c>
      <c r="U87" s="10">
        <v>1</v>
      </c>
      <c r="V87" s="18">
        <v>18</v>
      </c>
      <c r="W87" s="9" t="s">
        <v>179</v>
      </c>
      <c r="X87" s="9">
        <v>1</v>
      </c>
      <c r="Y87" s="10">
        <v>14</v>
      </c>
      <c r="Z87" s="36">
        <v>17528.960744032247</v>
      </c>
      <c r="AA87" s="36">
        <v>3457.092726290321</v>
      </c>
      <c r="AB87" s="36">
        <v>1953.4414288693536</v>
      </c>
      <c r="AC87" s="36">
        <v>461.51196919354811</v>
      </c>
      <c r="AD87" s="36">
        <v>0.48133150161290295</v>
      </c>
      <c r="AE87" s="36">
        <v>0</v>
      </c>
      <c r="AF87" s="36">
        <v>0</v>
      </c>
      <c r="AG87" s="36">
        <v>14071.868017741926</v>
      </c>
      <c r="AH87" s="36">
        <v>2944.6162451612886</v>
      </c>
      <c r="AI87" s="36">
        <v>0</v>
      </c>
      <c r="AJ87" s="36">
        <v>2364.1870814516114</v>
      </c>
      <c r="AK87" s="36">
        <v>215.18349483870955</v>
      </c>
      <c r="AL87" s="36">
        <v>2.7459214989500888E-5</v>
      </c>
      <c r="AM87" s="37">
        <v>0</v>
      </c>
      <c r="AN87" s="37">
        <v>0.80288461538461542</v>
      </c>
      <c r="AO87" s="37">
        <v>0</v>
      </c>
      <c r="AP87" s="37">
        <v>0.14564292192841696</v>
      </c>
      <c r="AQ87" s="37">
        <v>0.18021829075361462</v>
      </c>
      <c r="AR87" s="26">
        <f t="shared" si="2"/>
        <v>4.2326993865030671</v>
      </c>
      <c r="AS87">
        <f>MATCH(Исходник!B87,Модель!$B$2:$B$108,0)</f>
        <v>78</v>
      </c>
    </row>
    <row r="88" spans="1:45" ht="15" x14ac:dyDescent="0.25">
      <c r="A88" s="8">
        <v>2006</v>
      </c>
      <c r="B88" s="9" t="s">
        <v>260</v>
      </c>
      <c r="C88" s="10">
        <v>2006</v>
      </c>
      <c r="D88" s="9" t="s">
        <v>45</v>
      </c>
      <c r="E88" s="18" t="s">
        <v>142</v>
      </c>
      <c r="F88" s="30">
        <v>8802.4560000000001</v>
      </c>
      <c r="G88" s="12">
        <v>140757885</v>
      </c>
      <c r="H88" s="38">
        <v>60.084899999999998</v>
      </c>
      <c r="I88" s="38">
        <v>66.760999999999996</v>
      </c>
      <c r="J88" s="38">
        <v>53.408799999999999</v>
      </c>
      <c r="K88" s="33">
        <v>0.5</v>
      </c>
      <c r="L88" s="45">
        <v>-4.8888888888888871E-2</v>
      </c>
      <c r="M88" s="46">
        <v>9.3842490000000005</v>
      </c>
      <c r="N88" s="46"/>
      <c r="O88" s="45">
        <v>-4.8888888888888871E-2</v>
      </c>
      <c r="P88" s="39">
        <v>84445.968678000005</v>
      </c>
      <c r="Q88" s="40">
        <v>1.7253633145386749E-2</v>
      </c>
      <c r="R88" s="40">
        <v>9.0904783500409536E-2</v>
      </c>
      <c r="S88" s="18">
        <v>2</v>
      </c>
      <c r="T88" s="41" t="s">
        <v>261</v>
      </c>
      <c r="U88" s="10">
        <v>2</v>
      </c>
      <c r="V88" s="18">
        <v>18</v>
      </c>
      <c r="W88" s="9" t="s">
        <v>127</v>
      </c>
      <c r="X88" s="9">
        <v>1</v>
      </c>
      <c r="Y88" s="10">
        <v>15</v>
      </c>
      <c r="Z88" s="36">
        <v>11906.131083043541</v>
      </c>
      <c r="AA88" s="36">
        <v>12064.913851340316</v>
      </c>
      <c r="AB88" s="36">
        <v>3643.084881237095</v>
      </c>
      <c r="AC88" s="36">
        <v>10980.502291824187</v>
      </c>
      <c r="AD88" s="36">
        <v>0</v>
      </c>
      <c r="AE88" s="36">
        <v>1803.9455271919344</v>
      </c>
      <c r="AF88" s="36">
        <v>1041.0067835177413</v>
      </c>
      <c r="AG88" s="36">
        <v>-158.78276829677409</v>
      </c>
      <c r="AH88" s="36">
        <v>15127.711136956445</v>
      </c>
      <c r="AI88" s="36">
        <v>9114.5216281596713</v>
      </c>
      <c r="AJ88" s="36">
        <v>3754.6122215225787</v>
      </c>
      <c r="AK88" s="36">
        <v>3105.5508484064499</v>
      </c>
      <c r="AL88" s="36">
        <v>0</v>
      </c>
      <c r="AM88" s="37">
        <v>0.60250500195586298</v>
      </c>
      <c r="AN88" s="37">
        <v>0.24819433604533858</v>
      </c>
      <c r="AO88" s="37">
        <v>0.1142140888997959</v>
      </c>
      <c r="AP88" s="37">
        <v>0.34248685727863343</v>
      </c>
      <c r="AQ88" s="37">
        <v>0.76159189522138537</v>
      </c>
      <c r="AR88" s="26">
        <f t="shared" si="2"/>
        <v>0.33177761676254525</v>
      </c>
      <c r="AS88">
        <f>MATCH(Исходник!B88,Модель!$B$2:$B$108,0)</f>
        <v>79</v>
      </c>
    </row>
    <row r="89" spans="1:45" ht="15" x14ac:dyDescent="0.25">
      <c r="A89" s="8">
        <v>2006</v>
      </c>
      <c r="B89" t="s">
        <v>262</v>
      </c>
      <c r="C89" s="10">
        <v>2006</v>
      </c>
      <c r="D89" t="s">
        <v>45</v>
      </c>
      <c r="E89" s="48" t="s">
        <v>263</v>
      </c>
      <c r="F89" s="30">
        <v>38281.475079227886</v>
      </c>
      <c r="G89" s="12">
        <v>85000000</v>
      </c>
      <c r="H89">
        <v>347.1</v>
      </c>
      <c r="I89" s="11">
        <v>374.86799999999999</v>
      </c>
      <c r="J89" s="11">
        <v>305.44799999999998</v>
      </c>
      <c r="K89" s="28">
        <v>0.60000000000000053</v>
      </c>
      <c r="L89" s="28">
        <v>-6.7999999999999949E-2</v>
      </c>
      <c r="M89" s="26">
        <v>434.20655099999999</v>
      </c>
      <c r="O89" s="28">
        <v>-6.7999999999999949E-2</v>
      </c>
      <c r="P89" s="56" t="s">
        <v>115</v>
      </c>
      <c r="Q89" s="17">
        <v>-2.3702123061964953E-3</v>
      </c>
      <c r="R89" s="17">
        <v>9.1987789111732443E-2</v>
      </c>
      <c r="S89" s="48">
        <v>3</v>
      </c>
      <c r="T89" s="52" t="s">
        <v>264</v>
      </c>
      <c r="U89" s="10">
        <v>3</v>
      </c>
      <c r="V89" s="48">
        <v>9.1300000000000008</v>
      </c>
      <c r="W89" t="s">
        <v>227</v>
      </c>
      <c r="X89" s="9">
        <v>2</v>
      </c>
      <c r="Y89" s="10">
        <v>13</v>
      </c>
      <c r="Z89" s="36">
        <v>356545.97005634493</v>
      </c>
      <c r="AA89" s="36">
        <v>127163.47905623217</v>
      </c>
      <c r="AB89" s="36">
        <v>119125.75262441605</v>
      </c>
      <c r="AC89" s="36">
        <v>43231.298462482235</v>
      </c>
      <c r="AD89" s="36">
        <v>1054.6822608870962</v>
      </c>
      <c r="AE89" s="36">
        <v>50553.228324164491</v>
      </c>
      <c r="AF89" s="36">
        <v>23892.871035798376</v>
      </c>
      <c r="AG89" s="36">
        <v>229382.49100011276</v>
      </c>
      <c r="AH89" s="36">
        <v>327701.21715918847</v>
      </c>
      <c r="AI89" s="36">
        <v>86462.342102404786</v>
      </c>
      <c r="AJ89" s="36">
        <v>52215.435880940291</v>
      </c>
      <c r="AK89" s="36">
        <v>33234.269682924169</v>
      </c>
      <c r="AL89" s="36">
        <v>2.9580540784696708E-3</v>
      </c>
      <c r="AM89" s="37">
        <v>0.2638450441287305</v>
      </c>
      <c r="AN89" s="37">
        <v>0.15933854727056271</v>
      </c>
      <c r="AO89" s="37">
        <v>0.27633846660665279</v>
      </c>
      <c r="AP89" s="37">
        <v>0.1805385786977946</v>
      </c>
      <c r="AQ89" s="37">
        <v>0.29876250104795565</v>
      </c>
      <c r="AR89" s="26">
        <f t="shared" si="2"/>
        <v>2.7555441742698963</v>
      </c>
      <c r="AS89">
        <f>MATCH(Исходник!B89,Модель!$B$2:$B$108,0)</f>
        <v>80</v>
      </c>
    </row>
    <row r="90" spans="1:45" ht="30" x14ac:dyDescent="0.25">
      <c r="A90" s="8">
        <v>2006</v>
      </c>
      <c r="B90" s="9" t="s">
        <v>265</v>
      </c>
      <c r="C90" s="10">
        <v>2006</v>
      </c>
      <c r="D90" s="9" t="s">
        <v>45</v>
      </c>
      <c r="E90" s="18" t="s">
        <v>142</v>
      </c>
      <c r="F90" s="30">
        <v>10390.4432</v>
      </c>
      <c r="G90" s="12">
        <v>21970270</v>
      </c>
      <c r="H90" s="38">
        <v>447.23672500000004</v>
      </c>
      <c r="I90" s="38">
        <v>447.23672500000004</v>
      </c>
      <c r="J90" s="38">
        <v>413.86085000000003</v>
      </c>
      <c r="K90" s="33">
        <v>1</v>
      </c>
      <c r="L90" s="45">
        <v>5.8507462686567147E-2</v>
      </c>
      <c r="M90" s="46" t="s">
        <v>115</v>
      </c>
      <c r="N90" s="46"/>
      <c r="O90" s="45">
        <v>5.8507462686567147E-2</v>
      </c>
      <c r="P90" s="39">
        <v>4.0329982000000006</v>
      </c>
      <c r="Q90" s="40">
        <v>1.9384327330800311E-2</v>
      </c>
      <c r="R90" s="40">
        <v>0.10626961837105564</v>
      </c>
      <c r="S90" s="18">
        <v>0</v>
      </c>
      <c r="T90" s="41" t="s">
        <v>266</v>
      </c>
      <c r="U90" s="10">
        <v>4</v>
      </c>
      <c r="V90" s="18">
        <v>40.54</v>
      </c>
      <c r="W90" s="9" t="s">
        <v>154</v>
      </c>
      <c r="X90" s="9">
        <v>1</v>
      </c>
      <c r="Y90" s="10">
        <v>13</v>
      </c>
      <c r="Z90" s="36">
        <v>5673.7</v>
      </c>
      <c r="AA90" s="36">
        <v>1315.5</v>
      </c>
      <c r="AB90" s="36">
        <v>2330.567</v>
      </c>
      <c r="AC90" s="36">
        <v>1134.203</v>
      </c>
      <c r="AD90" s="36">
        <v>24.027999999999999</v>
      </c>
      <c r="AE90" s="36">
        <v>269.8</v>
      </c>
      <c r="AF90" s="36">
        <v>138.10000000000002</v>
      </c>
      <c r="AG90" s="36">
        <v>4358.2</v>
      </c>
      <c r="AH90" s="36">
        <v>4791.2</v>
      </c>
      <c r="AI90" s="36">
        <v>658.4</v>
      </c>
      <c r="AJ90" s="36">
        <v>147.19999999999999</v>
      </c>
      <c r="AK90" s="36">
        <v>106.169</v>
      </c>
      <c r="AL90" s="36">
        <v>4.2349789379064803E-3</v>
      </c>
      <c r="AM90" s="37">
        <v>0.1374186007680748</v>
      </c>
      <c r="AN90" s="37">
        <v>3.0722992152279176E-2</v>
      </c>
      <c r="AO90" s="37">
        <v>0.20975091130012155</v>
      </c>
      <c r="AP90" s="37">
        <v>2.7504548901107314E-2</v>
      </c>
      <c r="AQ90" s="37">
        <v>3.4355739444858389E-2</v>
      </c>
      <c r="AR90" s="26">
        <f t="shared" si="2"/>
        <v>2.0548058857188707</v>
      </c>
      <c r="AS90">
        <f>MATCH(Исходник!B90,Модель!$B$2:$B$108,0)</f>
        <v>81</v>
      </c>
    </row>
    <row r="91" spans="1:45" ht="15" x14ac:dyDescent="0.25">
      <c r="A91" s="8">
        <v>2006</v>
      </c>
      <c r="B91" s="9" t="s">
        <v>267</v>
      </c>
      <c r="C91" s="10">
        <v>2006</v>
      </c>
      <c r="D91" s="9" t="s">
        <v>45</v>
      </c>
      <c r="E91" s="18" t="s">
        <v>56</v>
      </c>
      <c r="F91" s="30">
        <v>12447.432000000001</v>
      </c>
      <c r="G91" s="12">
        <v>2019077</v>
      </c>
      <c r="H91" s="38">
        <v>280.83754999999996</v>
      </c>
      <c r="I91" s="38">
        <v>300.522425</v>
      </c>
      <c r="J91" s="38">
        <v>251.96639999999999</v>
      </c>
      <c r="K91" s="33">
        <v>0.59459459459459396</v>
      </c>
      <c r="L91" s="45">
        <v>4.20560747663552E-2</v>
      </c>
      <c r="M91" s="46" t="s">
        <v>115</v>
      </c>
      <c r="N91" s="46"/>
      <c r="O91" s="45">
        <v>4.20560747663552E-2</v>
      </c>
      <c r="P91" s="39"/>
      <c r="Q91" s="40">
        <v>-1.4278846153846114E-2</v>
      </c>
      <c r="R91" s="40">
        <v>7.4271978021978047E-2</v>
      </c>
      <c r="S91" s="18">
        <v>3</v>
      </c>
      <c r="T91" s="41" t="s">
        <v>268</v>
      </c>
      <c r="U91" s="10">
        <v>3</v>
      </c>
      <c r="V91" s="18">
        <v>20.2</v>
      </c>
      <c r="W91" s="9" t="s">
        <v>154</v>
      </c>
      <c r="X91" s="9">
        <v>1</v>
      </c>
      <c r="Y91" s="10">
        <v>12</v>
      </c>
      <c r="Z91" s="36">
        <v>9202.9167427499942</v>
      </c>
      <c r="AA91" s="36">
        <v>7969.6888083822532</v>
      </c>
      <c r="AB91" s="36">
        <v>4866.8843808967713</v>
      </c>
      <c r="AC91">
        <f>481561/100</f>
        <v>4815.6099999999997</v>
      </c>
      <c r="AD91" s="36">
        <v>1222.5253868612895</v>
      </c>
      <c r="AE91" s="36">
        <v>6129.898241129029</v>
      </c>
      <c r="AF91" s="36">
        <v>5836.5125340870936</v>
      </c>
      <c r="AG91" s="36">
        <v>1233.2279343677424</v>
      </c>
      <c r="AH91" s="36">
        <v>2636.6773385999982</v>
      </c>
      <c r="AI91" s="36">
        <v>410.0378121387094</v>
      </c>
      <c r="AJ91" s="36">
        <v>20.017727743548374</v>
      </c>
      <c r="AK91" s="36">
        <v>673.75084778709629</v>
      </c>
      <c r="AL91" s="36">
        <v>0.13284107865306813</v>
      </c>
      <c r="AM91" s="37">
        <v>0.1555130793350801</v>
      </c>
      <c r="AN91" s="37">
        <v>7.5920278338559343E-3</v>
      </c>
      <c r="AO91" s="37">
        <v>14.234083690098053</v>
      </c>
      <c r="AP91" s="37">
        <v>2.4345227026989799E-3</v>
      </c>
      <c r="AQ91" s="37">
        <v>2.1803827234738081E-2</v>
      </c>
      <c r="AR91" s="26">
        <f>AB91/AC91</f>
        <v>1.0106475360124203</v>
      </c>
      <c r="AS91">
        <f>MATCH(Исходник!B91,Модель!$B$2:$B$108,0)</f>
        <v>82</v>
      </c>
    </row>
    <row r="92" spans="1:45" ht="30" x14ac:dyDescent="0.25">
      <c r="A92" s="8">
        <v>2006</v>
      </c>
      <c r="B92" s="9" t="s">
        <v>269</v>
      </c>
      <c r="C92" s="10">
        <v>2006</v>
      </c>
      <c r="D92" s="9" t="s">
        <v>45</v>
      </c>
      <c r="E92" s="18" t="s">
        <v>121</v>
      </c>
      <c r="F92" s="30">
        <v>31178.36</v>
      </c>
      <c r="G92" s="12">
        <v>202500000</v>
      </c>
      <c r="H92" s="38">
        <v>578.62944000000005</v>
      </c>
      <c r="I92" s="38">
        <v>578.62944000000005</v>
      </c>
      <c r="J92" s="38">
        <v>492.90655999999996</v>
      </c>
      <c r="K92" s="33">
        <v>1</v>
      </c>
      <c r="L92" s="45">
        <v>0.186574074074074</v>
      </c>
      <c r="M92" s="46" t="s">
        <v>115</v>
      </c>
      <c r="N92" s="46"/>
      <c r="O92" s="45">
        <v>0.186574074074074</v>
      </c>
      <c r="P92" s="39">
        <v>20598.9517705</v>
      </c>
      <c r="Q92" s="40">
        <v>-2.1826240269831376E-2</v>
      </c>
      <c r="R92" s="40">
        <v>7.8036474630131636E-2</v>
      </c>
      <c r="S92" s="18">
        <v>3</v>
      </c>
      <c r="T92" s="41" t="s">
        <v>270</v>
      </c>
      <c r="U92" s="10">
        <v>3</v>
      </c>
      <c r="V92" s="18">
        <v>23.2</v>
      </c>
      <c r="W92" s="9" t="s">
        <v>154</v>
      </c>
      <c r="X92" s="9">
        <v>1</v>
      </c>
      <c r="Y92" s="10">
        <v>5</v>
      </c>
      <c r="Z92" s="36">
        <v>69453.304320967698</v>
      </c>
      <c r="AA92" s="36">
        <v>33984.83537564514</v>
      </c>
      <c r="AB92" s="36">
        <v>22856.252863030633</v>
      </c>
      <c r="AC92" s="36">
        <v>21723.566585264503</v>
      </c>
      <c r="AD92" s="36">
        <v>363.40528371774172</v>
      </c>
      <c r="AE92" s="36">
        <v>17608.238873709666</v>
      </c>
      <c r="AF92" s="36">
        <v>16291.655648709668</v>
      </c>
      <c r="AG92" s="36">
        <v>35468.468945322558</v>
      </c>
      <c r="AH92" s="36">
        <v>83191.071649354781</v>
      </c>
      <c r="AI92" s="36">
        <v>15065.676000483862</v>
      </c>
      <c r="AJ92" s="36">
        <v>7197.3216299999949</v>
      </c>
      <c r="AK92" s="36">
        <v>3944.0869514516107</v>
      </c>
      <c r="AL92" s="36">
        <v>5.2323685283326539E-3</v>
      </c>
      <c r="AM92" s="37">
        <v>0.18109727043768295</v>
      </c>
      <c r="AN92" s="37">
        <v>8.6515553740385276E-2</v>
      </c>
      <c r="AO92" s="37">
        <v>1.0813756812629205</v>
      </c>
      <c r="AP92" s="37">
        <v>0.1027624170917104</v>
      </c>
      <c r="AQ92" s="37">
        <v>0.2174456043824442</v>
      </c>
      <c r="AR92" s="26">
        <f t="shared" si="2"/>
        <v>1.0521408983796634</v>
      </c>
      <c r="AS92">
        <f>MATCH(Исходник!B92,Модель!$B$2:$B$108,0)</f>
        <v>83</v>
      </c>
    </row>
    <row r="93" spans="1:45" ht="15" x14ac:dyDescent="0.25">
      <c r="A93" s="8">
        <v>2006</v>
      </c>
      <c r="B93" s="10" t="s">
        <v>271</v>
      </c>
      <c r="C93" s="10">
        <v>2006</v>
      </c>
      <c r="D93" s="10" t="s">
        <v>45</v>
      </c>
      <c r="E93" s="8" t="s">
        <v>212</v>
      </c>
      <c r="F93" s="30">
        <v>13164.900299999999</v>
      </c>
      <c r="G93" s="31">
        <v>5100000000</v>
      </c>
      <c r="H93" s="54">
        <v>2.4072929999999997</v>
      </c>
      <c r="I93" s="54">
        <v>2.6747700000000001</v>
      </c>
      <c r="J93" s="54">
        <v>2.6747700000000001</v>
      </c>
      <c r="K93" s="33">
        <v>0</v>
      </c>
      <c r="L93" s="33">
        <v>0.11111111111111116</v>
      </c>
      <c r="M93" s="46" t="s">
        <v>115</v>
      </c>
      <c r="N93" s="46"/>
      <c r="O93" s="33">
        <v>0.11111111111111116</v>
      </c>
      <c r="P93" s="32">
        <v>0</v>
      </c>
      <c r="Q93" s="34">
        <v>-2.1826240269831376E-2</v>
      </c>
      <c r="R93" s="34">
        <v>-2.1826240269831376E-2</v>
      </c>
      <c r="S93" s="8">
        <v>3</v>
      </c>
      <c r="T93" s="35" t="s">
        <v>272</v>
      </c>
      <c r="U93" s="10">
        <v>3</v>
      </c>
      <c r="V93" s="8">
        <v>14.4</v>
      </c>
      <c r="W93" s="10" t="s">
        <v>127</v>
      </c>
      <c r="X93" s="10">
        <v>1</v>
      </c>
      <c r="Y93" s="10">
        <v>2</v>
      </c>
      <c r="Z93" s="36">
        <v>22086</v>
      </c>
      <c r="AA93" s="36">
        <v>6122</v>
      </c>
      <c r="AB93" s="36">
        <v>3515</v>
      </c>
      <c r="AC93" s="36">
        <v>2956</v>
      </c>
      <c r="AD93" s="36">
        <v>0</v>
      </c>
      <c r="AE93" s="36">
        <v>994.12300000000005</v>
      </c>
      <c r="AF93" s="36">
        <v>812.64800000000002</v>
      </c>
      <c r="AG93" s="36">
        <v>15964</v>
      </c>
      <c r="AH93" s="36">
        <v>10100</v>
      </c>
      <c r="AI93" s="36">
        <v>1634</v>
      </c>
      <c r="AJ93" s="36">
        <v>4910</v>
      </c>
      <c r="AK93" s="36">
        <v>1843</v>
      </c>
      <c r="AL93" s="36">
        <v>0</v>
      </c>
      <c r="AM93" s="37">
        <v>0.16178217821782179</v>
      </c>
      <c r="AN93" s="37">
        <v>0.48613861386138613</v>
      </c>
      <c r="AO93" s="37">
        <v>0.49733659730722157</v>
      </c>
      <c r="AP93" s="37">
        <v>0.22231151910984837</v>
      </c>
      <c r="AQ93" s="37">
        <v>0.30756619735990437</v>
      </c>
      <c r="AR93" s="26">
        <f t="shared" si="2"/>
        <v>1.1891069012178619</v>
      </c>
      <c r="AS93">
        <f>MATCH(Исходник!B93,Модель!$B$2:$B$108,0)</f>
        <v>84</v>
      </c>
    </row>
    <row r="94" spans="1:45" s="81" customFormat="1" ht="15" x14ac:dyDescent="0.25">
      <c r="A94" s="63">
        <v>2006</v>
      </c>
      <c r="B94" s="64" t="s">
        <v>273</v>
      </c>
      <c r="C94" s="65">
        <v>2006</v>
      </c>
      <c r="D94" s="64" t="s">
        <v>274</v>
      </c>
      <c r="E94" s="66" t="s">
        <v>135</v>
      </c>
      <c r="F94" s="67">
        <v>425.649</v>
      </c>
      <c r="G94" s="68">
        <v>41480174</v>
      </c>
      <c r="H94" s="69">
        <v>9.8887309999999999</v>
      </c>
      <c r="I94" s="66">
        <v>12</v>
      </c>
      <c r="J94" s="66">
        <v>8.5</v>
      </c>
      <c r="K94" s="70">
        <v>0</v>
      </c>
      <c r="L94" s="71">
        <v>9.9999999999999867E-2</v>
      </c>
      <c r="M94" s="72" t="s">
        <v>115</v>
      </c>
      <c r="N94" s="72"/>
      <c r="O94" s="71">
        <v>9.9999999999999867E-2</v>
      </c>
      <c r="P94" s="73" t="s">
        <v>115</v>
      </c>
      <c r="Q94" s="74">
        <v>2.1274803372722584E-2</v>
      </c>
      <c r="R94" s="74">
        <v>9.8945449811222552E-2</v>
      </c>
      <c r="S94" s="66">
        <v>0</v>
      </c>
      <c r="T94" s="75" t="s">
        <v>275</v>
      </c>
      <c r="U94" s="65">
        <v>1</v>
      </c>
      <c r="V94" s="66">
        <v>23.48</v>
      </c>
      <c r="W94" s="64" t="s">
        <v>276</v>
      </c>
      <c r="X94" s="64">
        <v>2</v>
      </c>
      <c r="Y94" s="65">
        <v>1</v>
      </c>
      <c r="Z94" s="76">
        <v>197.35254875000001</v>
      </c>
      <c r="AA94" s="76">
        <v>37.295565689999997</v>
      </c>
      <c r="AB94" s="76">
        <v>20.03020261</v>
      </c>
      <c r="AC94" s="76">
        <v>37.295565689999997</v>
      </c>
      <c r="AD94" s="76">
        <v>172.51142966999998</v>
      </c>
      <c r="AE94" s="77">
        <v>0</v>
      </c>
      <c r="AF94" s="77">
        <v>-7.2532484799999999</v>
      </c>
      <c r="AG94" s="76">
        <v>160.05698305999999</v>
      </c>
      <c r="AH94" s="77">
        <v>0</v>
      </c>
      <c r="AI94" s="76">
        <v>-6.8320806099999993</v>
      </c>
      <c r="AJ94" s="76">
        <v>-7.3723203399999999</v>
      </c>
      <c r="AK94" s="76">
        <v>177.34810823999999</v>
      </c>
      <c r="AL94" s="77">
        <v>0.8741282074270651</v>
      </c>
      <c r="AM94" s="78">
        <v>0</v>
      </c>
      <c r="AN94" s="79">
        <v>0</v>
      </c>
      <c r="AO94" s="80">
        <v>1.0616456236455325</v>
      </c>
      <c r="AP94" s="78">
        <v>0</v>
      </c>
      <c r="AQ94" s="78">
        <v>0</v>
      </c>
      <c r="AR94" s="76">
        <f t="shared" si="2"/>
        <v>0.53706659865386275</v>
      </c>
      <c r="AS94">
        <f>MATCH(Исходник!B94,Модель!$B$2:$B$108,0)</f>
        <v>85</v>
      </c>
    </row>
    <row r="95" spans="1:45" s="81" customFormat="1" ht="15" x14ac:dyDescent="0.25">
      <c r="A95" s="63">
        <v>2006</v>
      </c>
      <c r="B95" s="64" t="s">
        <v>277</v>
      </c>
      <c r="C95" s="65">
        <v>2006</v>
      </c>
      <c r="D95" s="64" t="s">
        <v>45</v>
      </c>
      <c r="E95" s="66" t="s">
        <v>142</v>
      </c>
      <c r="F95" s="67">
        <v>1584.0072</v>
      </c>
      <c r="G95" s="68">
        <v>1500000</v>
      </c>
      <c r="H95" s="69">
        <v>1022.6636</v>
      </c>
      <c r="I95" s="82">
        <v>1100</v>
      </c>
      <c r="J95" s="66">
        <v>1000</v>
      </c>
      <c r="K95" s="70">
        <v>0</v>
      </c>
      <c r="L95" s="71">
        <v>1.3157894736842035E-2</v>
      </c>
      <c r="M95" s="72" t="s">
        <v>115</v>
      </c>
      <c r="N95" s="72"/>
      <c r="O95" s="71">
        <v>1.3157894736842035E-2</v>
      </c>
      <c r="P95" s="83">
        <v>9757.9079495999995</v>
      </c>
      <c r="Q95" s="74">
        <v>1.6945287020776689E-2</v>
      </c>
      <c r="R95" s="74">
        <v>0.10736576428642031</v>
      </c>
      <c r="S95" s="66">
        <v>0</v>
      </c>
      <c r="T95" s="75" t="s">
        <v>259</v>
      </c>
      <c r="U95" s="65">
        <v>1</v>
      </c>
      <c r="V95" s="66">
        <v>13.04</v>
      </c>
      <c r="W95" s="64" t="s">
        <v>127</v>
      </c>
      <c r="X95" s="64">
        <v>1</v>
      </c>
      <c r="Y95" s="65">
        <v>15</v>
      </c>
      <c r="Z95" s="77">
        <v>9598</v>
      </c>
      <c r="AA95" s="77">
        <v>5432</v>
      </c>
      <c r="AB95" s="77">
        <v>4775</v>
      </c>
      <c r="AC95" s="77">
        <v>4525</v>
      </c>
      <c r="AD95" s="77">
        <v>274.02</v>
      </c>
      <c r="AE95" s="77">
        <v>3870.924</v>
      </c>
      <c r="AF95" s="77">
        <v>3010.3069999999998</v>
      </c>
      <c r="AG95" s="77">
        <v>4166</v>
      </c>
      <c r="AH95" s="77">
        <v>12664</v>
      </c>
      <c r="AI95" s="77">
        <v>1914</v>
      </c>
      <c r="AJ95" s="77">
        <v>990</v>
      </c>
      <c r="AK95" s="77">
        <v>1760.7449999999999</v>
      </c>
      <c r="AL95" s="77">
        <v>2.8549697853719525E-2</v>
      </c>
      <c r="AM95" s="80">
        <v>0.15113708149084018</v>
      </c>
      <c r="AN95" s="80">
        <v>7.8174352495262167E-2</v>
      </c>
      <c r="AO95" s="80">
        <v>1.5727831765935214</v>
      </c>
      <c r="AP95" s="80">
        <v>0.12715144417711247</v>
      </c>
      <c r="AQ95" s="80">
        <v>0.28204577773909539</v>
      </c>
      <c r="AR95" s="76">
        <f t="shared" si="2"/>
        <v>1.0552486187845305</v>
      </c>
      <c r="AS95" s="165" t="e">
        <f>MATCH(Исходник!B95,Модель!$B$2:$B$108,0)</f>
        <v>#N/A</v>
      </c>
    </row>
    <row r="96" spans="1:45" ht="30" x14ac:dyDescent="0.25">
      <c r="A96" s="8">
        <v>2006</v>
      </c>
      <c r="B96" s="9" t="s">
        <v>278</v>
      </c>
      <c r="C96" s="10">
        <v>2006</v>
      </c>
      <c r="D96" s="9" t="s">
        <v>45</v>
      </c>
      <c r="E96" s="18" t="s">
        <v>135</v>
      </c>
      <c r="F96" s="30">
        <v>295250.05440000002</v>
      </c>
      <c r="G96" s="12">
        <v>1411421975</v>
      </c>
      <c r="H96" s="38">
        <v>203.237695</v>
      </c>
      <c r="I96" s="38">
        <v>211.313365</v>
      </c>
      <c r="J96" s="38">
        <v>157.47556499999999</v>
      </c>
      <c r="K96" s="33">
        <v>0.85</v>
      </c>
      <c r="L96" s="45">
        <v>-2.6490066225165476E-3</v>
      </c>
      <c r="M96" s="46" t="s">
        <v>115</v>
      </c>
      <c r="N96" s="46"/>
      <c r="O96" s="45">
        <v>-2.6490066225165476E-3</v>
      </c>
      <c r="P96" s="39">
        <v>417229.67882699997</v>
      </c>
      <c r="Q96" s="40">
        <v>4.0679936074385914E-3</v>
      </c>
      <c r="R96" s="40">
        <v>0.12786652087140715</v>
      </c>
      <c r="S96" s="18">
        <v>5</v>
      </c>
      <c r="T96" s="41" t="s">
        <v>279</v>
      </c>
      <c r="U96" s="10">
        <v>5</v>
      </c>
      <c r="V96" s="18">
        <v>15.05</v>
      </c>
      <c r="W96" s="9" t="s">
        <v>227</v>
      </c>
      <c r="X96" s="9">
        <v>2</v>
      </c>
      <c r="Y96" s="10">
        <v>13</v>
      </c>
      <c r="Z96" s="36">
        <v>849861.550141935</v>
      </c>
      <c r="AA96" s="36">
        <v>586743.10046612867</v>
      </c>
      <c r="AB96" s="36">
        <v>169258.80686129021</v>
      </c>
      <c r="AC96" s="36">
        <v>233445.77828225793</v>
      </c>
      <c r="AD96" s="36">
        <v>0</v>
      </c>
      <c r="AE96" s="36">
        <v>345511.07730483852</v>
      </c>
      <c r="AF96" s="36">
        <v>312299.20369354822</v>
      </c>
      <c r="AG96" s="36">
        <v>210455.12067580633</v>
      </c>
      <c r="AH96" s="36">
        <v>458737.23465483845</v>
      </c>
      <c r="AI96" s="36">
        <v>199044.73272580633</v>
      </c>
      <c r="AJ96" s="36">
        <v>117756.33618870961</v>
      </c>
      <c r="AK96" s="36">
        <v>59033.892991935449</v>
      </c>
      <c r="AL96" s="36">
        <v>0</v>
      </c>
      <c r="AM96" s="37">
        <v>0.43389704974694482</v>
      </c>
      <c r="AN96" s="37">
        <v>0.25669670411060364</v>
      </c>
      <c r="AO96" s="37">
        <v>1.5689900426742531</v>
      </c>
      <c r="AP96" s="37">
        <v>0.22790914321725073</v>
      </c>
      <c r="AQ96" s="37">
        <v>0.77247399702823183</v>
      </c>
      <c r="AR96" s="26">
        <f t="shared" si="2"/>
        <v>0.7250454821103699</v>
      </c>
      <c r="AS96">
        <f>MATCH(Исходник!B96,Модель!$B$2:$B$108,0)</f>
        <v>86</v>
      </c>
    </row>
    <row r="97" spans="1:45" ht="15" x14ac:dyDescent="0.25">
      <c r="A97" s="8">
        <v>2006</v>
      </c>
      <c r="B97" s="9" t="s">
        <v>280</v>
      </c>
      <c r="C97" s="10">
        <v>2006</v>
      </c>
      <c r="D97" s="9" t="s">
        <v>281</v>
      </c>
      <c r="E97" s="18" t="s">
        <v>150</v>
      </c>
      <c r="F97" s="30">
        <v>10463.6697</v>
      </c>
      <c r="G97" s="12">
        <v>27180328</v>
      </c>
      <c r="H97" s="38">
        <v>377.77600000000001</v>
      </c>
      <c r="I97" s="38">
        <v>418.25200000000001</v>
      </c>
      <c r="J97" s="38">
        <v>364.28400000000005</v>
      </c>
      <c r="K97" s="33">
        <v>0.24999999999999947</v>
      </c>
      <c r="L97" s="45">
        <v>0.21428571428571419</v>
      </c>
      <c r="M97" s="46">
        <v>105.80198799999999</v>
      </c>
      <c r="N97" s="46"/>
      <c r="O97" s="45">
        <v>0.21428571428571419</v>
      </c>
      <c r="P97" s="39"/>
      <c r="Q97" s="40">
        <v>-1.6900263131650162E-2</v>
      </c>
      <c r="R97" s="40">
        <v>2.1372734037574892E-2</v>
      </c>
      <c r="S97" s="18">
        <v>1</v>
      </c>
      <c r="T97" s="41" t="s">
        <v>282</v>
      </c>
      <c r="U97" s="10">
        <v>1</v>
      </c>
      <c r="V97" s="18">
        <v>17.940000000000001</v>
      </c>
      <c r="W97" s="9" t="s">
        <v>106</v>
      </c>
      <c r="X97" s="9">
        <v>1</v>
      </c>
      <c r="Y97" s="10">
        <v>17</v>
      </c>
      <c r="Z97" s="36">
        <v>7749.3522351145111</v>
      </c>
      <c r="AA97" s="36">
        <v>2678.4399247693527</v>
      </c>
      <c r="AB97" s="36">
        <v>2614.6776576145144</v>
      </c>
      <c r="AC97" s="36">
        <v>1268.9880335758057</v>
      </c>
      <c r="AD97" s="36">
        <v>1163.5198074870962</v>
      </c>
      <c r="AE97" s="36">
        <v>1168.1066135612896</v>
      </c>
      <c r="AF97" s="36">
        <v>734.90826210967691</v>
      </c>
      <c r="AG97" s="36">
        <v>5070.9123103451584</v>
      </c>
      <c r="AH97" s="36">
        <v>6580.3678994032216</v>
      </c>
      <c r="AI97" s="36">
        <v>2947.6458022596757</v>
      </c>
      <c r="AJ97" s="36">
        <v>1622.2287285241925</v>
      </c>
      <c r="AK97" s="36">
        <v>165.04007781774183</v>
      </c>
      <c r="AL97" s="36">
        <v>0.15014413749511324</v>
      </c>
      <c r="AM97" s="37">
        <v>0.44794544124607377</v>
      </c>
      <c r="AN97" s="37">
        <v>0.24652553676692054</v>
      </c>
      <c r="AO97" s="37">
        <v>0.24932041073126687</v>
      </c>
      <c r="AP97" s="37">
        <v>0.20212799734705902</v>
      </c>
      <c r="AQ97" s="37">
        <v>0.32366673539771262</v>
      </c>
      <c r="AR97" s="26">
        <f t="shared" si="2"/>
        <v>2.060443115642919</v>
      </c>
      <c r="AS97">
        <f>MATCH(Исходник!B97,Модель!$B$2:$B$108,0)</f>
        <v>87</v>
      </c>
    </row>
    <row r="98" spans="1:45" ht="15" x14ac:dyDescent="0.25">
      <c r="A98" s="8">
        <v>2006</v>
      </c>
      <c r="B98" s="9" t="s">
        <v>283</v>
      </c>
      <c r="C98" s="10">
        <v>2006</v>
      </c>
      <c r="D98" s="9" t="s">
        <v>45</v>
      </c>
      <c r="E98" s="18" t="s">
        <v>171</v>
      </c>
      <c r="F98" s="30">
        <v>6893.3886999999995</v>
      </c>
      <c r="G98" s="12">
        <v>110430</v>
      </c>
      <c r="H98" s="38">
        <v>412.97152500000004</v>
      </c>
      <c r="I98" s="38">
        <v>548.37202500000001</v>
      </c>
      <c r="J98" s="38">
        <v>399.43147500000003</v>
      </c>
      <c r="K98" s="33">
        <v>9.0909090909090981E-2</v>
      </c>
      <c r="L98" s="45">
        <v>1.3114754098360715E-2</v>
      </c>
      <c r="M98" s="46" t="s">
        <v>115</v>
      </c>
      <c r="N98" s="46"/>
      <c r="O98" s="45">
        <v>1.3114754098360715E-2</v>
      </c>
      <c r="P98" s="39">
        <v>187.1930164</v>
      </c>
      <c r="Q98" s="40">
        <v>-2.6049815777519747E-2</v>
      </c>
      <c r="R98" s="40">
        <v>-0.24818301115429253</v>
      </c>
      <c r="S98" s="18">
        <v>1</v>
      </c>
      <c r="T98" s="41" t="s">
        <v>215</v>
      </c>
      <c r="U98" s="10">
        <v>1</v>
      </c>
      <c r="V98" s="18">
        <v>28.14</v>
      </c>
      <c r="W98" s="9" t="s">
        <v>227</v>
      </c>
      <c r="X98" s="9">
        <v>2</v>
      </c>
      <c r="Y98" s="10">
        <v>32</v>
      </c>
      <c r="Z98" s="36">
        <v>11999.679276062896</v>
      </c>
      <c r="AA98" s="36">
        <v>10229.851658249994</v>
      </c>
      <c r="AB98" s="36">
        <v>3992.4182969370945</v>
      </c>
      <c r="AC98" s="36">
        <v>5128.8985994806417</v>
      </c>
      <c r="AD98" s="36">
        <v>395.51292623709651</v>
      </c>
      <c r="AE98" s="36">
        <v>6665.591888806448</v>
      </c>
      <c r="AF98" s="36">
        <v>6518.3610765483836</v>
      </c>
      <c r="AG98" s="36">
        <v>1769.8276178129022</v>
      </c>
      <c r="AH98" s="36">
        <v>15464.360051908056</v>
      </c>
      <c r="AI98" s="36">
        <v>1871.9831506258054</v>
      </c>
      <c r="AJ98" s="36">
        <v>483.48333656129006</v>
      </c>
      <c r="AK98" s="36">
        <v>2431.9132550903209</v>
      </c>
      <c r="AL98" s="36">
        <v>3.2960291449294854E-2</v>
      </c>
      <c r="AM98" s="37">
        <v>0.12105144631541558</v>
      </c>
      <c r="AN98" s="37">
        <v>3.1264361081765932E-2</v>
      </c>
      <c r="AO98" s="37">
        <v>3.4820618307217623</v>
      </c>
      <c r="AP98" s="37">
        <v>4.4171969579388487E-2</v>
      </c>
      <c r="AQ98" s="37">
        <v>0.35815260707244434</v>
      </c>
      <c r="AR98" s="26">
        <f t="shared" si="2"/>
        <v>0.77841630507988036</v>
      </c>
      <c r="AS98">
        <f>MATCH(Исходник!B98,Модель!$B$2:$B$108,0)</f>
        <v>88</v>
      </c>
    </row>
    <row r="99" spans="1:45" ht="15" x14ac:dyDescent="0.25">
      <c r="A99" s="8">
        <v>2006</v>
      </c>
      <c r="B99" s="9" t="s">
        <v>284</v>
      </c>
      <c r="C99" s="10">
        <v>2006</v>
      </c>
      <c r="D99" s="9" t="s">
        <v>45</v>
      </c>
      <c r="E99" s="18" t="s">
        <v>102</v>
      </c>
      <c r="F99" s="30">
        <v>10551.222400000001</v>
      </c>
      <c r="G99" s="12">
        <v>13642796</v>
      </c>
      <c r="H99" s="38">
        <v>739.58669999999995</v>
      </c>
      <c r="I99" s="38">
        <v>766.97879999999998</v>
      </c>
      <c r="J99" s="38">
        <v>712.19460000000004</v>
      </c>
      <c r="K99" s="33">
        <v>0.49999999999999895</v>
      </c>
      <c r="L99" s="45">
        <v>3.7037037037036979E-2</v>
      </c>
      <c r="M99" s="46" t="s">
        <v>115</v>
      </c>
      <c r="N99" s="46"/>
      <c r="O99" s="45">
        <v>3.7037037037036979E-2</v>
      </c>
      <c r="P99" s="39"/>
      <c r="Q99" s="40">
        <v>-3.3045680205244454E-2</v>
      </c>
      <c r="R99" s="40">
        <v>-0.1244793922633527</v>
      </c>
      <c r="S99" s="18">
        <v>0</v>
      </c>
      <c r="T99" s="41" t="s">
        <v>285</v>
      </c>
      <c r="U99" s="10">
        <v>1</v>
      </c>
      <c r="V99" s="18">
        <v>18.940000000000001</v>
      </c>
      <c r="W99" s="9" t="s">
        <v>127</v>
      </c>
      <c r="X99" s="9">
        <v>1</v>
      </c>
      <c r="Y99" s="10">
        <v>12</v>
      </c>
      <c r="Z99" s="36">
        <v>11539.384792432251</v>
      </c>
      <c r="AA99" s="36">
        <v>10146.69456294193</v>
      </c>
      <c r="AB99" s="36">
        <v>6996.2383167967701</v>
      </c>
      <c r="AC99" s="36">
        <v>7491.0187868370913</v>
      </c>
      <c r="AD99" s="36">
        <v>9.9097662096774126</v>
      </c>
      <c r="AE99" s="36">
        <v>4604.7002806064493</v>
      </c>
      <c r="AF99" s="36">
        <v>3308.7576829403206</v>
      </c>
      <c r="AG99" s="36">
        <v>1392.6902294903218</v>
      </c>
      <c r="AH99" s="36">
        <v>44669.601930154815</v>
      </c>
      <c r="AI99" s="36">
        <v>2207.2730119258049</v>
      </c>
      <c r="AJ99" s="36">
        <v>1042.8471686709672</v>
      </c>
      <c r="AK99" s="36">
        <v>2218.0605002854827</v>
      </c>
      <c r="AL99" s="36">
        <v>8.5877768944635821E-4</v>
      </c>
      <c r="AM99" s="37">
        <v>4.9413312779842705E-2</v>
      </c>
      <c r="AN99" s="37">
        <v>2.3345790506518464E-2</v>
      </c>
      <c r="AO99" s="37">
        <v>1.49902511608815</v>
      </c>
      <c r="AP99" s="37">
        <v>0.11739600913490884</v>
      </c>
      <c r="AQ99" s="37">
        <v>1.1456654950387259</v>
      </c>
      <c r="AR99" s="26">
        <f t="shared" si="2"/>
        <v>0.93395017632184707</v>
      </c>
      <c r="AS99">
        <f>MATCH(Исходник!B99,Модель!$B$2:$B$108,0)</f>
        <v>89</v>
      </c>
    </row>
    <row r="100" spans="1:45" ht="15" x14ac:dyDescent="0.25">
      <c r="A100" s="8">
        <v>2006</v>
      </c>
      <c r="B100" s="9" t="s">
        <v>286</v>
      </c>
      <c r="C100" s="10">
        <v>2006</v>
      </c>
      <c r="D100" s="9" t="s">
        <v>45</v>
      </c>
      <c r="E100" s="18" t="s">
        <v>50</v>
      </c>
      <c r="F100" s="30">
        <v>4027.4359999999997</v>
      </c>
      <c r="G100" s="12">
        <v>4990000</v>
      </c>
      <c r="H100" s="38">
        <v>768.1268</v>
      </c>
      <c r="I100" s="38">
        <v>795.55989999999997</v>
      </c>
      <c r="J100" s="38">
        <v>658.39440000000002</v>
      </c>
      <c r="K100" s="33">
        <v>0.80000000000000016</v>
      </c>
      <c r="L100" s="45">
        <v>0.125</v>
      </c>
      <c r="M100" s="46" t="s">
        <v>115</v>
      </c>
      <c r="N100" s="46"/>
      <c r="O100" s="45">
        <v>0.125</v>
      </c>
      <c r="P100" s="39"/>
      <c r="Q100" s="40">
        <v>-1.093342036553524E-2</v>
      </c>
      <c r="R100" s="40">
        <v>-0.13350603785900794</v>
      </c>
      <c r="S100" s="18">
        <v>0</v>
      </c>
      <c r="T100" s="41" t="s">
        <v>259</v>
      </c>
      <c r="U100" s="10">
        <v>1</v>
      </c>
      <c r="V100" s="18">
        <v>99.6</v>
      </c>
      <c r="W100" s="9" t="s">
        <v>127</v>
      </c>
      <c r="X100" s="9">
        <v>1</v>
      </c>
      <c r="Y100" s="10">
        <v>9</v>
      </c>
      <c r="Z100" s="36">
        <v>2692.9931242887078</v>
      </c>
      <c r="AA100" s="36">
        <v>921.2401804693543</v>
      </c>
      <c r="AB100" s="36">
        <v>1690.1530974870959</v>
      </c>
      <c r="AC100" s="36">
        <v>541.12986228387058</v>
      </c>
      <c r="AD100" s="36">
        <v>330.50485990161269</v>
      </c>
      <c r="AE100" s="36">
        <v>404.09195241290297</v>
      </c>
      <c r="AF100" s="36">
        <v>395.20147644193526</v>
      </c>
      <c r="AG100" s="36">
        <v>1771.7529438193537</v>
      </c>
      <c r="AH100" s="36">
        <v>2245.4963958774183</v>
      </c>
      <c r="AI100" s="36">
        <v>687.68114771612863</v>
      </c>
      <c r="AJ100" s="36">
        <v>464.99454417580614</v>
      </c>
      <c r="AK100" s="36">
        <v>77.720880701612856</v>
      </c>
      <c r="AL100" s="36">
        <v>0.1227277028376773</v>
      </c>
      <c r="AM100" s="37">
        <v>0.30624905431986682</v>
      </c>
      <c r="AN100" s="37">
        <v>0.20707873102335195</v>
      </c>
      <c r="AO100" s="37">
        <v>0.5746870882740448</v>
      </c>
      <c r="AP100" s="37">
        <v>0.18524304478521034</v>
      </c>
      <c r="AQ100" s="37">
        <v>0.29673595865969227</v>
      </c>
      <c r="AR100" s="26">
        <f t="shared" si="2"/>
        <v>3.1233779824194232</v>
      </c>
      <c r="AS100" s="165" t="e">
        <f>MATCH(Исходник!B100,Модель!$B$2:$B$108,0)</f>
        <v>#N/A</v>
      </c>
    </row>
    <row r="101" spans="1:45" ht="15" x14ac:dyDescent="0.25">
      <c r="A101" s="8">
        <v>2006</v>
      </c>
      <c r="B101" s="9" t="s">
        <v>287</v>
      </c>
      <c r="C101" s="10">
        <v>2006</v>
      </c>
      <c r="D101" s="9" t="s">
        <v>45</v>
      </c>
      <c r="E101" s="18" t="s">
        <v>171</v>
      </c>
      <c r="F101" s="30">
        <v>4103.6976000000004</v>
      </c>
      <c r="G101" s="12">
        <v>30000000</v>
      </c>
      <c r="H101" s="38">
        <v>133.28639999999999</v>
      </c>
      <c r="I101" s="38">
        <v>133.28639999999999</v>
      </c>
      <c r="J101" s="38">
        <v>111.072</v>
      </c>
      <c r="K101" s="33">
        <v>1</v>
      </c>
      <c r="L101" s="45">
        <v>0.19791666666666674</v>
      </c>
      <c r="M101" s="46" t="s">
        <v>115</v>
      </c>
      <c r="N101" s="46"/>
      <c r="O101" s="45">
        <v>0.19791666666666674</v>
      </c>
      <c r="P101" s="39">
        <v>171478.7046693</v>
      </c>
      <c r="Q101" s="40">
        <v>-8.9988584644121739E-3</v>
      </c>
      <c r="R101" s="40">
        <v>-9.6511645145508362E-3</v>
      </c>
      <c r="S101" s="18">
        <v>2</v>
      </c>
      <c r="T101" s="41" t="s">
        <v>288</v>
      </c>
      <c r="U101" s="10">
        <v>2</v>
      </c>
      <c r="V101" s="18">
        <v>27.93</v>
      </c>
      <c r="W101" s="9" t="s">
        <v>127</v>
      </c>
      <c r="X101" s="9">
        <v>1</v>
      </c>
      <c r="Y101" s="10">
        <v>14</v>
      </c>
      <c r="Z101" s="36">
        <v>11111</v>
      </c>
      <c r="AA101" s="36">
        <v>3860</v>
      </c>
      <c r="AB101" s="36">
        <v>5426</v>
      </c>
      <c r="AC101" s="36">
        <v>3199</v>
      </c>
      <c r="AD101" s="36">
        <v>2800</v>
      </c>
      <c r="AE101" s="36">
        <v>2511</v>
      </c>
      <c r="AF101" s="36">
        <v>1914</v>
      </c>
      <c r="AG101" s="36">
        <v>7251</v>
      </c>
      <c r="AH101" s="36">
        <v>20198</v>
      </c>
      <c r="AI101" s="36">
        <v>2019.8000000000002</v>
      </c>
      <c r="AJ101" s="36">
        <v>1285</v>
      </c>
      <c r="AK101" s="36">
        <v>1871</v>
      </c>
      <c r="AL101" s="36">
        <v>0.25200252002520002</v>
      </c>
      <c r="AM101" s="37">
        <v>0.1</v>
      </c>
      <c r="AN101" s="37">
        <v>6.3620160411921978E-2</v>
      </c>
      <c r="AO101" s="37">
        <v>0.94761857609664313</v>
      </c>
      <c r="AP101" s="37">
        <v>0.11533973610986446</v>
      </c>
      <c r="AQ101" s="37">
        <v>0.18969589607322113</v>
      </c>
      <c r="AR101" s="26">
        <f t="shared" si="2"/>
        <v>1.6961550484526415</v>
      </c>
      <c r="AS101">
        <f>MATCH(Исходник!B101,Модель!$B$2:$B$108,0)</f>
        <v>90</v>
      </c>
    </row>
    <row r="102" spans="1:45" ht="30" x14ac:dyDescent="0.25">
      <c r="A102" s="8">
        <v>2006</v>
      </c>
      <c r="B102" s="9" t="s">
        <v>289</v>
      </c>
      <c r="C102" s="10">
        <v>2006</v>
      </c>
      <c r="D102" s="9" t="s">
        <v>45</v>
      </c>
      <c r="E102" s="18" t="s">
        <v>150</v>
      </c>
      <c r="F102" s="30">
        <v>30258.079199999996</v>
      </c>
      <c r="G102" s="12">
        <v>146500000</v>
      </c>
      <c r="H102" s="38">
        <v>204.703025</v>
      </c>
      <c r="I102" s="38">
        <v>225.8792</v>
      </c>
      <c r="J102" s="38">
        <v>183.52685</v>
      </c>
      <c r="K102" s="33">
        <v>0.5</v>
      </c>
      <c r="L102" s="45">
        <v>-5.2413793103448292E-2</v>
      </c>
      <c r="M102" s="46" t="s">
        <v>115</v>
      </c>
      <c r="N102" s="46"/>
      <c r="O102" s="45">
        <v>-5.2413793103448292E-2</v>
      </c>
      <c r="P102" s="39"/>
      <c r="Q102" s="40">
        <v>-6.8244810463646832E-3</v>
      </c>
      <c r="R102" s="40">
        <v>3.5512422230223661E-2</v>
      </c>
      <c r="S102" s="18">
        <v>0</v>
      </c>
      <c r="T102" s="41" t="s">
        <v>290</v>
      </c>
      <c r="U102" s="10">
        <v>4</v>
      </c>
      <c r="V102" s="18">
        <v>35.049999999999997</v>
      </c>
      <c r="W102" s="9" t="s">
        <v>227</v>
      </c>
      <c r="X102" s="9">
        <v>2</v>
      </c>
      <c r="Y102" s="10">
        <v>2</v>
      </c>
      <c r="Z102" s="36">
        <v>40862.701974922704</v>
      </c>
      <c r="AA102" s="36">
        <v>16892.542956922705</v>
      </c>
      <c r="AB102" s="36">
        <v>9668.5244535729071</v>
      </c>
      <c r="AC102" s="36">
        <v>6428.9454997529865</v>
      </c>
      <c r="AD102" s="36">
        <v>871.1550283984061</v>
      </c>
      <c r="AE102" s="36">
        <v>6245.495922344222</v>
      </c>
      <c r="AF102" s="36">
        <v>4302.7971625864529</v>
      </c>
      <c r="AG102" s="36">
        <v>10988.566309104379</v>
      </c>
      <c r="AH102" s="36">
        <v>20025.416942978482</v>
      </c>
      <c r="AI102" s="36">
        <v>7197.8896141051782</v>
      </c>
      <c r="AJ102" s="36">
        <v>2193.4439107888443</v>
      </c>
      <c r="AK102" s="36">
        <v>4864.1505648143411</v>
      </c>
      <c r="AL102" s="36">
        <v>2.1319075496599095E-2</v>
      </c>
      <c r="AM102" s="37">
        <v>0.35943769034127282</v>
      </c>
      <c r="AN102" s="37">
        <v>0.10953299584396078</v>
      </c>
      <c r="AO102" s="37">
        <v>0.5977859335539929</v>
      </c>
      <c r="AP102" s="37">
        <v>5.847818473392196E-2</v>
      </c>
      <c r="AQ102" s="37">
        <v>0.22542133272147263</v>
      </c>
      <c r="AR102" s="26">
        <f t="shared" si="2"/>
        <v>1.5039051822642442</v>
      </c>
      <c r="AS102">
        <f>MATCH(Исходник!B102,Модель!$B$2:$B$108,0)</f>
        <v>91</v>
      </c>
    </row>
    <row r="103" spans="1:45" ht="15" x14ac:dyDescent="0.25">
      <c r="A103" s="8">
        <v>2005</v>
      </c>
      <c r="B103" t="s">
        <v>291</v>
      </c>
      <c r="C103" s="10">
        <v>2005</v>
      </c>
      <c r="D103" t="s">
        <v>45</v>
      </c>
      <c r="E103" s="48" t="s">
        <v>263</v>
      </c>
      <c r="F103" s="30">
        <v>20216.2202</v>
      </c>
      <c r="G103" s="12">
        <v>447307500</v>
      </c>
      <c r="H103" s="11">
        <v>451.6721</v>
      </c>
      <c r="I103" s="11">
        <v>498.39679999999998</v>
      </c>
      <c r="J103" s="11">
        <v>467.24699999999996</v>
      </c>
      <c r="K103" s="33">
        <v>-3.3333333333333243E-2</v>
      </c>
      <c r="L103" s="28">
        <v>0.35379310344827575</v>
      </c>
      <c r="M103" s="51" t="s">
        <v>115</v>
      </c>
      <c r="N103" s="51"/>
      <c r="O103" s="28">
        <v>0.35379310344827575</v>
      </c>
      <c r="P103" s="39">
        <v>13581203</v>
      </c>
      <c r="Q103" s="17">
        <v>1.1974601769022541E-3</v>
      </c>
      <c r="R103" s="17">
        <v>7.0304333842566624E-2</v>
      </c>
      <c r="S103" s="48">
        <v>2</v>
      </c>
      <c r="T103" s="52" t="s">
        <v>292</v>
      </c>
      <c r="U103" s="10">
        <v>2</v>
      </c>
      <c r="V103" s="48">
        <v>7.46</v>
      </c>
      <c r="W103" t="s">
        <v>154</v>
      </c>
      <c r="X103" s="9">
        <v>1</v>
      </c>
      <c r="Y103" s="10">
        <v>12</v>
      </c>
      <c r="Z103" s="36">
        <v>148820.04151649878</v>
      </c>
      <c r="AA103" s="36">
        <v>24764.627052827087</v>
      </c>
      <c r="AB103" s="36">
        <v>74540.074639721104</v>
      </c>
      <c r="AC103" s="36">
        <v>15380.956465682866</v>
      </c>
      <c r="AD103" s="36">
        <v>622.08074349322703</v>
      </c>
      <c r="AE103" s="36">
        <v>262.38359783904377</v>
      </c>
      <c r="AF103" s="36">
        <v>-38588.566753467727</v>
      </c>
      <c r="AG103" s="36">
        <v>124055.70254403821</v>
      </c>
      <c r="AH103" s="36">
        <v>130750.63264621192</v>
      </c>
      <c r="AI103" s="36">
        <v>73830.27342461831</v>
      </c>
      <c r="AJ103" s="36">
        <v>51062.273776164133</v>
      </c>
      <c r="AK103" s="36">
        <v>7762.584748584859</v>
      </c>
      <c r="AL103" s="36">
        <v>4.1800871519328308E-3</v>
      </c>
      <c r="AM103" s="37">
        <v>0.56466475098740032</v>
      </c>
      <c r="AN103" s="37">
        <v>0.39053175302279119</v>
      </c>
      <c r="AO103" s="37">
        <v>-0.52266590605095298</v>
      </c>
      <c r="AP103" s="37">
        <v>0.42963544877063736</v>
      </c>
      <c r="AQ103" s="37">
        <v>0.74137707839038669</v>
      </c>
      <c r="AR103" s="26">
        <f t="shared" si="2"/>
        <v>4.8462574356822845</v>
      </c>
      <c r="AS103">
        <f>MATCH(Исходник!B103,Модель!$B$2:$B$108,0)</f>
        <v>92</v>
      </c>
    </row>
    <row r="104" spans="1:45" ht="15" x14ac:dyDescent="0.25">
      <c r="A104" s="8">
        <v>2005</v>
      </c>
      <c r="B104" s="9" t="s">
        <v>293</v>
      </c>
      <c r="C104" s="10">
        <v>2005</v>
      </c>
      <c r="D104" s="9" t="s">
        <v>165</v>
      </c>
      <c r="E104" s="18" t="s">
        <v>294</v>
      </c>
      <c r="F104" s="30">
        <v>6207.8235999999997</v>
      </c>
      <c r="G104" s="12">
        <v>18339000</v>
      </c>
      <c r="H104" s="38">
        <v>316.94850000000002</v>
      </c>
      <c r="I104" s="38">
        <v>345.762</v>
      </c>
      <c r="J104" s="38">
        <v>316.94850000000002</v>
      </c>
      <c r="K104" s="33">
        <v>0</v>
      </c>
      <c r="L104" s="45">
        <v>-1.2727272727272809E-2</v>
      </c>
      <c r="M104" s="46" t="s">
        <v>115</v>
      </c>
      <c r="N104" s="46"/>
      <c r="O104" s="45">
        <v>-1.2727272727272809E-2</v>
      </c>
      <c r="P104" s="39"/>
      <c r="Q104" s="40">
        <v>6.6092644048802995E-3</v>
      </c>
      <c r="R104" s="40">
        <v>0.1470961545058489</v>
      </c>
      <c r="S104" s="18">
        <v>2</v>
      </c>
      <c r="T104" s="41" t="s">
        <v>295</v>
      </c>
      <c r="U104" s="10">
        <v>2</v>
      </c>
      <c r="V104" s="18">
        <v>22.52</v>
      </c>
      <c r="W104" s="9" t="s">
        <v>154</v>
      </c>
      <c r="X104" s="9">
        <v>1</v>
      </c>
      <c r="Y104" s="10">
        <v>18</v>
      </c>
      <c r="Z104" s="36">
        <v>14775</v>
      </c>
      <c r="AA104" s="36">
        <v>8194</v>
      </c>
      <c r="AB104" s="36">
        <v>4324</v>
      </c>
      <c r="AC104" s="36">
        <v>4598</v>
      </c>
      <c r="AD104" s="36">
        <v>2403</v>
      </c>
      <c r="AE104" s="36">
        <v>5787</v>
      </c>
      <c r="AF104" s="36">
        <v>5592</v>
      </c>
      <c r="AG104" s="36">
        <v>6279</v>
      </c>
      <c r="AH104" s="36">
        <v>13850</v>
      </c>
      <c r="AI104" s="36">
        <v>1572</v>
      </c>
      <c r="AJ104" s="36">
        <v>129</v>
      </c>
      <c r="AK104" s="36">
        <v>2316</v>
      </c>
      <c r="AL104" s="36">
        <v>0.16263959390862945</v>
      </c>
      <c r="AM104" s="37">
        <v>0.11350180505415162</v>
      </c>
      <c r="AN104" s="37">
        <v>9.3140794223826717E-3</v>
      </c>
      <c r="AO104" s="37">
        <v>3.5572519083969465</v>
      </c>
      <c r="AP104" s="37">
        <v>8.8736027515047295E-3</v>
      </c>
      <c r="AQ104" s="37">
        <v>1.880740632745298E-2</v>
      </c>
      <c r="AR104" s="26">
        <f t="shared" si="2"/>
        <v>0.94040887342322754</v>
      </c>
      <c r="AS104">
        <f>MATCH(Исходник!B104,Модель!$B$2:$B$108,0)</f>
        <v>93</v>
      </c>
    </row>
    <row r="105" spans="1:45" ht="15" x14ac:dyDescent="0.25">
      <c r="A105" s="8">
        <v>2005</v>
      </c>
      <c r="B105" s="9" t="s">
        <v>296</v>
      </c>
      <c r="C105" s="10">
        <v>2005</v>
      </c>
      <c r="D105" s="9" t="s">
        <v>90</v>
      </c>
      <c r="E105" s="18" t="s">
        <v>135</v>
      </c>
      <c r="F105" s="30">
        <v>3623.61</v>
      </c>
      <c r="G105" s="12">
        <v>30667050</v>
      </c>
      <c r="H105" s="38">
        <v>122.2306128</v>
      </c>
      <c r="I105" s="38">
        <v>127.323555</v>
      </c>
      <c r="J105" s="38">
        <v>91.672959599999999</v>
      </c>
      <c r="K105" s="33">
        <v>0.85714285714285721</v>
      </c>
      <c r="L105" s="45">
        <v>4.5833333333333393E-2</v>
      </c>
      <c r="M105" s="46" t="s">
        <v>115</v>
      </c>
      <c r="N105" s="46"/>
      <c r="O105" s="45">
        <v>4.5833333333333393E-2</v>
      </c>
      <c r="P105" s="47" t="s">
        <v>115</v>
      </c>
      <c r="Q105" s="40">
        <v>2.0648544857924778E-2</v>
      </c>
      <c r="R105" s="40">
        <v>0.14270566151288921</v>
      </c>
      <c r="S105" s="18">
        <v>0</v>
      </c>
      <c r="T105" s="41" t="s">
        <v>282</v>
      </c>
      <c r="U105" s="10">
        <v>1</v>
      </c>
      <c r="V105" s="18">
        <v>35.380000000000003</v>
      </c>
      <c r="W105" s="9" t="s">
        <v>247</v>
      </c>
      <c r="X105" s="9">
        <v>1</v>
      </c>
      <c r="Y105" s="10">
        <v>5</v>
      </c>
      <c r="Z105" s="36">
        <v>3119.5646731219117</v>
      </c>
      <c r="AA105" s="36">
        <v>2276.0941679474099</v>
      </c>
      <c r="AB105" s="36">
        <v>212.43046228207166</v>
      </c>
      <c r="AC105" s="36">
        <v>1692.5297694597607</v>
      </c>
      <c r="AD105" s="36">
        <v>0</v>
      </c>
      <c r="AE105" s="36">
        <v>1163.0092477338642</v>
      </c>
      <c r="AF105" s="36">
        <v>1122.82203660239</v>
      </c>
      <c r="AG105" s="36">
        <v>805.24224053545811</v>
      </c>
      <c r="AH105" s="36">
        <v>213.20827927171311</v>
      </c>
      <c r="AI105" s="36">
        <v>0</v>
      </c>
      <c r="AJ105" s="36">
        <v>-105.78311059123504</v>
      </c>
      <c r="AK105" s="36">
        <v>33.014010004780864</v>
      </c>
      <c r="AL105" s="36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0</v>
      </c>
      <c r="AR105" s="26">
        <f t="shared" si="2"/>
        <v>0.12551062091503268</v>
      </c>
      <c r="AS105">
        <f>MATCH(Исходник!B105,Модель!$B$2:$B$108,0)</f>
        <v>94</v>
      </c>
    </row>
    <row r="106" spans="1:45" ht="15" x14ac:dyDescent="0.25">
      <c r="A106" s="8">
        <v>2005</v>
      </c>
      <c r="B106" s="9" t="s">
        <v>297</v>
      </c>
      <c r="C106" s="10">
        <v>2005</v>
      </c>
      <c r="D106" s="9" t="s">
        <v>45</v>
      </c>
      <c r="E106" s="18" t="s">
        <v>135</v>
      </c>
      <c r="F106" s="30">
        <v>29929.674600000002</v>
      </c>
      <c r="G106" s="12">
        <v>576898</v>
      </c>
      <c r="H106" s="38">
        <v>480.2962</v>
      </c>
      <c r="I106" s="38">
        <v>480.2962</v>
      </c>
      <c r="J106" s="38">
        <v>422.94739999999996</v>
      </c>
      <c r="K106" s="33">
        <v>1</v>
      </c>
      <c r="L106" s="45">
        <v>0.13432835820895517</v>
      </c>
      <c r="M106" s="46" t="s">
        <v>115</v>
      </c>
      <c r="N106" s="46"/>
      <c r="O106" s="45">
        <v>0.13432835820895517</v>
      </c>
      <c r="P106" s="39">
        <v>70986.144802099996</v>
      </c>
      <c r="Q106" s="40">
        <v>-3.7532732033749294E-3</v>
      </c>
      <c r="R106" s="40">
        <v>0.10640093104451553</v>
      </c>
      <c r="S106" s="18">
        <v>2</v>
      </c>
      <c r="T106" s="41" t="s">
        <v>298</v>
      </c>
      <c r="U106" s="10">
        <v>2</v>
      </c>
      <c r="V106" s="18">
        <v>19</v>
      </c>
      <c r="W106" s="9" t="s">
        <v>299</v>
      </c>
      <c r="X106" s="9">
        <v>2</v>
      </c>
      <c r="Y106" s="10">
        <v>11</v>
      </c>
      <c r="Z106" s="36">
        <v>82450</v>
      </c>
      <c r="AA106" s="36">
        <v>37514</v>
      </c>
      <c r="AB106" s="36">
        <v>2631</v>
      </c>
      <c r="AC106" s="36">
        <v>4678</v>
      </c>
      <c r="AD106" s="36">
        <v>0</v>
      </c>
      <c r="AE106" s="36">
        <v>24000</v>
      </c>
      <c r="AF106" s="36">
        <v>20997</v>
      </c>
      <c r="AG106" s="36">
        <v>44936</v>
      </c>
      <c r="AH106" s="36">
        <v>24615</v>
      </c>
      <c r="AI106" s="36">
        <v>8742</v>
      </c>
      <c r="AJ106" s="36">
        <v>5694</v>
      </c>
      <c r="AK106" s="36">
        <v>7412</v>
      </c>
      <c r="AL106" s="36">
        <v>0</v>
      </c>
      <c r="AM106" s="37">
        <v>0.35514929920780014</v>
      </c>
      <c r="AN106" s="37">
        <v>0.23132236441194393</v>
      </c>
      <c r="AO106" s="37">
        <v>2.401853122855182</v>
      </c>
      <c r="AP106" s="37">
        <v>0.11536825043055415</v>
      </c>
      <c r="AQ106" s="37">
        <v>0.2053853229209876</v>
      </c>
      <c r="AR106" s="26">
        <f t="shared" si="2"/>
        <v>0.5624198375374091</v>
      </c>
      <c r="AS106">
        <f>MATCH(Исходник!B106,Модель!$B$2:$B$108,0)</f>
        <v>95</v>
      </c>
    </row>
    <row r="107" spans="1:45" ht="15" x14ac:dyDescent="0.25">
      <c r="A107" s="8">
        <v>2005</v>
      </c>
      <c r="B107" s="9" t="s">
        <v>300</v>
      </c>
      <c r="C107" s="10">
        <v>2005</v>
      </c>
      <c r="D107" s="9" t="s">
        <v>187</v>
      </c>
      <c r="E107" s="18" t="s">
        <v>121</v>
      </c>
      <c r="F107" s="30">
        <v>10800.879000000001</v>
      </c>
      <c r="G107" s="12">
        <v>9603000</v>
      </c>
      <c r="H107" s="38">
        <v>408.82170000000002</v>
      </c>
      <c r="I107" s="38">
        <v>479.3082</v>
      </c>
      <c r="J107" s="38">
        <v>380.62710000000004</v>
      </c>
      <c r="K107" s="33">
        <v>0.28571428571428564</v>
      </c>
      <c r="L107" s="45">
        <v>0</v>
      </c>
      <c r="M107" s="46">
        <v>30.130000115000001</v>
      </c>
      <c r="N107" s="46"/>
      <c r="O107" s="45">
        <v>0</v>
      </c>
      <c r="P107" s="39"/>
      <c r="Q107" s="40">
        <v>-4.3054198612330064E-3</v>
      </c>
      <c r="R107" s="40">
        <v>7.4831509049661404E-2</v>
      </c>
      <c r="S107" s="18">
        <v>1</v>
      </c>
      <c r="T107" s="41" t="s">
        <v>282</v>
      </c>
      <c r="U107" s="10">
        <v>1</v>
      </c>
      <c r="V107" s="18">
        <v>8.2200000000000006</v>
      </c>
      <c r="W107" s="9" t="s">
        <v>154</v>
      </c>
      <c r="X107" s="9">
        <v>1</v>
      </c>
      <c r="Y107" s="10">
        <v>13</v>
      </c>
      <c r="Z107" s="36">
        <v>116224.9291726948</v>
      </c>
      <c r="AA107" s="36">
        <v>71801.98598796333</v>
      </c>
      <c r="AB107" s="36">
        <v>56390.867507904375</v>
      </c>
      <c r="AC107" s="36">
        <v>29160.618213987247</v>
      </c>
      <c r="AD107" s="36">
        <v>0</v>
      </c>
      <c r="AE107" s="36">
        <v>37818.873630162539</v>
      </c>
      <c r="AF107" s="36">
        <v>29426.746856591228</v>
      </c>
      <c r="AG107" s="36">
        <v>44422.943184731463</v>
      </c>
      <c r="AH107" s="36">
        <v>170677.47674241272</v>
      </c>
      <c r="AI107" s="36">
        <v>57727.157096108356</v>
      </c>
      <c r="AJ107" s="36">
        <v>35959.458904369712</v>
      </c>
      <c r="AK107" s="36">
        <v>15084.032031896411</v>
      </c>
      <c r="AL107" s="36">
        <v>0</v>
      </c>
      <c r="AM107" s="37">
        <v>0.33822363792751908</v>
      </c>
      <c r="AN107" s="37">
        <v>0.21068660956735319</v>
      </c>
      <c r="AO107" s="37">
        <v>0.50975569102769858</v>
      </c>
      <c r="AP107" s="37">
        <v>0.40359974223812445</v>
      </c>
      <c r="AQ107" s="37">
        <v>1.1713693709249382</v>
      </c>
      <c r="AR107" s="26">
        <f t="shared" si="2"/>
        <v>1.9338021949361761</v>
      </c>
      <c r="AS107">
        <f>MATCH(Исходник!B107,Модель!$B$2:$B$108,0)</f>
        <v>96</v>
      </c>
    </row>
    <row r="108" spans="1:45" ht="15" x14ac:dyDescent="0.25">
      <c r="A108" s="8">
        <v>2005</v>
      </c>
      <c r="B108" s="9" t="s">
        <v>301</v>
      </c>
      <c r="C108" s="10">
        <v>2005</v>
      </c>
      <c r="D108" s="9" t="s">
        <v>165</v>
      </c>
      <c r="E108" s="18" t="s">
        <v>102</v>
      </c>
      <c r="F108" s="30">
        <v>16418.082600000002</v>
      </c>
      <c r="G108" s="12">
        <v>12284901</v>
      </c>
      <c r="H108" s="38">
        <v>361.26479999999998</v>
      </c>
      <c r="I108" s="38">
        <v>444.6336</v>
      </c>
      <c r="J108" s="38">
        <v>361.26479999999998</v>
      </c>
      <c r="K108" s="33">
        <v>0</v>
      </c>
      <c r="L108" s="45">
        <v>-3.8461538461538436E-2</v>
      </c>
      <c r="M108" s="46" t="s">
        <v>115</v>
      </c>
      <c r="N108" s="46"/>
      <c r="O108" s="45">
        <v>-3.8461538461538436E-2</v>
      </c>
      <c r="P108" s="39"/>
      <c r="Q108" s="40">
        <v>2.2569966897383331E-3</v>
      </c>
      <c r="R108" s="40">
        <v>1.369244658441171E-2</v>
      </c>
      <c r="S108" s="18">
        <v>0</v>
      </c>
      <c r="T108" s="41" t="s">
        <v>302</v>
      </c>
      <c r="U108" s="10">
        <v>2</v>
      </c>
      <c r="V108" s="18">
        <v>32.07</v>
      </c>
      <c r="W108" s="9" t="s">
        <v>154</v>
      </c>
      <c r="X108" s="9">
        <v>1</v>
      </c>
      <c r="Y108" s="10">
        <v>10</v>
      </c>
      <c r="Z108" s="36">
        <v>11973.974010870117</v>
      </c>
      <c r="AA108" s="36">
        <v>7191.78231033466</v>
      </c>
      <c r="AB108" s="36">
        <v>4951.7269962406363</v>
      </c>
      <c r="AC108" s="36">
        <v>5622.4933216780864</v>
      </c>
      <c r="AD108" s="36">
        <v>0</v>
      </c>
      <c r="AE108" s="36">
        <v>2150.4335120653382</v>
      </c>
      <c r="AF108" s="36">
        <v>1725.5725875011951</v>
      </c>
      <c r="AG108" s="36">
        <v>4782.1917005354571</v>
      </c>
      <c r="AH108" s="36">
        <v>31856.013355424697</v>
      </c>
      <c r="AI108" s="36">
        <v>0</v>
      </c>
      <c r="AJ108" s="36">
        <v>2144.3262082948204</v>
      </c>
      <c r="AK108" s="36">
        <v>3831.4688749003976</v>
      </c>
      <c r="AL108" s="36">
        <v>0</v>
      </c>
      <c r="AM108" s="37">
        <v>0</v>
      </c>
      <c r="AN108" s="37">
        <v>6.7313074752012786E-2</v>
      </c>
      <c r="AO108" s="37">
        <v>0</v>
      </c>
      <c r="AP108" s="37">
        <v>0.22477763064718503</v>
      </c>
      <c r="AQ108" s="37">
        <v>0.54878902938032226</v>
      </c>
      <c r="AR108" s="26">
        <f t="shared" si="2"/>
        <v>0.8806994891659109</v>
      </c>
      <c r="AS108">
        <f>MATCH(Исходник!B108,Модель!$B$2:$B$108,0)</f>
        <v>97</v>
      </c>
    </row>
    <row r="109" spans="1:45" ht="15" x14ac:dyDescent="0.25">
      <c r="A109" s="8">
        <v>2005</v>
      </c>
      <c r="B109" s="9" t="s">
        <v>303</v>
      </c>
      <c r="C109" s="10">
        <v>2005</v>
      </c>
      <c r="D109" s="9" t="s">
        <v>45</v>
      </c>
      <c r="E109" s="18" t="s">
        <v>294</v>
      </c>
      <c r="F109" s="30">
        <v>3520.3950000000004</v>
      </c>
      <c r="G109" s="12">
        <v>8940047</v>
      </c>
      <c r="H109" s="38">
        <v>418.38173999999998</v>
      </c>
      <c r="I109" s="38">
        <v>493.19172000000003</v>
      </c>
      <c r="J109" s="38">
        <v>437.77692000000002</v>
      </c>
      <c r="K109" s="33">
        <v>-4.4303797468354521E-2</v>
      </c>
      <c r="L109" s="45">
        <v>1.655629139072845E-2</v>
      </c>
      <c r="M109" s="46" t="s">
        <v>115</v>
      </c>
      <c r="N109" s="46"/>
      <c r="O109" s="45">
        <v>1.655629139072845E-2</v>
      </c>
      <c r="P109" s="39"/>
      <c r="Q109" s="40">
        <v>9.9206677818446387E-3</v>
      </c>
      <c r="R109" s="40">
        <v>-2.7691747130624722E-2</v>
      </c>
      <c r="S109" s="18">
        <v>0</v>
      </c>
      <c r="T109" s="41" t="s">
        <v>304</v>
      </c>
      <c r="U109" s="10">
        <v>2</v>
      </c>
      <c r="V109" s="18">
        <v>42.86</v>
      </c>
      <c r="W109" s="9" t="s">
        <v>127</v>
      </c>
      <c r="X109" s="9">
        <v>1</v>
      </c>
      <c r="Y109" s="10">
        <v>3</v>
      </c>
      <c r="Z109" s="36">
        <v>18824</v>
      </c>
      <c r="AA109" s="36">
        <v>7289</v>
      </c>
      <c r="AB109" s="36">
        <v>6628</v>
      </c>
      <c r="AC109" s="36">
        <v>3750</v>
      </c>
      <c r="AD109" s="36">
        <v>0</v>
      </c>
      <c r="AE109" s="36">
        <v>2612</v>
      </c>
      <c r="AF109" s="36">
        <v>1630</v>
      </c>
      <c r="AG109" s="36">
        <v>11535</v>
      </c>
      <c r="AH109" s="36">
        <v>23029</v>
      </c>
      <c r="AI109" s="36">
        <v>3362</v>
      </c>
      <c r="AJ109" s="36">
        <v>1672</v>
      </c>
      <c r="AK109" s="36">
        <v>754</v>
      </c>
      <c r="AL109" s="36">
        <v>0</v>
      </c>
      <c r="AM109" s="37">
        <v>0.14598983889877981</v>
      </c>
      <c r="AN109" s="37">
        <v>7.2604107863997569E-2</v>
      </c>
      <c r="AO109" s="37">
        <v>0.48483045806067815</v>
      </c>
      <c r="AP109" s="37">
        <v>9.4356659142212196E-2</v>
      </c>
      <c r="AQ109" s="37">
        <v>0.15973250537377598</v>
      </c>
      <c r="AR109" s="26">
        <f t="shared" si="2"/>
        <v>1.7674666666666667</v>
      </c>
      <c r="AS109">
        <f>MATCH(Исходник!B109,Модель!$B$2:$B$108,0)</f>
        <v>98</v>
      </c>
    </row>
    <row r="110" spans="1:45" ht="15" x14ac:dyDescent="0.25">
      <c r="A110" s="8">
        <v>2005</v>
      </c>
      <c r="B110" s="9" t="s">
        <v>305</v>
      </c>
      <c r="C110" s="10">
        <v>2005</v>
      </c>
      <c r="D110" s="9" t="s">
        <v>45</v>
      </c>
      <c r="E110" s="18" t="s">
        <v>171</v>
      </c>
      <c r="F110" s="30">
        <v>4147.0186999999996</v>
      </c>
      <c r="G110" s="12">
        <v>4061850</v>
      </c>
      <c r="H110" s="38">
        <v>1022.4735509999999</v>
      </c>
      <c r="I110" s="38">
        <v>1056.2539019999999</v>
      </c>
      <c r="J110" s="38">
        <v>955.18748600000004</v>
      </c>
      <c r="K110" s="33">
        <v>0.66576086956521707</v>
      </c>
      <c r="L110" s="45">
        <v>4.8885307547676726E-2</v>
      </c>
      <c r="M110" s="46" t="s">
        <v>115</v>
      </c>
      <c r="N110" s="46"/>
      <c r="O110" s="45">
        <v>4.8885307547676726E-2</v>
      </c>
      <c r="P110" s="39"/>
      <c r="Q110" s="40">
        <v>3.6950891605218583E-3</v>
      </c>
      <c r="R110" s="40">
        <v>1.6627901222348473E-2</v>
      </c>
      <c r="S110" s="18">
        <v>0</v>
      </c>
      <c r="T110" s="41" t="s">
        <v>285</v>
      </c>
      <c r="U110" s="10">
        <v>1</v>
      </c>
      <c r="V110" s="18">
        <v>19.899999999999999</v>
      </c>
      <c r="W110" s="9" t="s">
        <v>127</v>
      </c>
      <c r="X110" s="9">
        <v>1</v>
      </c>
      <c r="Y110" s="10">
        <v>13</v>
      </c>
      <c r="Z110" s="36">
        <v>3921.2137300784002</v>
      </c>
      <c r="AA110" s="36">
        <v>1521.4164501508001</v>
      </c>
      <c r="AB110" s="36">
        <v>2198.0070893032002</v>
      </c>
      <c r="AC110" s="36">
        <v>1023.7347913772002</v>
      </c>
      <c r="AD110" s="36">
        <v>8.5881218080000021</v>
      </c>
      <c r="AE110" s="36">
        <v>619.57164471999999</v>
      </c>
      <c r="AF110" s="36">
        <v>512.22012212000004</v>
      </c>
      <c r="AG110" s="36">
        <v>2337.1960063200004</v>
      </c>
      <c r="AH110" s="36">
        <v>8361.1500173600016</v>
      </c>
      <c r="AI110" s="36">
        <v>1604.1384662800001</v>
      </c>
      <c r="AJ110" s="36">
        <v>1055.1121078399999</v>
      </c>
      <c r="AK110" s="36">
        <v>401.80141316000004</v>
      </c>
      <c r="AL110" s="36">
        <v>2.1901692687963459E-3</v>
      </c>
      <c r="AM110" s="37">
        <v>0.19185619955979455</v>
      </c>
      <c r="AN110" s="37">
        <v>0.12619222303741745</v>
      </c>
      <c r="AO110" s="37">
        <v>0.31931166347992351</v>
      </c>
      <c r="AP110" s="37">
        <v>0.28654488509050324</v>
      </c>
      <c r="AQ110" s="37">
        <v>0.48313928175166082</v>
      </c>
      <c r="AR110" s="26">
        <f t="shared" si="2"/>
        <v>2.1470473679479882</v>
      </c>
      <c r="AS110" t="e">
        <f>MATCH(Исходник!B110,Модель!$B$2:$B$108,0)</f>
        <v>#N/A</v>
      </c>
    </row>
    <row r="111" spans="1:45" ht="15" x14ac:dyDescent="0.25">
      <c r="A111" s="8">
        <v>2005</v>
      </c>
      <c r="B111" s="9" t="s">
        <v>306</v>
      </c>
      <c r="C111" s="10">
        <v>2005</v>
      </c>
      <c r="D111" s="9" t="s">
        <v>45</v>
      </c>
      <c r="E111" s="18" t="s">
        <v>307</v>
      </c>
      <c r="F111" s="30">
        <v>43887.470399999998</v>
      </c>
      <c r="G111" s="12">
        <v>1831563</v>
      </c>
      <c r="H111" s="38">
        <v>466.88290000000001</v>
      </c>
      <c r="I111" s="38">
        <v>535.54214999999999</v>
      </c>
      <c r="J111" s="38">
        <v>411.95549999999997</v>
      </c>
      <c r="K111" s="33">
        <v>0.44444444444444464</v>
      </c>
      <c r="L111" s="45">
        <v>2.6470588235294024E-2</v>
      </c>
      <c r="M111" s="46" t="s">
        <v>115</v>
      </c>
      <c r="N111" s="46"/>
      <c r="O111" s="45">
        <v>2.6470588235294024E-2</v>
      </c>
      <c r="P111" s="39">
        <v>1907034.0678223998</v>
      </c>
      <c r="Q111" s="40">
        <v>-1.0763685137061052E-2</v>
      </c>
      <c r="R111" s="40">
        <v>2.0119037639366288E-2</v>
      </c>
      <c r="S111" s="18">
        <v>2</v>
      </c>
      <c r="T111" s="41" t="s">
        <v>302</v>
      </c>
      <c r="U111" s="10">
        <v>2</v>
      </c>
      <c r="V111" s="18">
        <v>18.98</v>
      </c>
      <c r="W111" s="9" t="s">
        <v>299</v>
      </c>
      <c r="X111" s="9">
        <v>3</v>
      </c>
      <c r="Y111" s="10">
        <v>12</v>
      </c>
      <c r="Z111" s="36">
        <v>208330.35209982799</v>
      </c>
      <c r="AA111" s="36">
        <v>136379.03692054041</v>
      </c>
      <c r="AB111" s="36">
        <v>60312.999223721999</v>
      </c>
      <c r="AC111" s="36">
        <v>76910.526117317204</v>
      </c>
      <c r="AD111" s="36">
        <v>34241.117695268404</v>
      </c>
      <c r="AE111" s="36">
        <v>82367.449385984</v>
      </c>
      <c r="AF111" s="36">
        <v>73682.251129690005</v>
      </c>
      <c r="AG111" s="36">
        <v>30343.183909662403</v>
      </c>
      <c r="AH111" s="36">
        <v>115323.600027594</v>
      </c>
      <c r="AI111" s="36">
        <v>49894.503283528407</v>
      </c>
      <c r="AJ111" s="36">
        <v>11871.452790789201</v>
      </c>
      <c r="AK111" s="36">
        <v>35557.707440298407</v>
      </c>
      <c r="AL111" s="36">
        <v>0.16435971691182427</v>
      </c>
      <c r="AM111" s="37">
        <v>0.43264781251703832</v>
      </c>
      <c r="AN111" s="37">
        <v>0.1029403590240737</v>
      </c>
      <c r="AO111" s="37">
        <v>1.4767608910942824</v>
      </c>
      <c r="AP111" s="37">
        <v>8.4873507232723966E-2</v>
      </c>
      <c r="AQ111" s="37">
        <v>0.73340053776175163</v>
      </c>
      <c r="AR111" s="26">
        <f t="shared" si="2"/>
        <v>0.78419693985348904</v>
      </c>
      <c r="AS111">
        <f>MATCH(Исходник!B111,Модель!$B$2:$B$108,0)</f>
        <v>99</v>
      </c>
    </row>
    <row r="112" spans="1:45" ht="15" x14ac:dyDescent="0.25">
      <c r="A112" s="8">
        <v>2004</v>
      </c>
      <c r="B112" s="9" t="s">
        <v>308</v>
      </c>
      <c r="C112" s="10">
        <v>2004</v>
      </c>
      <c r="D112" s="9" t="s">
        <v>45</v>
      </c>
      <c r="E112" s="18" t="s">
        <v>56</v>
      </c>
      <c r="F112" s="30">
        <v>1978.2023999999999</v>
      </c>
      <c r="G112" s="12">
        <v>1383358</v>
      </c>
      <c r="H112" s="38">
        <v>1426.3126</v>
      </c>
      <c r="I112" s="38">
        <v>1497.9866</v>
      </c>
      <c r="J112" s="38">
        <v>1225.6253999999999</v>
      </c>
      <c r="K112" s="33">
        <v>0.73684210526315808</v>
      </c>
      <c r="L112" s="45">
        <v>0</v>
      </c>
      <c r="M112" s="46" t="s">
        <v>115</v>
      </c>
      <c r="N112" s="46"/>
      <c r="O112" s="45">
        <v>0</v>
      </c>
      <c r="P112" s="39">
        <v>376.7611397</v>
      </c>
      <c r="Q112" s="40">
        <v>6.2726867477551629E-3</v>
      </c>
      <c r="R112" s="40">
        <v>-0.18029994268611094</v>
      </c>
      <c r="S112" s="18">
        <v>0</v>
      </c>
      <c r="T112" s="41" t="s">
        <v>309</v>
      </c>
      <c r="U112" s="10">
        <v>3</v>
      </c>
      <c r="V112" s="18">
        <v>38.53</v>
      </c>
      <c r="W112" s="9" t="s">
        <v>127</v>
      </c>
      <c r="X112" s="9">
        <v>1</v>
      </c>
      <c r="Y112" s="10">
        <v>2</v>
      </c>
      <c r="Z112" s="36">
        <v>3571.0637352208</v>
      </c>
      <c r="AA112" s="36">
        <v>1294.9047374648003</v>
      </c>
      <c r="AB112" s="36">
        <v>1645.5148102764001</v>
      </c>
      <c r="AC112" s="36">
        <v>409.10131669679998</v>
      </c>
      <c r="AD112" s="36">
        <v>0</v>
      </c>
      <c r="AE112" s="36">
        <v>768.14615199840011</v>
      </c>
      <c r="AF112" s="36">
        <v>246.44842402600003</v>
      </c>
      <c r="AG112" s="36">
        <v>2276.1589977559997</v>
      </c>
      <c r="AH112" s="36">
        <v>444.40463170040005</v>
      </c>
      <c r="AI112" s="36">
        <v>0</v>
      </c>
      <c r="AJ112" s="36">
        <v>254.66848347080003</v>
      </c>
      <c r="AK112" s="36">
        <v>0</v>
      </c>
      <c r="AL112" s="36">
        <v>0</v>
      </c>
      <c r="AM112" s="37">
        <v>0</v>
      </c>
      <c r="AN112" s="37">
        <v>0.57305542135413079</v>
      </c>
      <c r="AO112" s="37">
        <v>0</v>
      </c>
      <c r="AP112" s="37">
        <v>9.6015079328368572E-2</v>
      </c>
      <c r="AQ112" s="37">
        <v>0.12706307243804088</v>
      </c>
      <c r="AR112" s="26">
        <f t="shared" si="2"/>
        <v>4.0222672064777329</v>
      </c>
      <c r="AS112">
        <f>MATCH(Исходник!B112,Модель!$B$2:$B$108,0)</f>
        <v>100</v>
      </c>
    </row>
    <row r="113" spans="1:45" ht="15" x14ac:dyDescent="0.25">
      <c r="A113" s="8">
        <v>2004</v>
      </c>
      <c r="B113" s="9" t="s">
        <v>310</v>
      </c>
      <c r="C113" s="10">
        <v>2004</v>
      </c>
      <c r="D113" s="9" t="s">
        <v>45</v>
      </c>
      <c r="E113" s="18" t="s">
        <v>102</v>
      </c>
      <c r="F113" s="30">
        <v>2322.4158000000002</v>
      </c>
      <c r="G113" s="12">
        <v>8415573</v>
      </c>
      <c r="H113" s="38">
        <v>275</v>
      </c>
      <c r="I113" s="19">
        <f>10.25*28.3</f>
        <v>290.07499999999999</v>
      </c>
      <c r="J113" s="18">
        <f>9.2*28.3</f>
        <v>260.36</v>
      </c>
      <c r="K113" s="33">
        <v>0</v>
      </c>
      <c r="L113" s="45">
        <v>0</v>
      </c>
      <c r="M113" s="46" t="s">
        <v>115</v>
      </c>
      <c r="N113" s="46"/>
      <c r="O113" s="45">
        <v>0</v>
      </c>
      <c r="P113" s="39"/>
      <c r="Q113" s="40">
        <v>-4.587740537785101E-3</v>
      </c>
      <c r="R113" s="40">
        <v>-0.17382439148719253</v>
      </c>
      <c r="S113" s="18">
        <v>0</v>
      </c>
      <c r="T113" s="41" t="s">
        <v>285</v>
      </c>
      <c r="U113" s="10">
        <v>1</v>
      </c>
      <c r="V113" s="18">
        <v>13.04</v>
      </c>
      <c r="W113" s="9" t="s">
        <v>127</v>
      </c>
      <c r="X113" s="9">
        <v>1</v>
      </c>
      <c r="Y113" s="10">
        <v>10</v>
      </c>
      <c r="Z113" s="36">
        <v>1842.4</v>
      </c>
      <c r="AA113" s="36">
        <v>1475</v>
      </c>
      <c r="AB113" s="36">
        <v>1147.3</v>
      </c>
      <c r="AC113" s="36">
        <v>49</v>
      </c>
      <c r="AD113" s="36">
        <v>0</v>
      </c>
      <c r="AE113" s="36">
        <v>129</v>
      </c>
      <c r="AF113" s="36">
        <v>-47.599999999999994</v>
      </c>
      <c r="AG113" s="36">
        <v>357.3</v>
      </c>
      <c r="AH113" s="36">
        <v>10501.2</v>
      </c>
      <c r="AI113" s="36">
        <v>484</v>
      </c>
      <c r="AJ113" s="36">
        <v>264.89999999999998</v>
      </c>
      <c r="AK113" s="36">
        <v>769.5</v>
      </c>
      <c r="AL113" s="36">
        <v>0</v>
      </c>
      <c r="AM113" s="37">
        <v>4.608997067001866E-2</v>
      </c>
      <c r="AN113" s="37">
        <v>2.5225688492743682E-2</v>
      </c>
      <c r="AO113" s="37">
        <v>-9.8347107438016515E-2</v>
      </c>
      <c r="AP113" s="37">
        <v>0.12926995900839353</v>
      </c>
      <c r="AQ113" s="37">
        <v>0.85204245738179474</v>
      </c>
      <c r="AR113" s="26">
        <f t="shared" si="2"/>
        <v>23.414285714285715</v>
      </c>
      <c r="AS113">
        <f>MATCH(Исходник!B113,Модель!$B$2:$B$108,0)</f>
        <v>101</v>
      </c>
    </row>
    <row r="114" spans="1:45" ht="30" x14ac:dyDescent="0.25">
      <c r="A114" s="8">
        <v>2004</v>
      </c>
      <c r="B114" s="9" t="s">
        <v>311</v>
      </c>
      <c r="C114" s="10">
        <v>2004</v>
      </c>
      <c r="D114" s="9" t="s">
        <v>45</v>
      </c>
      <c r="E114" s="18" t="s">
        <v>121</v>
      </c>
      <c r="F114" s="30">
        <v>9637.0789999999997</v>
      </c>
      <c r="G114" s="12">
        <v>47871135</v>
      </c>
      <c r="H114" s="38">
        <v>604.11540000000002</v>
      </c>
      <c r="I114" s="38">
        <v>604.11540000000002</v>
      </c>
      <c r="J114" s="38">
        <v>546.5806</v>
      </c>
      <c r="K114" s="33">
        <v>1</v>
      </c>
      <c r="L114" s="45">
        <v>-2.3809523809523836E-2</v>
      </c>
      <c r="M114" s="46" t="s">
        <v>115</v>
      </c>
      <c r="N114" s="46"/>
      <c r="O114" s="45">
        <v>-2.3809523809523836E-2</v>
      </c>
      <c r="P114" s="39"/>
      <c r="Q114" s="40">
        <v>-2.0946591674630644E-2</v>
      </c>
      <c r="R114" s="40">
        <v>-9.9672562628272399E-2</v>
      </c>
      <c r="S114" s="18">
        <v>0</v>
      </c>
      <c r="T114" s="41" t="s">
        <v>312</v>
      </c>
      <c r="U114" s="10">
        <v>4</v>
      </c>
      <c r="V114" s="18">
        <v>12.5</v>
      </c>
      <c r="W114" s="9" t="s">
        <v>313</v>
      </c>
      <c r="X114" s="9">
        <v>2</v>
      </c>
      <c r="Y114" s="10">
        <v>1</v>
      </c>
      <c r="Z114" s="36">
        <v>56267.809820972405</v>
      </c>
      <c r="AA114" s="36">
        <v>42501.479968838801</v>
      </c>
      <c r="AB114" s="36">
        <v>21842.6916159676</v>
      </c>
      <c r="AC114" s="36">
        <v>26381.023241678002</v>
      </c>
      <c r="AD114" s="36">
        <v>0</v>
      </c>
      <c r="AE114" s="36">
        <v>4615.9314406184003</v>
      </c>
      <c r="AF114" s="36">
        <v>4312.4640221600002</v>
      </c>
      <c r="AG114" s="36">
        <v>13766.329852133602</v>
      </c>
      <c r="AH114" s="36">
        <v>62880.019503996809</v>
      </c>
      <c r="AI114" s="36">
        <v>10473.9506695824</v>
      </c>
      <c r="AJ114" s="36">
        <v>4401.6578015088007</v>
      </c>
      <c r="AK114" s="36">
        <v>3779.3256890648004</v>
      </c>
      <c r="AL114" s="36">
        <v>0</v>
      </c>
      <c r="AM114" s="37">
        <v>0.1665704106360312</v>
      </c>
      <c r="AN114" s="37">
        <v>7.0000897522447814E-2</v>
      </c>
      <c r="AO114" s="37">
        <v>0.41173232128005999</v>
      </c>
      <c r="AP114" s="37">
        <v>8.9083198758988152E-2</v>
      </c>
      <c r="AQ114" s="37">
        <v>0.39486185420642012</v>
      </c>
      <c r="AR114" s="26">
        <f t="shared" si="2"/>
        <v>0.82796984089151904</v>
      </c>
      <c r="AS114">
        <f>MATCH(Исходник!B114,Модель!$B$2:$B$108,0)</f>
        <v>102</v>
      </c>
    </row>
    <row r="115" spans="1:45" ht="15" x14ac:dyDescent="0.25">
      <c r="A115" s="8">
        <v>2004</v>
      </c>
      <c r="B115" s="9" t="s">
        <v>314</v>
      </c>
      <c r="C115" s="10">
        <v>2004</v>
      </c>
      <c r="D115" s="9" t="s">
        <v>45</v>
      </c>
      <c r="E115" s="18" t="s">
        <v>315</v>
      </c>
      <c r="F115" s="30">
        <v>1506.96</v>
      </c>
      <c r="G115" s="12">
        <v>2719000</v>
      </c>
      <c r="H115" s="38">
        <v>550.62</v>
      </c>
      <c r="I115" s="38">
        <v>584</v>
      </c>
      <c r="J115" s="38">
        <v>531</v>
      </c>
      <c r="K115" s="33">
        <v>0.37018867924528309</v>
      </c>
      <c r="L115" s="45">
        <v>7.3684210526315796E-2</v>
      </c>
      <c r="M115" s="46" t="s">
        <v>115</v>
      </c>
      <c r="N115" s="46"/>
      <c r="O115" s="45">
        <v>7.3684210526315796E-2</v>
      </c>
      <c r="P115" s="39"/>
      <c r="Q115" s="40">
        <v>-4.2691906739695806E-3</v>
      </c>
      <c r="R115" s="40">
        <v>-3.7032747009084432E-2</v>
      </c>
      <c r="S115" s="18">
        <v>0</v>
      </c>
      <c r="T115" s="41" t="s">
        <v>215</v>
      </c>
      <c r="U115" s="10">
        <v>1</v>
      </c>
      <c r="V115" s="18">
        <v>26.27</v>
      </c>
      <c r="W115" s="9" t="s">
        <v>127</v>
      </c>
      <c r="X115" s="9">
        <v>1</v>
      </c>
      <c r="Y115" s="10">
        <v>5</v>
      </c>
      <c r="Z115" s="36">
        <v>4817.2922251524005</v>
      </c>
      <c r="AA115" s="36">
        <v>3741.4459375188003</v>
      </c>
      <c r="AB115" s="36">
        <v>2769.6079393528003</v>
      </c>
      <c r="AC115" s="36">
        <v>1517.7971702460002</v>
      </c>
      <c r="AD115" s="36">
        <v>12.943526439200001</v>
      </c>
      <c r="AE115" s="36">
        <v>644.84526032640008</v>
      </c>
      <c r="AF115" s="36">
        <v>408.15048892520002</v>
      </c>
      <c r="AG115" s="36">
        <v>2060.842515284</v>
      </c>
      <c r="AH115" s="36">
        <v>4817.2922251524005</v>
      </c>
      <c r="AI115" s="36">
        <v>703.12180116640002</v>
      </c>
      <c r="AJ115" s="36">
        <v>330.94940824399998</v>
      </c>
      <c r="AK115" s="36">
        <v>214.70304520000002</v>
      </c>
      <c r="AL115" s="36">
        <v>2.6868883667920973E-3</v>
      </c>
      <c r="AM115" s="37">
        <v>0.14595788843682947</v>
      </c>
      <c r="AN115" s="37">
        <v>6.870029734048988E-2</v>
      </c>
      <c r="AO115" s="37">
        <v>0.58048333624149362</v>
      </c>
      <c r="AP115" s="37">
        <v>7.9443673404776177E-2</v>
      </c>
      <c r="AQ115" s="37">
        <v>0.16</v>
      </c>
      <c r="AR115" s="26">
        <f t="shared" si="2"/>
        <v>1.8247549762554309</v>
      </c>
      <c r="AS115">
        <f>MATCH(Исходник!B115,Модель!$B$2:$B$108,0)</f>
        <v>103</v>
      </c>
    </row>
    <row r="116" spans="1:45" ht="15" x14ac:dyDescent="0.25">
      <c r="A116" s="8">
        <v>2004</v>
      </c>
      <c r="B116" s="9" t="s">
        <v>316</v>
      </c>
      <c r="C116" s="10">
        <v>2004</v>
      </c>
      <c r="D116" s="9" t="s">
        <v>45</v>
      </c>
      <c r="E116" s="18" t="s">
        <v>317</v>
      </c>
      <c r="F116" s="30">
        <v>3619.2333000000003</v>
      </c>
      <c r="G116" s="12">
        <v>204754653</v>
      </c>
      <c r="H116" s="38">
        <v>17.668697999999999</v>
      </c>
      <c r="I116" s="38">
        <v>19.378572000000002</v>
      </c>
      <c r="J116" s="38">
        <v>15.388866000000002</v>
      </c>
      <c r="K116" s="33">
        <v>0.57142857142857073</v>
      </c>
      <c r="L116" s="45">
        <v>6.4516129032258229E-2</v>
      </c>
      <c r="M116" s="46" t="s">
        <v>115</v>
      </c>
      <c r="N116" s="46"/>
      <c r="O116" s="45">
        <v>6.4516129032258229E-2</v>
      </c>
      <c r="P116" s="39">
        <v>2593.5113643</v>
      </c>
      <c r="Q116" s="40">
        <v>2.7022216468988169E-3</v>
      </c>
      <c r="R116" s="40">
        <v>-2.9400818756977976E-2</v>
      </c>
      <c r="S116" s="18">
        <v>2</v>
      </c>
      <c r="T116" s="41" t="s">
        <v>318</v>
      </c>
      <c r="U116" s="10">
        <v>2</v>
      </c>
      <c r="V116" s="18">
        <v>23.3</v>
      </c>
      <c r="W116" s="9" t="s">
        <v>127</v>
      </c>
      <c r="X116" s="9">
        <v>1</v>
      </c>
      <c r="Y116" s="10">
        <v>0</v>
      </c>
      <c r="Z116" s="36">
        <v>19886.430780037594</v>
      </c>
      <c r="AA116" s="36">
        <v>18982.895543372393</v>
      </c>
      <c r="AB116" s="36">
        <v>13813.667936043194</v>
      </c>
      <c r="AC116" s="36">
        <v>15709.050346704793</v>
      </c>
      <c r="AD116" s="36">
        <v>93.549186455599965</v>
      </c>
      <c r="AE116" s="36">
        <v>3273.8451966675984</v>
      </c>
      <c r="AF116" s="36">
        <v>2577.1028984831987</v>
      </c>
      <c r="AG116" s="36">
        <v>875.62414851719961</v>
      </c>
      <c r="AH116" s="36">
        <v>16573.572781509192</v>
      </c>
      <c r="AI116" s="36">
        <v>3222.5076109391985</v>
      </c>
      <c r="AJ116" s="36">
        <v>-244.86491714559989</v>
      </c>
      <c r="AK116" s="36">
        <v>1090.4454449371995</v>
      </c>
      <c r="AL116" s="36">
        <v>4.7041717787541116E-3</v>
      </c>
      <c r="AM116" s="37">
        <v>0.19443650765117385</v>
      </c>
      <c r="AN116" s="37">
        <v>0</v>
      </c>
      <c r="AO116" s="37">
        <v>0.79971972439565575</v>
      </c>
      <c r="AP116" s="37">
        <v>0</v>
      </c>
      <c r="AQ116" s="37">
        <v>0</v>
      </c>
      <c r="AR116" s="26">
        <f t="shared" si="2"/>
        <v>0.87934455814770596</v>
      </c>
      <c r="AS116">
        <f>MATCH(Исходник!B116,Модель!$B$2:$B$108,0)</f>
        <v>104</v>
      </c>
    </row>
    <row r="117" spans="1:45" ht="15" x14ac:dyDescent="0.25">
      <c r="A117" s="8">
        <v>2003</v>
      </c>
      <c r="B117" s="9" t="s">
        <v>319</v>
      </c>
      <c r="C117" s="10">
        <v>2003</v>
      </c>
      <c r="D117" s="9" t="s">
        <v>45</v>
      </c>
      <c r="E117" s="18" t="s">
        <v>102</v>
      </c>
      <c r="F117" s="30">
        <v>445.2</v>
      </c>
      <c r="G117" s="12">
        <v>1600000</v>
      </c>
      <c r="H117" s="38">
        <v>256.42439999999999</v>
      </c>
      <c r="I117" s="38">
        <v>455.86559999999997</v>
      </c>
      <c r="J117" s="38">
        <v>313.4076</v>
      </c>
      <c r="K117" s="33">
        <v>-0.18181818181818185</v>
      </c>
      <c r="L117" s="45">
        <v>0</v>
      </c>
      <c r="M117" s="46" t="s">
        <v>115</v>
      </c>
      <c r="N117" s="46"/>
      <c r="O117" s="45">
        <v>0</v>
      </c>
      <c r="P117" s="39">
        <v>43008.8253903</v>
      </c>
      <c r="Q117" s="40">
        <v>1.2401536358309873E-2</v>
      </c>
      <c r="R117" s="40">
        <v>0.1465399388060673</v>
      </c>
      <c r="S117" s="18">
        <v>1</v>
      </c>
      <c r="T117" s="41" t="s">
        <v>320</v>
      </c>
      <c r="U117" s="10">
        <v>2</v>
      </c>
      <c r="V117" s="18">
        <v>20</v>
      </c>
      <c r="W117" s="9" t="s">
        <v>127</v>
      </c>
      <c r="X117" s="9">
        <v>1</v>
      </c>
      <c r="Y117" s="10">
        <v>1</v>
      </c>
      <c r="Z117" s="36">
        <v>2375.773952409636</v>
      </c>
      <c r="AA117" s="36">
        <v>1753.1730246987936</v>
      </c>
      <c r="AB117" s="36">
        <v>1078.9026385542156</v>
      </c>
      <c r="AC117" s="36">
        <v>1089.3182210843363</v>
      </c>
      <c r="AD117" s="36">
        <v>318.44841265060205</v>
      </c>
      <c r="AE117" s="36">
        <v>967.21958554216781</v>
      </c>
      <c r="AF117" s="36">
        <v>913.77043373493893</v>
      </c>
      <c r="AG117" s="36">
        <v>552.1133999999995</v>
      </c>
      <c r="AH117" s="36">
        <v>1557.2900524096372</v>
      </c>
      <c r="AI117" s="36">
        <v>837.7979493975896</v>
      </c>
      <c r="AJ117" s="36">
        <v>564.45455240963804</v>
      </c>
      <c r="AK117" s="36">
        <v>326.0339909638551</v>
      </c>
      <c r="AL117" s="36">
        <v>0.13403986196902898</v>
      </c>
      <c r="AM117" s="37">
        <v>0.53798452517001705</v>
      </c>
      <c r="AN117" s="37">
        <v>0.36245948629559549</v>
      </c>
      <c r="AO117" s="37">
        <v>1.0906811533639782</v>
      </c>
      <c r="AP117" s="37">
        <v>0.28493792250254057</v>
      </c>
      <c r="AQ117" s="37">
        <v>2.0965539661898571</v>
      </c>
      <c r="AR117" s="26">
        <f t="shared" si="2"/>
        <v>0.99043843908187568</v>
      </c>
      <c r="AS117">
        <f>MATCH(Исходник!B117,Модель!$B$2:$B$108,0)</f>
        <v>105</v>
      </c>
    </row>
    <row r="118" spans="1:45" ht="15" x14ac:dyDescent="0.25">
      <c r="A118" s="8">
        <v>2002</v>
      </c>
      <c r="B118" s="9" t="s">
        <v>321</v>
      </c>
      <c r="C118" s="10">
        <v>2002</v>
      </c>
      <c r="D118" s="9" t="s">
        <v>45</v>
      </c>
      <c r="E118" s="84" t="s">
        <v>150</v>
      </c>
      <c r="F118" s="30">
        <v>404.94740000000002</v>
      </c>
      <c r="G118" s="12">
        <v>16000000</v>
      </c>
      <c r="H118" s="38">
        <v>25.854333999999998</v>
      </c>
      <c r="I118" s="18">
        <f>0.85*31.1</f>
        <v>26.435000000000002</v>
      </c>
      <c r="J118" s="18">
        <f>0.75*31.1</f>
        <v>23.325000000000003</v>
      </c>
      <c r="K118" s="33">
        <v>0</v>
      </c>
      <c r="L118" s="45">
        <v>0</v>
      </c>
      <c r="M118" s="46" t="s">
        <v>115</v>
      </c>
      <c r="N118" s="46"/>
      <c r="O118" s="45">
        <v>0</v>
      </c>
      <c r="P118" s="39">
        <v>7254.3783400000011</v>
      </c>
      <c r="Q118" s="40">
        <v>9.6618357487923134E-3</v>
      </c>
      <c r="R118" s="40">
        <v>7.4125357703313854E-2</v>
      </c>
      <c r="S118" s="18">
        <v>0</v>
      </c>
      <c r="T118" s="41" t="s">
        <v>322</v>
      </c>
      <c r="U118" s="10">
        <v>2</v>
      </c>
      <c r="V118" s="18">
        <v>16</v>
      </c>
      <c r="W118" s="9" t="s">
        <v>127</v>
      </c>
      <c r="X118" s="9">
        <v>1</v>
      </c>
      <c r="Y118" s="10">
        <v>9</v>
      </c>
      <c r="Z118" s="36">
        <v>476.49799999999999</v>
      </c>
      <c r="AA118" s="36">
        <v>215.87700000000001</v>
      </c>
      <c r="AB118" s="36">
        <v>356.01900000000001</v>
      </c>
      <c r="AC118" s="36">
        <v>66.983000000000004</v>
      </c>
      <c r="AD118" s="36">
        <v>56.862000000000002</v>
      </c>
      <c r="AE118" s="36">
        <v>135.63</v>
      </c>
      <c r="AF118" s="36">
        <v>-108.71200000000002</v>
      </c>
      <c r="AG118" s="36">
        <v>260.62099999999998</v>
      </c>
      <c r="AH118" s="36">
        <v>510.99400000000003</v>
      </c>
      <c r="AI118" s="36">
        <v>0</v>
      </c>
      <c r="AJ118" s="36">
        <v>189.95400000000001</v>
      </c>
      <c r="AK118" s="36">
        <v>103.804</v>
      </c>
      <c r="AL118" s="36">
        <v>0.11933313466163552</v>
      </c>
      <c r="AM118" s="62">
        <v>0</v>
      </c>
      <c r="AN118" s="37">
        <v>0.37173430607795788</v>
      </c>
      <c r="AO118" s="37">
        <v>0</v>
      </c>
      <c r="AP118" s="37">
        <v>0.62688192624763217</v>
      </c>
      <c r="AQ118" s="37">
        <v>1.1467605225664679</v>
      </c>
      <c r="AR118" s="26">
        <f t="shared" si="2"/>
        <v>5.3150650164967228</v>
      </c>
      <c r="AS118">
        <f>MATCH(Исходник!B118,Модель!$B$2:$B$108,0)</f>
        <v>106</v>
      </c>
    </row>
    <row r="119" spans="1:45" ht="15" x14ac:dyDescent="0.25">
      <c r="A119" s="8">
        <v>2002</v>
      </c>
      <c r="B119" s="9" t="s">
        <v>323</v>
      </c>
      <c r="C119" s="10">
        <v>2002</v>
      </c>
      <c r="D119" s="9" t="s">
        <v>45</v>
      </c>
      <c r="E119" s="18" t="s">
        <v>171</v>
      </c>
      <c r="F119" s="30">
        <v>7314.1683999999996</v>
      </c>
      <c r="G119" s="12">
        <v>12213001</v>
      </c>
      <c r="H119" s="38">
        <v>599.27009999999996</v>
      </c>
      <c r="I119" s="38">
        <v>660.7337</v>
      </c>
      <c r="J119" s="38">
        <v>568.53830000000005</v>
      </c>
      <c r="K119" s="33">
        <v>0.33333333333333254</v>
      </c>
      <c r="L119" s="45">
        <v>0.15897435897435908</v>
      </c>
      <c r="M119" s="46" t="s">
        <v>115</v>
      </c>
      <c r="N119" s="46"/>
      <c r="O119" s="45">
        <v>0.15897435897435908</v>
      </c>
      <c r="P119" s="39"/>
      <c r="Q119" s="40">
        <v>1.8635210942903324E-2</v>
      </c>
      <c r="R119" s="40">
        <v>7.3234457849842505E-2</v>
      </c>
      <c r="S119" s="18">
        <v>0</v>
      </c>
      <c r="T119" s="41" t="s">
        <v>324</v>
      </c>
      <c r="U119" s="10">
        <v>3</v>
      </c>
      <c r="V119" s="18">
        <v>27.76</v>
      </c>
      <c r="W119" s="9" t="s">
        <v>96</v>
      </c>
      <c r="X119" s="9">
        <v>1</v>
      </c>
      <c r="Y119" s="10">
        <v>10</v>
      </c>
      <c r="Z119" s="36">
        <v>8836.1045442629511</v>
      </c>
      <c r="AA119" s="36">
        <v>6263.0856732270931</v>
      </c>
      <c r="AB119" s="36">
        <v>4802.7829096812766</v>
      </c>
      <c r="AC119" s="36">
        <v>5312.1941212350621</v>
      </c>
      <c r="AD119" s="36">
        <v>26.244100517928295</v>
      </c>
      <c r="AE119" s="36">
        <v>1928.7866800796817</v>
      </c>
      <c r="AF119" s="36">
        <v>1774.0505633067733</v>
      </c>
      <c r="AG119" s="36">
        <v>1510.6813101992038</v>
      </c>
      <c r="AH119" s="36">
        <v>13091.418077330682</v>
      </c>
      <c r="AI119" s="36">
        <v>1318.393345418327</v>
      </c>
      <c r="AJ119" s="36">
        <v>601.47652880478108</v>
      </c>
      <c r="AK119" s="36">
        <v>715.11657820717153</v>
      </c>
      <c r="AL119" s="36">
        <v>2.9700984621065735E-3</v>
      </c>
      <c r="AM119" s="37">
        <v>0.10070668720765087</v>
      </c>
      <c r="AN119" s="37">
        <v>4.5944337370625102E-2</v>
      </c>
      <c r="AO119" s="37">
        <v>1.3456155323234478</v>
      </c>
      <c r="AP119" s="37">
        <v>8.1798863469001698E-2</v>
      </c>
      <c r="AQ119" s="37">
        <v>0.22894371965288518</v>
      </c>
      <c r="AR119" s="26">
        <f t="shared" si="2"/>
        <v>0.90410530942055456</v>
      </c>
      <c r="AS119">
        <f>MATCH(Исходник!B119,Модель!$B$2:$B$108,0)</f>
        <v>107</v>
      </c>
    </row>
    <row r="121" spans="1:45" x14ac:dyDescent="0.25">
      <c r="A121" s="225" t="s">
        <v>461</v>
      </c>
      <c r="B121" s="225"/>
      <c r="C121" s="164"/>
      <c r="D121" s="161" t="s">
        <v>462</v>
      </c>
    </row>
    <row r="122" spans="1:45" x14ac:dyDescent="0.25">
      <c r="A122" s="8">
        <v>2013</v>
      </c>
      <c r="B122" s="163" t="s">
        <v>379</v>
      </c>
      <c r="O122" s="45"/>
    </row>
    <row r="123" spans="1:45" x14ac:dyDescent="0.25">
      <c r="A123" s="8">
        <v>2013</v>
      </c>
      <c r="B123" s="9" t="s">
        <v>381</v>
      </c>
    </row>
    <row r="124" spans="1:45" x14ac:dyDescent="0.25">
      <c r="A124" s="8">
        <v>2011</v>
      </c>
      <c r="B124" s="9" t="s">
        <v>385</v>
      </c>
      <c r="C124" s="8"/>
    </row>
    <row r="125" spans="1:45" x14ac:dyDescent="0.25">
      <c r="A125" s="8">
        <v>2007</v>
      </c>
      <c r="B125" s="9" t="s">
        <v>406</v>
      </c>
      <c r="C125" s="8"/>
    </row>
    <row r="126" spans="1:45" x14ac:dyDescent="0.25">
      <c r="A126" s="8">
        <v>2005</v>
      </c>
      <c r="B126" s="9" t="s">
        <v>441</v>
      </c>
      <c r="C126" s="8"/>
    </row>
    <row r="127" spans="1:45" x14ac:dyDescent="0.25">
      <c r="A127" s="8">
        <v>2005</v>
      </c>
      <c r="B127" s="9" t="s">
        <v>443</v>
      </c>
      <c r="C127" s="8"/>
    </row>
    <row r="128" spans="1:45" x14ac:dyDescent="0.25">
      <c r="A128" s="8">
        <v>2005</v>
      </c>
      <c r="B128" s="9" t="s">
        <v>447</v>
      </c>
      <c r="C128" s="8"/>
    </row>
    <row r="129" spans="1:3" x14ac:dyDescent="0.25">
      <c r="A129" s="8">
        <v>2002</v>
      </c>
      <c r="B129" s="9" t="s">
        <v>455</v>
      </c>
      <c r="C129" s="8"/>
    </row>
    <row r="130" spans="1:3" x14ac:dyDescent="0.25">
      <c r="A130" s="8">
        <v>2000</v>
      </c>
      <c r="B130" s="9" t="s">
        <v>458</v>
      </c>
      <c r="C130" s="8"/>
    </row>
    <row r="131" spans="1:3" x14ac:dyDescent="0.25">
      <c r="A131" s="8"/>
      <c r="B131" s="9"/>
      <c r="C131" s="8"/>
    </row>
  </sheetData>
  <autoFilter ref="A1:AR152" xr:uid="{92FB002C-E693-D74C-AC2E-7B5C20DE9DBB}"/>
  <mergeCells count="1">
    <mergeCell ref="A121:B12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C499-0975-4C3E-956C-78E3E665FF4E}">
  <dimension ref="A1:AC151"/>
  <sheetViews>
    <sheetView tabSelected="1" zoomScale="70" zoomScaleNormal="70" workbookViewId="0">
      <selection activeCell="T18" sqref="T18"/>
    </sheetView>
  </sheetViews>
  <sheetFormatPr defaultRowHeight="15" x14ac:dyDescent="0.25"/>
  <cols>
    <col min="1" max="1" width="18.28515625" bestFit="1" customWidth="1"/>
    <col min="3" max="3" width="41.85546875" bestFit="1" customWidth="1"/>
    <col min="4" max="4" width="10.5703125" bestFit="1" customWidth="1"/>
    <col min="5" max="5" width="13.140625" bestFit="1" customWidth="1"/>
    <col min="6" max="6" width="8.85546875" bestFit="1" customWidth="1"/>
    <col min="7" max="7" width="14.140625" bestFit="1" customWidth="1"/>
    <col min="8" max="8" width="12.28515625" bestFit="1" customWidth="1"/>
    <col min="9" max="9" width="18.7109375" customWidth="1"/>
    <col min="10" max="10" width="12.42578125" bestFit="1" customWidth="1"/>
    <col min="11" max="11" width="14.42578125" bestFit="1" customWidth="1"/>
    <col min="12" max="12" width="13.42578125" bestFit="1" customWidth="1"/>
    <col min="13" max="13" width="12.5703125" bestFit="1" customWidth="1"/>
    <col min="14" max="14" width="12" bestFit="1" customWidth="1"/>
    <col min="15" max="15" width="10.42578125" bestFit="1" customWidth="1"/>
    <col min="16" max="16" width="11.5703125" customWidth="1"/>
    <col min="17" max="17" width="14.28515625" style="230" bestFit="1" customWidth="1"/>
    <col min="18" max="18" width="14.28515625" style="217" bestFit="1" customWidth="1"/>
    <col min="19" max="19" width="20.7109375" style="158" bestFit="1" customWidth="1"/>
    <col min="20" max="20" width="23.28515625" style="98" customWidth="1"/>
    <col min="21" max="21" width="17.85546875" style="98" bestFit="1" customWidth="1"/>
    <col min="22" max="22" width="9.140625" style="98"/>
    <col min="23" max="23" width="23.5703125" bestFit="1" customWidth="1"/>
    <col min="24" max="24" width="24.28515625" style="169" bestFit="1" customWidth="1"/>
    <col min="25" max="25" width="26" style="98" bestFit="1" customWidth="1"/>
    <col min="26" max="26" width="92.42578125" style="158" bestFit="1" customWidth="1"/>
    <col min="27" max="27" width="19.140625" style="158" bestFit="1" customWidth="1"/>
    <col min="28" max="28" width="12.28515625" bestFit="1" customWidth="1"/>
    <col min="29" max="29" width="13.7109375" bestFit="1" customWidth="1"/>
  </cols>
  <sheetData>
    <row r="1" spans="1:29" ht="38.25" x14ac:dyDescent="0.25">
      <c r="A1" s="186" t="s">
        <v>325</v>
      </c>
      <c r="B1" s="187" t="s">
        <v>1</v>
      </c>
      <c r="C1" s="187" t="s">
        <v>326</v>
      </c>
      <c r="D1" s="188" t="s">
        <v>327</v>
      </c>
      <c r="E1" s="189" t="s">
        <v>328</v>
      </c>
      <c r="F1" s="188" t="s">
        <v>329</v>
      </c>
      <c r="G1" s="190" t="s">
        <v>330</v>
      </c>
      <c r="H1" s="191" t="s">
        <v>331</v>
      </c>
      <c r="I1" s="191" t="s">
        <v>332</v>
      </c>
      <c r="J1" s="188" t="s">
        <v>333</v>
      </c>
      <c r="K1" s="188" t="s">
        <v>334</v>
      </c>
      <c r="L1" s="188" t="s">
        <v>335</v>
      </c>
      <c r="M1" s="192" t="s">
        <v>336</v>
      </c>
      <c r="N1" s="188" t="s">
        <v>337</v>
      </c>
      <c r="O1" s="188" t="s">
        <v>338</v>
      </c>
      <c r="P1" s="188" t="s">
        <v>339</v>
      </c>
      <c r="Q1" s="226" t="s">
        <v>340</v>
      </c>
      <c r="R1" s="215" t="s">
        <v>341</v>
      </c>
      <c r="S1" s="193" t="s">
        <v>25</v>
      </c>
      <c r="T1" s="194" t="s">
        <v>459</v>
      </c>
      <c r="U1" s="194" t="s">
        <v>342</v>
      </c>
      <c r="V1" s="194" t="s">
        <v>0</v>
      </c>
      <c r="W1" s="194" t="s">
        <v>343</v>
      </c>
      <c r="X1" s="195" t="s">
        <v>41</v>
      </c>
      <c r="Y1" s="194" t="s">
        <v>5</v>
      </c>
      <c r="Z1" s="194" t="s">
        <v>22</v>
      </c>
      <c r="AA1" s="193" t="s">
        <v>460</v>
      </c>
      <c r="AB1" s="196" t="s">
        <v>43</v>
      </c>
      <c r="AC1" s="197" t="s">
        <v>38</v>
      </c>
    </row>
    <row r="2" spans="1:29" x14ac:dyDescent="0.25">
      <c r="A2" s="88">
        <v>45566</v>
      </c>
      <c r="B2" s="89" t="s">
        <v>52</v>
      </c>
      <c r="C2" s="89" t="s">
        <v>344</v>
      </c>
      <c r="D2" s="89">
        <v>9</v>
      </c>
      <c r="E2" s="90">
        <f>2/D2</f>
        <v>0.22222222222222221</v>
      </c>
      <c r="F2" s="89">
        <v>1</v>
      </c>
      <c r="G2" s="91"/>
      <c r="H2" s="92"/>
      <c r="I2" s="95"/>
      <c r="J2" s="93"/>
      <c r="K2" s="93"/>
      <c r="L2" s="93"/>
      <c r="M2" s="94"/>
      <c r="N2" s="93"/>
      <c r="O2" s="95"/>
      <c r="P2" s="198"/>
      <c r="Q2" s="227">
        <f>INDEX(Исходник!$O:$O,MATCH(Модель!B2,Исходник!$B:$B,0))</f>
        <v>0.12568421052631584</v>
      </c>
      <c r="R2" s="216">
        <f>(-INDEX([1]Databook_Dealogic!$P:$P,MATCH(Модель!B2,[1]Databook_Dealogic!$D:$D,0))+INDEX([1]Databook_Dealogic!$AF:$AF,MATCH(Модель!B2,[1]Databook_Dealogic!$D:$D,0)))/INDEX([1]Databook_Dealogic!$P:$P,MATCH(Модель!B2,[1]Databook_Dealogic!$D:$D,0))</f>
        <v>0.20947368421052637</v>
      </c>
      <c r="S2" s="210">
        <f>INDEX(Исходник!Z:Z,MATCH(Модель!B2,Исходник!$B:$B,0))</f>
        <v>3356.172</v>
      </c>
      <c r="T2" s="171">
        <f>(INDEX(Исходник!AA:AA,MATCH(Модель!B2,Исходник!B:B,0)))/Модель!S2</f>
        <v>0.46102851701283482</v>
      </c>
      <c r="U2" s="171">
        <f>INDEX(Исходник!Y:Y,MATCH(Модель!B2,Исходник!B:B,0))</f>
        <v>8</v>
      </c>
      <c r="V2" s="175">
        <f>YEAR(A2)</f>
        <v>2024</v>
      </c>
      <c r="W2" s="171" t="str">
        <f>INDEX(Исходник!E:E,MATCH(Модель!B2,Исходник!B:B,0))</f>
        <v>TMT</v>
      </c>
      <c r="X2" s="172">
        <f>INDEX(Исходник!AP:AP,MATCH(Модель!B2,Исходник!B:B,0))</f>
        <v>0.45707029101009805</v>
      </c>
      <c r="Y2" s="171">
        <f>INDEX(Исходник!F:F,MATCH(Модель!B2,Исходник!B:B,0))</f>
        <v>2700</v>
      </c>
      <c r="Z2" s="171" t="str">
        <f>INDEX(Исходник!W:W,MATCH(Модель!B2,Исходник!B:B,0))</f>
        <v>Moscow Exchange</v>
      </c>
      <c r="AA2" s="175">
        <f>INDEX(Исходник!AO:AO,MATCH(Модель!B2,Исходник!B:B,0))</f>
        <v>0.62964592104875194</v>
      </c>
      <c r="AB2" s="211">
        <f>INDEX(Исходник!AR:AR,MATCH(Модель!B2,Исходник!B:B,0))</f>
        <v>2.5172158476856219</v>
      </c>
      <c r="AC2" s="177">
        <f>INDEX(Исходник!AM:AM,MATCH(Модель!B2,Исходник!B:B,0))</f>
        <v>0.42065124892233907</v>
      </c>
    </row>
    <row r="3" spans="1:29" x14ac:dyDescent="0.25">
      <c r="A3" s="100">
        <v>45581</v>
      </c>
      <c r="B3" s="221" t="s">
        <v>49</v>
      </c>
      <c r="C3" s="87" t="s">
        <v>345</v>
      </c>
      <c r="D3" s="101">
        <v>11</v>
      </c>
      <c r="E3" s="90">
        <f>3/11</f>
        <v>0.27272727272727271</v>
      </c>
      <c r="F3" s="89">
        <v>1</v>
      </c>
      <c r="G3" s="102">
        <f>(2024*11-(1970+1973+1975+1961+1970+1984+1969+1983+1977+1974+1973))/11</f>
        <v>50.454545454545453</v>
      </c>
      <c r="H3" s="103">
        <f>(1+1+1+1+1)/11</f>
        <v>0.45454545454545453</v>
      </c>
      <c r="I3" s="160">
        <v>9.0909090909090912E-2</v>
      </c>
      <c r="J3" s="89">
        <v>0</v>
      </c>
      <c r="K3" s="89">
        <f>1</f>
        <v>1</v>
      </c>
      <c r="L3" s="89">
        <v>0</v>
      </c>
      <c r="M3" s="99">
        <f>(1+1+1+1+1+2+2+2+2+2+1)/11</f>
        <v>1.4545454545454546</v>
      </c>
      <c r="N3" s="89">
        <v>3</v>
      </c>
      <c r="O3" s="90">
        <f>(0+0+0+0+1+0+1+1+1+1+0)/11</f>
        <v>0.45454545454545453</v>
      </c>
      <c r="P3" s="199">
        <f>1/D3</f>
        <v>9.0909090909090912E-2</v>
      </c>
      <c r="Q3" s="228">
        <f>INDEX(Исходник!$O:$O,MATCH(Модель!B3,Исходник!$B:$B,0))</f>
        <v>-5.7142857142857162E-2</v>
      </c>
      <c r="R3" s="223">
        <f>(56.7-35)/35</f>
        <v>0.62000000000000011</v>
      </c>
      <c r="S3" s="158">
        <f>INDEX(Исходник!Z:Z,MATCH(Модель!B3,Исходник!$B:$B,0))</f>
        <v>34118.959000000003</v>
      </c>
      <c r="T3" s="89">
        <f>(INDEX(Исходник!AA:AA,MATCH(Модель!B3,Исходник!B:B,0)))/Модель!S3</f>
        <v>0.49829052521795864</v>
      </c>
      <c r="U3" s="89">
        <f>INDEX(Исходник!Y:Y,MATCH(Модель!B3,Исходник!B:B,0))</f>
        <v>23</v>
      </c>
      <c r="V3" s="99">
        <f>YEAR(A3)</f>
        <v>2024</v>
      </c>
      <c r="W3" s="89" t="str">
        <f>INDEX(Исходник!E:E,MATCH(Модель!B3,Исходник!B:B,0))</f>
        <v>Healthcare</v>
      </c>
      <c r="X3" s="90">
        <f>INDEX(Исходник!AP:AP,MATCH(Модель!B3,Исходник!B:B,0))</f>
        <v>0.11735125523188571</v>
      </c>
      <c r="Y3" s="89">
        <f>INDEX(Исходник!F:F,MATCH(Модель!B3,Исходник!B:B,0))</f>
        <v>3450</v>
      </c>
      <c r="Z3" s="89" t="str">
        <f>INDEX(Исходник!W:W,MATCH(Модель!B3,Исходник!B:B,0))</f>
        <v>Moscow Exchange</v>
      </c>
      <c r="AA3" s="99">
        <f>INDEX(Исходник!AO:AO,MATCH(Модель!B3,Исходник!B:B,0))</f>
        <v>1.6948171162265218</v>
      </c>
      <c r="AB3">
        <f>INDEX(Исходник!AR:AR,MATCH(Модель!B3,Исходник!B:B,0))</f>
        <v>2.6369818660515052</v>
      </c>
      <c r="AC3" s="179">
        <f>INDEX(Исходник!AM:AM,MATCH(Модель!B3,Исходник!B:B,0))</f>
        <v>0.35900425877104036</v>
      </c>
    </row>
    <row r="4" spans="1:29" x14ac:dyDescent="0.25">
      <c r="A4" s="105">
        <v>45503</v>
      </c>
      <c r="B4" s="87" t="s">
        <v>55</v>
      </c>
      <c r="C4" s="87" t="s">
        <v>55</v>
      </c>
      <c r="D4" s="101">
        <v>6</v>
      </c>
      <c r="E4" s="90">
        <f>0/D4</f>
        <v>0</v>
      </c>
      <c r="F4" s="89">
        <v>1</v>
      </c>
      <c r="G4" s="102">
        <f>(2024*6-(1968+1951+1974+1979+1956+1972))/6</f>
        <v>57.333333333333336</v>
      </c>
      <c r="H4" s="103">
        <f>(1+1+1+1)/6</f>
        <v>0.66666666666666663</v>
      </c>
      <c r="I4" s="160">
        <v>0</v>
      </c>
      <c r="J4" s="89">
        <v>0</v>
      </c>
      <c r="K4" s="89">
        <v>0</v>
      </c>
      <c r="L4" s="89">
        <v>0</v>
      </c>
      <c r="M4" s="99">
        <f>(1+1+2+1+1+2)/6</f>
        <v>1.3333333333333333</v>
      </c>
      <c r="N4" s="89">
        <v>2</v>
      </c>
      <c r="O4" s="90">
        <f>1/6</f>
        <v>0.16666666666666666</v>
      </c>
      <c r="P4" s="199">
        <v>0</v>
      </c>
      <c r="Q4" s="228">
        <f>INDEX(Исходник!$O:$O,MATCH(Модель!B4,Исходник!$B:$B,0))</f>
        <v>2.9896907216494961E-2</v>
      </c>
      <c r="R4" s="216">
        <f>(-INDEX([1]Databook_Dealogic!$P:$P,MATCH(Модель!B4,[1]Databook_Dealogic!$D:$D,0))+INDEX([1]Databook_Dealogic!$AF:$AF,MATCH(Модель!B4,[1]Databook_Dealogic!$D:$D,0)))/INDEX([1]Databook_Dealogic!$P:$P,MATCH(Модель!B4,[1]Databook_Dealogic!$D:$D,0))</f>
        <v>1.4329896907216611E-2</v>
      </c>
      <c r="S4" s="158">
        <f>INDEX(Исходник!Z:Z,MATCH(Модель!B4,Исходник!$B:$B,0))</f>
        <v>33637.4</v>
      </c>
      <c r="T4" s="89">
        <f>(INDEX(Исходник!AA:AA,MATCH(Модель!B4,Исходник!B:B,0)))/Модель!S4</f>
        <v>0.85051552735942726</v>
      </c>
      <c r="U4" s="89">
        <f>INDEX(Исходник!Y:Y,MATCH(Модель!B4,Исходник!B:B,0))</f>
        <v>5</v>
      </c>
      <c r="V4" s="99">
        <f>YEAR(A4)</f>
        <v>2024</v>
      </c>
      <c r="W4" s="89" t="str">
        <f>INDEX(Исходник!E:E,MATCH(Модель!B4,Исходник!B:B,0))</f>
        <v>Real Estate/Property</v>
      </c>
      <c r="X4" s="90">
        <f>INDEX(Исходник!AP:AP,MATCH(Модель!B4,Исходник!B:B,0))</f>
        <v>8.0512585985953539E-2</v>
      </c>
      <c r="Y4" s="89">
        <f>INDEX(Исходник!F:F,MATCH(Модель!B4,Исходник!B:B,0))</f>
        <v>880</v>
      </c>
      <c r="Z4" s="89" t="str">
        <f>INDEX(Исходник!W:W,MATCH(Модель!B4,Исходник!B:B,0))</f>
        <v>Moscow Exchange</v>
      </c>
      <c r="AA4" s="99">
        <f>INDEX(Исходник!AO:AO,MATCH(Модель!B4,Исходник!B:B,0))</f>
        <v>2.7867493770863323</v>
      </c>
      <c r="AB4">
        <f>INDEX(Исходник!AR:AR,MATCH(Модель!B4,Исходник!B:B,0))</f>
        <v>1.4832513850491678</v>
      </c>
      <c r="AC4" s="179">
        <f>INDEX(Исходник!AM:AM,MATCH(Модель!B4,Исходник!B:B,0))</f>
        <v>0.53587886529663276</v>
      </c>
    </row>
    <row r="5" spans="1:29" x14ac:dyDescent="0.25">
      <c r="A5" s="105">
        <v>45485</v>
      </c>
      <c r="B5" s="87" t="s">
        <v>58</v>
      </c>
      <c r="C5" s="87" t="s">
        <v>346</v>
      </c>
      <c r="D5" s="101">
        <v>9</v>
      </c>
      <c r="E5" s="90">
        <f>4/D5</f>
        <v>0.44444444444444442</v>
      </c>
      <c r="F5" s="89">
        <v>1</v>
      </c>
      <c r="G5" s="102">
        <f>(2024*D5-(1972+1967+1987+1959+1961+1968+1963+1986+1972))/D5</f>
        <v>53.444444444444443</v>
      </c>
      <c r="H5" s="103">
        <f>(1+1)/D5</f>
        <v>0.22222222222222221</v>
      </c>
      <c r="I5" s="160">
        <v>0.1111111111111111</v>
      </c>
      <c r="J5" s="89">
        <v>0</v>
      </c>
      <c r="K5" s="89">
        <f>1+1+1+1</f>
        <v>4</v>
      </c>
      <c r="L5" s="89">
        <f>2</f>
        <v>2</v>
      </c>
      <c r="M5" s="99">
        <f>(2+2+1+1+2+1+2+1+1)/D5</f>
        <v>1.4444444444444444</v>
      </c>
      <c r="N5" s="89">
        <v>3</v>
      </c>
      <c r="O5" s="90">
        <f>(1+1+1+1+1+1)/D5</f>
        <v>0.66666666666666663</v>
      </c>
      <c r="P5" s="199">
        <f>1/D5</f>
        <v>0.1111111111111111</v>
      </c>
      <c r="Q5" s="228">
        <f>INDEX(Исходник!$O:$O,MATCH(Модель!B5,Исходник!$B:$B,0))</f>
        <v>1.7500000000000071E-2</v>
      </c>
      <c r="R5" s="216">
        <f>(-INDEX([1]Databook_Dealogic!$P:$P,MATCH(Модель!B5,[1]Databook_Dealogic!$D:$D,0))+INDEX([1]Databook_Dealogic!$AF:$AF,MATCH(Модель!B5,[1]Databook_Dealogic!$D:$D,0)))/INDEX([1]Databook_Dealogic!$P:$P,MATCH(Модель!B5,[1]Databook_Dealogic!$D:$D,0))</f>
        <v>5.2500000000000567E-3</v>
      </c>
      <c r="S5" s="158">
        <f>INDEX(Исходник!Z:Z,MATCH(Модель!B5,Исходник!$B:$B,0))</f>
        <v>34821.733999999997</v>
      </c>
      <c r="T5" s="89">
        <f>(INDEX(Исходник!AA:AA,MATCH(Модель!B5,Исходник!B:B,0)))/Модель!S5</f>
        <v>0.62653804086838416</v>
      </c>
      <c r="U5" s="89">
        <f>INDEX(Исходник!Y:Y,MATCH(Модель!B5,Исходник!B:B,0))</f>
        <v>19</v>
      </c>
      <c r="V5" s="99">
        <f>YEAR(A5)</f>
        <v>2024</v>
      </c>
      <c r="W5" s="89" t="str">
        <f>INDEX(Исходник!E:E,MATCH(Модель!B5,Исходник!B:B,0))</f>
        <v>Pharma</v>
      </c>
      <c r="X5" s="90">
        <f>INDEX(Исходник!AP:AP,MATCH(Модель!B5,Исходник!B:B,0))</f>
        <v>9.7749589489522573E-2</v>
      </c>
      <c r="Y5" s="89">
        <f>INDEX(Исходник!F:F,MATCH(Модель!B5,Исходник!B:B,0))</f>
        <v>6000</v>
      </c>
      <c r="Z5" s="89" t="str">
        <f>INDEX(Исходник!W:W,MATCH(Модель!B5,Исходник!B:B,0))</f>
        <v>Moscow Exchange</v>
      </c>
      <c r="AA5" s="99">
        <f>INDEX(Исходник!AO:AO,MATCH(Модель!B5,Исходник!B:B,0))</f>
        <v>2.3456098652067108</v>
      </c>
      <c r="AB5">
        <f>INDEX(Исходник!AR:AR,MATCH(Модель!B5,Исходник!B:B,0))</f>
        <v>2.6561820270970031</v>
      </c>
      <c r="AC5" s="179">
        <f>INDEX(Исходник!AM:AM,MATCH(Модель!B5,Исходник!B:B,0))</f>
        <v>0.39650665959518189</v>
      </c>
    </row>
    <row r="6" spans="1:29" x14ac:dyDescent="0.25">
      <c r="A6" s="88">
        <v>45478</v>
      </c>
      <c r="B6" s="89" t="s">
        <v>61</v>
      </c>
      <c r="C6" s="89" t="s">
        <v>347</v>
      </c>
      <c r="D6" s="101">
        <v>9</v>
      </c>
      <c r="E6" s="106">
        <f>3/D6</f>
        <v>0.33333333333333331</v>
      </c>
      <c r="F6" s="89">
        <v>1</v>
      </c>
      <c r="G6" s="91"/>
      <c r="H6" s="92"/>
      <c r="I6" s="95"/>
      <c r="J6" s="93"/>
      <c r="K6" s="93"/>
      <c r="L6" s="93"/>
      <c r="M6" s="94"/>
      <c r="N6" s="93"/>
      <c r="O6" s="95"/>
      <c r="P6" s="200"/>
      <c r="Q6" s="228">
        <f>INDEX(Исходник!$O:$O,MATCH(Модель!B6,Исходник!$B:$B,0))</f>
        <v>-5.0000000000000044E-3</v>
      </c>
      <c r="R6" s="216">
        <f>(-INDEX([1]Databook_Dealogic!$P:$P,MATCH(Модель!B6,[1]Databook_Dealogic!$D:$D,0))+INDEX([1]Databook_Dealogic!$AF:$AF,MATCH(Модель!B6,[1]Databook_Dealogic!$D:$D,0)))/INDEX([1]Databook_Dealogic!$P:$P,MATCH(Модель!B6,[1]Databook_Dealogic!$D:$D,0))</f>
        <v>-5.0000000000000001E-3</v>
      </c>
      <c r="S6" s="158">
        <f>INDEX(Исходник!Z:Z,MATCH(Модель!B6,Исходник!$B:$B,0))</f>
        <v>49725.214</v>
      </c>
      <c r="T6" s="89">
        <f>(INDEX(Исходник!AA:AA,MATCH(Модель!B6,Исходник!B:B,0)))/Модель!S6</f>
        <v>0.93704551980409767</v>
      </c>
      <c r="U6" s="89">
        <f>INDEX(Исходник!Y:Y,MATCH(Модель!B6,Исходник!B:B,0))</f>
        <v>18</v>
      </c>
      <c r="V6" s="99">
        <f>YEAR(A6)</f>
        <v>2024</v>
      </c>
      <c r="W6" s="89" t="str">
        <f>INDEX(Исходник!E:E,MATCH(Модель!B6,Исходник!B:B,0))</f>
        <v>Consumer</v>
      </c>
      <c r="X6" s="90">
        <f>INDEX(Исходник!AP:AP,MATCH(Модель!B6,Исходник!B:B,0))</f>
        <v>9.1042013421385529E-2</v>
      </c>
      <c r="Y6" s="89">
        <f>INDEX(Исходник!F:F,MATCH(Модель!B6,Исходник!B:B,0))</f>
        <v>11500</v>
      </c>
      <c r="Z6" s="89" t="str">
        <f>INDEX(Исходник!W:W,MATCH(Модель!B6,Исходник!B:B,0))</f>
        <v>Moscow Exchange</v>
      </c>
      <c r="AA6" s="99">
        <f>INDEX(Исходник!AO:AO,MATCH(Модель!B6,Исходник!B:B,0))</f>
        <v>2.0172124717294251</v>
      </c>
      <c r="AB6">
        <f>INDEX(Исходник!AR:AR,MATCH(Модель!B6,Исходник!B:B,0))</f>
        <v>1.1182953112257035</v>
      </c>
      <c r="AC6" s="179">
        <f>INDEX(Исходник!AM:AM,MATCH(Модель!B6,Исходник!B:B,0))</f>
        <v>7.5637335316156226E-2</v>
      </c>
    </row>
    <row r="7" spans="1:29" x14ac:dyDescent="0.25">
      <c r="A7" s="105">
        <v>45447</v>
      </c>
      <c r="B7" s="87" t="s">
        <v>64</v>
      </c>
      <c r="C7" s="87" t="s">
        <v>348</v>
      </c>
      <c r="D7" s="101">
        <v>6</v>
      </c>
      <c r="E7" s="90">
        <f>3/6</f>
        <v>0.5</v>
      </c>
      <c r="F7" s="89">
        <v>1</v>
      </c>
      <c r="G7" s="102">
        <f>(2024*D7-(1987+1978+1987+1985+1982+1979))/D7</f>
        <v>41</v>
      </c>
      <c r="H7" s="103">
        <f>(1+1)/D7</f>
        <v>0.33333333333333331</v>
      </c>
      <c r="I7" s="160">
        <v>0.16666666666666666</v>
      </c>
      <c r="J7" s="89">
        <v>0</v>
      </c>
      <c r="K7" s="89">
        <v>0</v>
      </c>
      <c r="L7" s="89">
        <f>0</f>
        <v>0</v>
      </c>
      <c r="M7" s="99">
        <f>(1+1+1+1+1+1)/D7</f>
        <v>1</v>
      </c>
      <c r="N7" s="89">
        <v>2</v>
      </c>
      <c r="O7" s="90">
        <f>(1+1+1+1+1)/D7</f>
        <v>0.83333333333333337</v>
      </c>
      <c r="P7" s="199">
        <f>0/D7</f>
        <v>0</v>
      </c>
      <c r="Q7" s="228">
        <f>INDEX(Исходник!$O:$O,MATCH(Модель!B7,Исходник!$B:$B,0))</f>
        <v>-7.9999999999998961E-3</v>
      </c>
      <c r="R7" s="216">
        <f>(-INDEX([1]Databook_Dealogic!$P:$P,MATCH(Модель!B7,[1]Databook_Dealogic!$D:$D,0))+INDEX([1]Databook_Dealogic!$AF:$AF,MATCH(Модель!B7,[1]Databook_Dealogic!$D:$D,0)))/INDEX([1]Databook_Dealogic!$P:$P,MATCH(Модель!B7,[1]Databook_Dealogic!$D:$D,0))</f>
        <v>-5.4333333333333372E-2</v>
      </c>
      <c r="S7" s="158">
        <f>INDEX(Исходник!Z:Z,MATCH(Модель!B7,Исходник!$B:$B,0))</f>
        <v>4952.07</v>
      </c>
      <c r="T7" s="89">
        <f>(INDEX(Исходник!AA:AA,MATCH(Модель!B7,Исходник!B:B,0)))/Модель!S7</f>
        <v>234.19539707637415</v>
      </c>
      <c r="U7" s="89">
        <f>INDEX(Исходник!Y:Y,MATCH(Модель!B7,Исходник!B:B,0))</f>
        <v>6</v>
      </c>
      <c r="V7" s="99">
        <f>YEAR(A7)</f>
        <v>2024</v>
      </c>
      <c r="W7" s="89" t="str">
        <f>INDEX(Исходник!E:E,MATCH(Модель!B7,Исходник!B:B,0))</f>
        <v>TMT</v>
      </c>
      <c r="X7" s="90">
        <f>INDEX(Исходник!AP:AP,MATCH(Модель!B7,Исходник!B:B,0))</f>
        <v>0.48639962940980613</v>
      </c>
      <c r="Y7" s="89">
        <f>INDEX(Исходник!F:F,MATCH(Модель!B7,Исходник!B:B,0))</f>
        <v>3300</v>
      </c>
      <c r="Z7" s="89" t="str">
        <f>INDEX(Исходник!W:W,MATCH(Модель!B7,Исходник!B:B,0))</f>
        <v>Moscow Exchange</v>
      </c>
      <c r="AA7" s="99">
        <f>INDEX(Исходник!AO:AO,MATCH(Модель!B7,Исходник!B:B,0))</f>
        <v>-2.2205249462875307E-2</v>
      </c>
      <c r="AB7">
        <f>INDEX(Исходник!AR:AR,MATCH(Модель!B7,Исходник!B:B,0))</f>
        <v>2.7745887793442305</v>
      </c>
      <c r="AC7" s="179">
        <f>INDEX(Исходник!AM:AM,MATCH(Модель!B7,Исходник!B:B,0))</f>
        <v>0.79602974735126331</v>
      </c>
    </row>
    <row r="8" spans="1:29" x14ac:dyDescent="0.25">
      <c r="A8" s="107">
        <v>45442</v>
      </c>
      <c r="B8" s="108" t="s">
        <v>66</v>
      </c>
      <c r="C8" s="108" t="s">
        <v>349</v>
      </c>
      <c r="D8" s="109">
        <v>9</v>
      </c>
      <c r="E8" s="110">
        <f>3/D8</f>
        <v>0.33333333333333331</v>
      </c>
      <c r="F8" s="108">
        <v>1</v>
      </c>
      <c r="G8" s="91"/>
      <c r="H8" s="92"/>
      <c r="I8" s="92"/>
      <c r="J8" s="93"/>
      <c r="K8" s="93"/>
      <c r="L8" s="93"/>
      <c r="M8" s="94"/>
      <c r="N8" s="108">
        <v>3</v>
      </c>
      <c r="O8" s="95"/>
      <c r="P8" s="200"/>
      <c r="Q8" s="228">
        <f>INDEX(Исходник!$O:$O,MATCH(Модель!B8,Исходник!$B:$B,0))</f>
        <v>-1.9499105545617179E-2</v>
      </c>
      <c r="R8" s="216">
        <f>(-INDEX([1]Databook_Dealogic!$P:$P,MATCH(Модель!B8,[1]Databook_Dealogic!$D:$D,0))+INDEX([1]Databook_Dealogic!$AF:$AF,MATCH(Модель!B8,[1]Databook_Dealogic!$D:$D,0)))/INDEX([1]Databook_Dealogic!$P:$P,MATCH(Модель!B8,[1]Databook_Dealogic!$D:$D,0))</f>
        <v>-0.99910778175313064</v>
      </c>
      <c r="S8" s="158">
        <f>INDEX(Исходник!Z:Z,MATCH(Модель!B8,Исходник!$B:$B,0))</f>
        <v>92568</v>
      </c>
      <c r="T8" s="89">
        <f>(INDEX(Исходник!AA:AA,MATCH(Модель!B8,Исходник!B:B,0)))/Модель!S8</f>
        <v>0.72890199637023589</v>
      </c>
      <c r="U8" s="89">
        <f>INDEX(Исходник!Y:Y,MATCH(Модель!B8,Исходник!B:B,0))</f>
        <v>5</v>
      </c>
      <c r="V8" s="99">
        <f>YEAR(A8)</f>
        <v>2024</v>
      </c>
      <c r="W8" s="89" t="str">
        <f>INDEX(Исходник!E:E,MATCH(Модель!B8,Исходник!B:B,0))</f>
        <v>TMT</v>
      </c>
      <c r="X8" s="90">
        <f>INDEX(Исходник!AP:AP,MATCH(Модель!B8,Исходник!B:B,0))</f>
        <v>6.4241176826684426E-2</v>
      </c>
      <c r="Y8" s="89">
        <f>INDEX(Исходник!F:F,MATCH(Модель!B8,Исходник!B:B,0))</f>
        <v>15000</v>
      </c>
      <c r="Z8" s="89" t="str">
        <f>INDEX(Исходник!W:W,MATCH(Модель!B8,Исходник!B:B,0))</f>
        <v>St Petersburg</v>
      </c>
      <c r="AA8" s="99">
        <f>INDEX(Исходник!AO:AO,MATCH(Модель!B8,Исходник!B:B,0))</f>
        <v>1.2670441414374856</v>
      </c>
      <c r="AB8">
        <f>INDEX(Исходник!AR:AR,MATCH(Модель!B8,Исходник!B:B,0))</f>
        <v>2.4912657673789345</v>
      </c>
      <c r="AC8" s="179">
        <f>INDEX(Исходник!AM:AM,MATCH(Модель!B8,Исходник!B:B,0))</f>
        <v>0.24191429290246835</v>
      </c>
    </row>
    <row r="9" spans="1:29" x14ac:dyDescent="0.25">
      <c r="A9" s="88">
        <v>45344</v>
      </c>
      <c r="B9" s="89" t="s">
        <v>69</v>
      </c>
      <c r="C9" s="89" t="s">
        <v>350</v>
      </c>
      <c r="D9" s="101">
        <v>5</v>
      </c>
      <c r="E9" s="95"/>
      <c r="F9" s="93"/>
      <c r="G9" s="91"/>
      <c r="H9" s="92"/>
      <c r="I9" s="92"/>
      <c r="J9" s="93"/>
      <c r="K9" s="93"/>
      <c r="L9" s="93"/>
      <c r="M9" s="94"/>
      <c r="N9" s="93"/>
      <c r="O9" s="95"/>
      <c r="P9" s="200"/>
      <c r="Q9" s="228">
        <f>INDEX(Исходник!$O:$O,MATCH(Модель!B9,Исходник!$B:$B,0))</f>
        <v>-0.14736842105263159</v>
      </c>
      <c r="R9" s="216">
        <f>(-INDEX([1]Databook_Dealogic!$P:$P,MATCH(Модель!B9,[1]Databook_Dealogic!$D:$D,0))+INDEX([1]Databook_Dealogic!$AF:$AF,MATCH(Модель!B9,[1]Databook_Dealogic!$D:$D,0)))/INDEX([1]Databook_Dealogic!$P:$P,MATCH(Модель!B9,[1]Databook_Dealogic!$D:$D,0))</f>
        <v>-0.1141052631578947</v>
      </c>
      <c r="S9" s="158">
        <f>INDEX(Исходник!Z:Z,MATCH(Модель!B9,Исходник!$B:$B,0))</f>
        <v>4206.2089999999998</v>
      </c>
      <c r="T9" s="89">
        <f>(INDEX(Исходник!AA:AA,MATCH(Модель!B9,Исходник!B:B,0)))/Модель!S9</f>
        <v>0.71714648511284151</v>
      </c>
      <c r="U9" s="89">
        <f>INDEX(Исходник!Y:Y,MATCH(Модель!B9,Исходник!B:B,0))</f>
        <v>21</v>
      </c>
      <c r="V9" s="99">
        <f>YEAR(A9)</f>
        <v>2024</v>
      </c>
      <c r="W9" s="89" t="str">
        <f>INDEX(Исходник!E:E,MATCH(Модель!B9,Исходник!B:B,0))</f>
        <v>Consumer</v>
      </c>
      <c r="X9" s="90">
        <f>INDEX(Исходник!AP:AP,MATCH(Модель!B9,Исходник!B:B,0))</f>
        <v>0</v>
      </c>
      <c r="Y9" s="89">
        <f>INDEX(Исходник!F:F,MATCH(Модель!B9,Исходник!B:B,0))</f>
        <v>1150</v>
      </c>
      <c r="Z9" s="89" t="str">
        <f>INDEX(Исходник!W:W,MATCH(Модель!B9,Исходник!B:B,0))</f>
        <v>Moscow Exchange</v>
      </c>
      <c r="AA9" s="99">
        <f>INDEX(Исходник!AO:AO,MATCH(Модель!B9,Исходник!B:B,0))</f>
        <v>0</v>
      </c>
      <c r="AB9">
        <f>INDEX(Исходник!AR:AR,MATCH(Модель!B9,Исходник!B:B,0))</f>
        <v>1.1965519798883941</v>
      </c>
      <c r="AC9" s="179">
        <f>INDEX(Исходник!AM:AM,MATCH(Модель!B9,Исходник!B:B,0))</f>
        <v>0</v>
      </c>
    </row>
    <row r="10" spans="1:29" x14ac:dyDescent="0.25">
      <c r="A10" s="105">
        <v>45335</v>
      </c>
      <c r="B10" s="87" t="s">
        <v>71</v>
      </c>
      <c r="C10" s="87" t="s">
        <v>351</v>
      </c>
      <c r="D10" s="101">
        <v>7</v>
      </c>
      <c r="E10" s="90">
        <f>2/7</f>
        <v>0.2857142857142857</v>
      </c>
      <c r="F10" s="89">
        <v>1</v>
      </c>
      <c r="G10" s="102">
        <f>(2024*D10-(1963+1967+1971+1963+1968+1971+1962))/D10</f>
        <v>57.571428571428569</v>
      </c>
      <c r="H10" s="103">
        <f>1/D10</f>
        <v>0.14285714285714285</v>
      </c>
      <c r="I10" s="160">
        <v>0</v>
      </c>
      <c r="J10" s="89">
        <v>1</v>
      </c>
      <c r="K10" s="89">
        <f>0</f>
        <v>0</v>
      </c>
      <c r="L10" s="89">
        <v>0</v>
      </c>
      <c r="M10" s="99">
        <f>(1+1+1+1+1+1+1)/D10</f>
        <v>1</v>
      </c>
      <c r="N10" s="89">
        <v>2</v>
      </c>
      <c r="O10" s="90">
        <f>(1+1+1+1+1+1)/D10</f>
        <v>0.8571428571428571</v>
      </c>
      <c r="P10" s="201">
        <v>0</v>
      </c>
      <c r="Q10" s="228">
        <f>INDEX(Исходник!$O:$O,MATCH(Модель!B10,Исходник!$B:$B,0))</f>
        <v>0.39999999999999991</v>
      </c>
      <c r="R10" s="216">
        <f>(-INDEX([1]Databook_Dealogic!$P:$P,MATCH(Модель!B10,[1]Databook_Dealogic!$D:$D,0))+INDEX([1]Databook_Dealogic!$AF:$AF,MATCH(Модель!B10,[1]Databook_Dealogic!$D:$D,0)))/INDEX([1]Databook_Dealogic!$P:$P,MATCH(Модель!B10,[1]Databook_Dealogic!$D:$D,0))</f>
        <v>0.33644444444444443</v>
      </c>
      <c r="S10" s="158">
        <f>INDEX(Исходник!Z:Z,MATCH(Модель!B10,Исходник!$B:$B,0))</f>
        <v>4225.3999999999996</v>
      </c>
      <c r="T10" s="89">
        <f>(INDEX(Исходник!AA:AA,MATCH(Модель!B10,Исходник!B:B,0)))/Модель!S10</f>
        <v>0.32597529228002087</v>
      </c>
      <c r="U10" s="89">
        <f>INDEX(Исходник!Y:Y,MATCH(Модель!B10,Исходник!B:B,0))</f>
        <v>33</v>
      </c>
      <c r="V10" s="99">
        <f>YEAR(A10)</f>
        <v>2024</v>
      </c>
      <c r="W10" s="89" t="str">
        <f>INDEX(Исходник!E:E,MATCH(Модель!B10,Исходник!B:B,0))</f>
        <v>TMT</v>
      </c>
      <c r="X10" s="90">
        <f>INDEX(Исходник!AP:AP,MATCH(Модель!B10,Исходник!B:B,0))</f>
        <v>0.66553347194190104</v>
      </c>
      <c r="Y10" s="89">
        <f>INDEX(Исходник!F:F,MATCH(Модель!B10,Исходник!B:B,0))</f>
        <v>4100</v>
      </c>
      <c r="Z10" s="89" t="str">
        <f>INDEX(Исходник!W:W,MATCH(Модель!B10,Исходник!B:B,0))</f>
        <v>Moscow Exchange</v>
      </c>
      <c r="AA10" s="99">
        <f>INDEX(Исходник!AO:AO,MATCH(Модель!B10,Исходник!B:B,0))</f>
        <v>-4.9366162728673772E-2</v>
      </c>
      <c r="AB10">
        <f>INDEX(Исходник!AR:AR,MATCH(Модель!B10,Исходник!B:B,0))</f>
        <v>1.499784601274128</v>
      </c>
      <c r="AC10" s="179">
        <f>INDEX(Исходник!AM:AM,MATCH(Модель!B10,Исходник!B:B,0))</f>
        <v>0.42849432067556215</v>
      </c>
    </row>
    <row r="11" spans="1:29" x14ac:dyDescent="0.25">
      <c r="A11" s="111">
        <v>45329</v>
      </c>
      <c r="B11" s="112" t="s">
        <v>73</v>
      </c>
      <c r="C11" s="112" t="s">
        <v>352</v>
      </c>
      <c r="D11" s="113">
        <v>9</v>
      </c>
      <c r="E11" s="114">
        <f>4/D11</f>
        <v>0.44444444444444442</v>
      </c>
      <c r="F11" s="112">
        <v>1</v>
      </c>
      <c r="G11" s="115"/>
      <c r="H11" s="116">
        <f>5/D11</f>
        <v>0.55555555555555558</v>
      </c>
      <c r="I11" s="160">
        <v>0.1111111111111111</v>
      </c>
      <c r="J11" s="112">
        <v>0</v>
      </c>
      <c r="K11" s="117"/>
      <c r="L11" s="117"/>
      <c r="M11" s="118">
        <f>(2+2+2+1+2+1+1+1+2)/D11</f>
        <v>1.5555555555555556</v>
      </c>
      <c r="N11" s="112">
        <v>2</v>
      </c>
      <c r="O11" s="114">
        <f>(3)/D11</f>
        <v>0.33333333333333331</v>
      </c>
      <c r="P11" s="202">
        <f>1/D11</f>
        <v>0.1111111111111111</v>
      </c>
      <c r="Q11" s="228">
        <f>INDEX(Исходник!$O:$O,MATCH(Модель!B11,Исходник!$B:$B,0))</f>
        <v>6.7547169811320584E-2</v>
      </c>
      <c r="R11" s="216">
        <f>(-INDEX([1]Databook_Dealogic!$P:$P,MATCH(Модель!B11,[1]Databook_Dealogic!$D:$D,0))+INDEX([1]Databook_Dealogic!$AF:$AF,MATCH(Модель!B11,[1]Databook_Dealogic!$D:$D,0)))/INDEX([1]Databook_Dealogic!$P:$P,MATCH(Модель!B11,[1]Databook_Dealogic!$D:$D,0))</f>
        <v>8.1886792452830148E-2</v>
      </c>
      <c r="S11" s="158">
        <f>INDEX(Исходник!Z:Z,MATCH(Модель!B11,Исходник!$B:$B,0))</f>
        <v>18218</v>
      </c>
      <c r="T11" s="89">
        <f>(INDEX(Исходник!AA:AA,MATCH(Модель!B11,Исходник!B:B,0)))/Модель!S11</f>
        <v>0.84663519596003955</v>
      </c>
      <c r="U11" s="89">
        <f>INDEX(Исходник!Y:Y,MATCH(Модель!B11,Исходник!B:B,0))</f>
        <v>9</v>
      </c>
      <c r="V11" s="99">
        <f>YEAR(A11)</f>
        <v>2024</v>
      </c>
      <c r="W11" s="89" t="str">
        <f>INDEX(Исходник!E:E,MATCH(Модель!B11,Исходник!B:B,0))</f>
        <v>TMT</v>
      </c>
      <c r="X11" s="90">
        <f>INDEX(Исходник!AP:AP,MATCH(Модель!B11,Исходник!B:B,0))</f>
        <v>0</v>
      </c>
      <c r="Y11" s="89">
        <f>INDEX(Исходник!F:F,MATCH(Модель!B11,Исходник!B:B,0))</f>
        <v>4200</v>
      </c>
      <c r="Z11" s="89" t="str">
        <f>INDEX(Исходник!W:W,MATCH(Модель!B11,Исходник!B:B,0))</f>
        <v>Moscow Exchange</v>
      </c>
      <c r="AA11" s="99">
        <f>INDEX(Исходник!AO:AO,MATCH(Модель!B11,Исходник!B:B,0))</f>
        <v>3.4350683491062042</v>
      </c>
      <c r="AB11">
        <f>INDEX(Исходник!AR:AR,MATCH(Модель!B11,Исходник!B:B,0))</f>
        <v>0.17693536185593006</v>
      </c>
      <c r="AC11" s="179">
        <f>INDEX(Исходник!AM:AM,MATCH(Модель!B11,Исходник!B:B,0))</f>
        <v>0.25018086155869779</v>
      </c>
    </row>
    <row r="12" spans="1:29" x14ac:dyDescent="0.25">
      <c r="A12" s="105">
        <v>45252</v>
      </c>
      <c r="B12" s="87" t="s">
        <v>75</v>
      </c>
      <c r="C12" s="87" t="s">
        <v>353</v>
      </c>
      <c r="D12" s="101">
        <v>9</v>
      </c>
      <c r="E12" s="90">
        <f>3/D12</f>
        <v>0.33333333333333331</v>
      </c>
      <c r="F12" s="89">
        <v>1</v>
      </c>
      <c r="G12" s="102">
        <f>(2023*D12-(1975+1970+1976+1973+1959+1989+1984+1987+1958))/D12</f>
        <v>48.444444444444443</v>
      </c>
      <c r="H12" s="103">
        <f>(1+1+1+1+1)/D12</f>
        <v>0.55555555555555558</v>
      </c>
      <c r="I12" s="160">
        <v>0.1111111111111111</v>
      </c>
      <c r="J12" s="89">
        <v>0</v>
      </c>
      <c r="K12" s="89">
        <v>7</v>
      </c>
      <c r="L12" s="89">
        <f>1</f>
        <v>1</v>
      </c>
      <c r="M12" s="99">
        <f>(2+1+1+2+2+1+1+1+1)/D12</f>
        <v>1.3333333333333333</v>
      </c>
      <c r="N12" s="89">
        <v>2</v>
      </c>
      <c r="O12" s="90">
        <f>4/D12</f>
        <v>0.44444444444444442</v>
      </c>
      <c r="P12" s="201">
        <v>0</v>
      </c>
      <c r="Q12" s="228">
        <f>INDEX(Исходник!$O:$O,MATCH(Модель!B12,Исходник!$B:$B,0))</f>
        <v>3.6363636363636154E-2</v>
      </c>
      <c r="R12" s="216">
        <f>(-INDEX([1]Databook_Dealogic!$P:$P,MATCH(Модель!B12,[1]Databook_Dealogic!$D:$D,0))+INDEX([1]Databook_Dealogic!$AF:$AF,MATCH(Модель!B12,[1]Databook_Dealogic!$D:$D,0)))/INDEX([1]Databook_Dealogic!$P:$P,MATCH(Модель!B12,[1]Databook_Dealogic!$D:$D,0))</f>
        <v>0.14545454545454536</v>
      </c>
      <c r="S12" s="158">
        <f>INDEX(Исходник!Z:Z,MATCH(Модель!B12,Исходник!$B:$B,0))</f>
        <v>99105</v>
      </c>
      <c r="T12" s="89">
        <f>(INDEX(Исходник!AA:AA,MATCH(Модель!B12,Исходник!B:B,0)))/Модель!S12</f>
        <v>0.74226325614247513</v>
      </c>
      <c r="U12" s="89">
        <f>INDEX(Исходник!Y:Y,MATCH(Модель!B12,Исходник!B:B,0))</f>
        <v>26</v>
      </c>
      <c r="V12" s="99">
        <f>YEAR(A12)</f>
        <v>2023</v>
      </c>
      <c r="W12" s="89" t="str">
        <f>INDEX(Исходник!E:E,MATCH(Модель!B12,Исходник!B:B,0))</f>
        <v>Metal &amp; Mining</v>
      </c>
      <c r="X12" s="90">
        <f>INDEX(Исходник!AP:AP,MATCH(Модель!B12,Исходник!B:B,0))</f>
        <v>0</v>
      </c>
      <c r="Y12" s="89">
        <f>INDEX(Исходник!F:F,MATCH(Модель!B12,Исходник!B:B,0))</f>
        <v>7000</v>
      </c>
      <c r="Z12" s="89" t="str">
        <f>INDEX(Исходник!W:W,MATCH(Модель!B12,Исходник!B:B,0))</f>
        <v>Moscow Exchange</v>
      </c>
      <c r="AA12" s="99">
        <f>INDEX(Исходник!AO:AO,MATCH(Модель!B12,Исходник!B:B,0))</f>
        <v>2.042658927364529</v>
      </c>
      <c r="AB12">
        <f>INDEX(Исходник!AR:AR,MATCH(Модель!B12,Исходник!B:B,0))</f>
        <v>0.36067282963786751</v>
      </c>
      <c r="AC12" s="179">
        <f>INDEX(Исходник!AM:AM,MATCH(Модель!B12,Исходник!B:B,0))</f>
        <v>0.44090168101106064</v>
      </c>
    </row>
    <row r="13" spans="1:29" x14ac:dyDescent="0.25">
      <c r="A13" s="105">
        <v>45251</v>
      </c>
      <c r="B13" s="87" t="s">
        <v>78</v>
      </c>
      <c r="C13" s="87" t="s">
        <v>354</v>
      </c>
      <c r="D13" s="101">
        <v>7</v>
      </c>
      <c r="E13" s="90">
        <f>3/D13</f>
        <v>0.42857142857142855</v>
      </c>
      <c r="F13" s="89">
        <f>1</f>
        <v>1</v>
      </c>
      <c r="G13" s="102">
        <f>(2023*D13-(1969+1981+1969+1970+1957+1971+1975))/D13</f>
        <v>52.714285714285715</v>
      </c>
      <c r="H13" s="103">
        <f>6/D13</f>
        <v>0.8571428571428571</v>
      </c>
      <c r="I13" s="160">
        <v>0.14285714285714285</v>
      </c>
      <c r="J13" s="89">
        <v>0</v>
      </c>
      <c r="K13" s="89">
        <v>0</v>
      </c>
      <c r="L13" s="89">
        <v>0</v>
      </c>
      <c r="M13" s="99">
        <f>(2+2+2+2+2+2+2)/D13</f>
        <v>2</v>
      </c>
      <c r="N13" s="89">
        <v>2</v>
      </c>
      <c r="O13" s="90">
        <f>2/D13</f>
        <v>0.2857142857142857</v>
      </c>
      <c r="P13" s="203">
        <f>0/D13</f>
        <v>0</v>
      </c>
      <c r="Q13" s="228">
        <f>INDEX(Исходник!$O:$O,MATCH(Модель!B13,Исходник!$B:$B,0))</f>
        <v>-0.10799999999999998</v>
      </c>
      <c r="R13" s="216">
        <f>(-INDEX([1]Databook_Dealogic!$P:$P,MATCH(Модель!B13,[1]Databook_Dealogic!$D:$D,0))+INDEX([1]Databook_Dealogic!$AF:$AF,MATCH(Модель!B13,[1]Databook_Dealogic!$D:$D,0)))/INDEX([1]Databook_Dealogic!$P:$P,MATCH(Модель!B13,[1]Databook_Dealogic!$D:$D,0))</f>
        <v>-6.3600000000000018E-2</v>
      </c>
      <c r="S13" s="158">
        <f>INDEX(Исходник!Z:Z,MATCH(Модель!B13,Исходник!$B:$B,0))</f>
        <v>51871.163</v>
      </c>
      <c r="T13" s="89">
        <f>(INDEX(Исходник!AA:AA,MATCH(Модель!B13,Исходник!B:B,0)))/Модель!S13</f>
        <v>0.76972207081611033</v>
      </c>
      <c r="U13" s="89">
        <f>INDEX(Исходник!Y:Y,MATCH(Модель!B13,Исходник!B:B,0))</f>
        <v>26</v>
      </c>
      <c r="V13" s="99">
        <f>YEAR(A13)</f>
        <v>2023</v>
      </c>
      <c r="W13" s="89" t="str">
        <f>INDEX(Исходник!E:E,MATCH(Модель!B13,Исходник!B:B,0))</f>
        <v>Consumer</v>
      </c>
      <c r="X13" s="90">
        <f>INDEX(Исходник!AP:AP,MATCH(Модель!B13,Исходник!B:B,0))</f>
        <v>4.0868409029913275E-2</v>
      </c>
      <c r="Y13" s="89">
        <f>INDEX(Исходник!F:F,MATCH(Модель!B13,Исходник!B:B,0))</f>
        <v>13500</v>
      </c>
      <c r="Z13" s="89" t="str">
        <f>INDEX(Исходник!W:W,MATCH(Модель!B13,Исходник!B:B,0))</f>
        <v>Moscow Exchange</v>
      </c>
      <c r="AA13" s="99">
        <f>INDEX(Исходник!AO:AO,MATCH(Модель!B13,Исходник!B:B,0))</f>
        <v>4.8140395106469578</v>
      </c>
      <c r="AB13">
        <f>INDEX(Исходник!AR:AR,MATCH(Модель!B13,Исходник!B:B,0))</f>
        <v>1.372128892963042</v>
      </c>
      <c r="AC13" s="179">
        <f>INDEX(Исходник!AM:AM,MATCH(Модель!B13,Исходник!B:B,0))</f>
        <v>0.10460191583668203</v>
      </c>
    </row>
    <row r="14" spans="1:29" x14ac:dyDescent="0.25">
      <c r="A14" s="105">
        <v>45232</v>
      </c>
      <c r="B14" s="87" t="s">
        <v>80</v>
      </c>
      <c r="C14" s="87" t="s">
        <v>355</v>
      </c>
      <c r="D14" s="101">
        <v>9</v>
      </c>
      <c r="E14" s="90">
        <f>2/D14</f>
        <v>0.22222222222222221</v>
      </c>
      <c r="F14" s="89">
        <v>1</v>
      </c>
      <c r="G14" s="102">
        <f>(2023*D14-(1966+1965+1982+1985+1963+1969+1973+1959+1969))/D14</f>
        <v>52.888888888888886</v>
      </c>
      <c r="H14" s="103">
        <f>3/D14</f>
        <v>0.33333333333333331</v>
      </c>
      <c r="I14" s="160">
        <v>0.1111111111111111</v>
      </c>
      <c r="J14" s="89">
        <v>0</v>
      </c>
      <c r="K14" s="89">
        <f>1</f>
        <v>1</v>
      </c>
      <c r="L14" s="89">
        <f>1</f>
        <v>1</v>
      </c>
      <c r="M14" s="99">
        <f>(1+1+1+2+1+1+1+1+1)/D14</f>
        <v>1.1111111111111112</v>
      </c>
      <c r="N14" s="89">
        <v>1</v>
      </c>
      <c r="O14" s="90">
        <v>0</v>
      </c>
      <c r="P14" s="199">
        <f>6/D14</f>
        <v>0.66666666666666663</v>
      </c>
      <c r="Q14" s="228">
        <f>INDEX(Исходник!$O:$O,MATCH(Модель!B14,Исходник!$B:$B,0))</f>
        <v>-7.4074074074074181E-3</v>
      </c>
      <c r="R14" s="216">
        <f>(-INDEX([1]Databook_Dealogic!$P:$P,MATCH(Модель!B14,[1]Databook_Dealogic!$D:$D,0))+INDEX([1]Databook_Dealogic!$AF:$AF,MATCH(Модель!B14,[1]Databook_Dealogic!$D:$D,0)))/INDEX([1]Databook_Dealogic!$P:$P,MATCH(Модель!B14,[1]Databook_Dealogic!$D:$D,0))</f>
        <v>-0.24</v>
      </c>
      <c r="S14" s="158">
        <f>INDEX(Исходник!Z:Z,MATCH(Модель!B14,Исходник!$B:$B,0))</f>
        <v>14418.594999999999</v>
      </c>
      <c r="T14" s="89">
        <f>(INDEX(Исходник!AA:AA,MATCH(Модель!B14,Исходник!B:B,0)))/Модель!S14</f>
        <v>0.79491753530770504</v>
      </c>
      <c r="U14" s="89">
        <f>INDEX(Исходник!Y:Y,MATCH(Модель!B14,Исходник!B:B,0))</f>
        <v>30</v>
      </c>
      <c r="V14" s="99">
        <f>YEAR(A14)</f>
        <v>2023</v>
      </c>
      <c r="W14" s="89" t="str">
        <f>INDEX(Исходник!E:E,MATCH(Модель!B14,Исходник!B:B,0))</f>
        <v>Consumer</v>
      </c>
      <c r="X14" s="90">
        <f>INDEX(Исходник!AP:AP,MATCH(Модель!B14,Исходник!B:B,0))</f>
        <v>0.15228118047823697</v>
      </c>
      <c r="Y14" s="89">
        <f>INDEX(Исходник!F:F,MATCH(Модель!B14,Исходник!B:B,0))</f>
        <v>3800</v>
      </c>
      <c r="Z14" s="89" t="str">
        <f>INDEX(Исходник!W:W,MATCH(Модель!B14,Исходник!B:B,0))</f>
        <v>Moscow Exchange</v>
      </c>
      <c r="AA14" s="99">
        <f>INDEX(Исходник!AO:AO,MATCH(Модель!B14,Исходник!B:B,0))</f>
        <v>2.0478220911610943</v>
      </c>
      <c r="AB14">
        <f>INDEX(Исходник!AR:AR,MATCH(Модель!B14,Исходник!B:B,0))</f>
        <v>0.87265929102908402</v>
      </c>
      <c r="AC14" s="179">
        <f>INDEX(Исходник!AM:AM,MATCH(Модель!B14,Исходник!B:B,0))</f>
        <v>0.38753999181503002</v>
      </c>
    </row>
    <row r="15" spans="1:29" x14ac:dyDescent="0.25">
      <c r="A15" s="88">
        <v>45212</v>
      </c>
      <c r="B15" s="89" t="s">
        <v>82</v>
      </c>
      <c r="C15" s="89" t="s">
        <v>356</v>
      </c>
      <c r="D15" s="101">
        <v>9</v>
      </c>
      <c r="E15" s="90">
        <f>2/D15</f>
        <v>0.22222222222222221</v>
      </c>
      <c r="F15" s="89">
        <v>1</v>
      </c>
      <c r="G15" s="91"/>
      <c r="H15" s="92"/>
      <c r="I15" s="160">
        <v>0.1111111111111111</v>
      </c>
      <c r="J15" s="93"/>
      <c r="K15" s="93"/>
      <c r="L15" s="93"/>
      <c r="M15" s="94"/>
      <c r="N15" s="89">
        <v>1</v>
      </c>
      <c r="O15" s="95"/>
      <c r="P15" s="200"/>
      <c r="Q15" s="228">
        <f>INDEX(Исходник!$O:$O,MATCH(Модель!B15,Исходник!$B:$B,0))</f>
        <v>0.39999999999999991</v>
      </c>
      <c r="R15" s="216">
        <f>(-INDEX([1]Databook_Dealogic!$P:$P,MATCH(Модель!B15,[1]Databook_Dealogic!$D:$D,0))+INDEX([1]Databook_Dealogic!$AF:$AF,MATCH(Модель!B15,[1]Databook_Dealogic!$D:$D,0)))/INDEX([1]Databook_Dealogic!$P:$P,MATCH(Модель!B15,[1]Databook_Dealogic!$D:$D,0))</f>
        <v>0.50600600600600598</v>
      </c>
      <c r="S15" s="158">
        <f>INDEX(Исходник!Z:Z,MATCH(Модель!B15,Исходник!$B:$B,0))</f>
        <v>6099.9309999999996</v>
      </c>
      <c r="T15" s="89">
        <f>(INDEX(Исходник!AA:AA,MATCH(Модель!B15,Исходник!B:B,0)))/Модель!S15</f>
        <v>0.76019368087934114</v>
      </c>
      <c r="U15" s="89">
        <f>INDEX(Исходник!Y:Y,MATCH(Модель!B15,Исходник!B:B,0))</f>
        <v>15</v>
      </c>
      <c r="V15" s="99">
        <f>YEAR(A15)</f>
        <v>2023</v>
      </c>
      <c r="W15" s="89" t="str">
        <f>INDEX(Исходник!E:E,MATCH(Модель!B15,Исходник!B:B,0))</f>
        <v>TMT</v>
      </c>
      <c r="X15" s="90">
        <f>INDEX(Исходник!AP:AP,MATCH(Модель!B15,Исходник!B:B,0))</f>
        <v>0.7455283476276815</v>
      </c>
      <c r="Y15" s="89">
        <f>INDEX(Исходник!F:F,MATCH(Модель!B15,Исходник!B:B,0))</f>
        <v>3500</v>
      </c>
      <c r="Z15" s="89" t="str">
        <f>INDEX(Исходник!W:W,MATCH(Модель!B15,Исходник!B:B,0))</f>
        <v>Moscow Exchange</v>
      </c>
      <c r="AA15" s="99">
        <f>INDEX(Исходник!AO:AO,MATCH(Модель!B15,Исходник!B:B,0))</f>
        <v>-2.8564243917611601E-2</v>
      </c>
      <c r="AB15">
        <f>INDEX(Исходник!AR:AR,MATCH(Модель!B15,Исходник!B:B,0))</f>
        <v>0.57239847600083782</v>
      </c>
      <c r="AC15" s="179">
        <f>INDEX(Исходник!AM:AM,MATCH(Модель!B15,Исходник!B:B,0))</f>
        <v>0.53514595398543985</v>
      </c>
    </row>
    <row r="16" spans="1:29" x14ac:dyDescent="0.25">
      <c r="A16" s="120">
        <v>45042</v>
      </c>
      <c r="B16" s="121" t="s">
        <v>84</v>
      </c>
      <c r="C16" s="121" t="s">
        <v>357</v>
      </c>
      <c r="D16" s="122">
        <v>5</v>
      </c>
      <c r="E16" s="123">
        <f>1/D16</f>
        <v>0.2</v>
      </c>
      <c r="F16" s="124">
        <v>1</v>
      </c>
      <c r="G16" s="125">
        <f>(2023*D16-(1959+1970+1973+1966+1990))/D16</f>
        <v>51.4</v>
      </c>
      <c r="H16" s="126">
        <f>3/D16</f>
        <v>0.6</v>
      </c>
      <c r="I16" s="160">
        <v>0.2</v>
      </c>
      <c r="J16" s="124">
        <v>0</v>
      </c>
      <c r="K16" s="124">
        <f>5</f>
        <v>5</v>
      </c>
      <c r="L16" s="124">
        <v>0</v>
      </c>
      <c r="M16" s="127">
        <f>10/D16</f>
        <v>2</v>
      </c>
      <c r="N16" s="124">
        <v>1</v>
      </c>
      <c r="O16" s="123">
        <f>4/D16</f>
        <v>0.8</v>
      </c>
      <c r="P16" s="204">
        <f>0/D16</f>
        <v>0</v>
      </c>
      <c r="Q16" s="228">
        <f>INDEX(Исходник!$O:$O,MATCH(Модель!B16,Исходник!$B:$B,0))</f>
        <v>0.39988814317673382</v>
      </c>
      <c r="R16" s="216">
        <f>(-INDEX([1]Databook_Dealogic!$P:$P,MATCH(Модель!B16,[1]Databook_Dealogic!$D:$D,0))+INDEX([1]Databook_Dealogic!$AF:$AF,MATCH(Модель!B16,[1]Databook_Dealogic!$D:$D,0)))/INDEX([1]Databook_Dealogic!$P:$P,MATCH(Модель!B16,[1]Databook_Dealogic!$D:$D,0))</f>
        <v>0.67785234899328872</v>
      </c>
      <c r="S16" s="158">
        <f>INDEX(Исходник!Z:Z,MATCH(Модель!B16,Исходник!$B:$B,0))</f>
        <v>794.49599999999998</v>
      </c>
      <c r="T16" s="89">
        <f>(INDEX(Исходник!AA:AA,MATCH(Модель!B16,Исходник!B:B,0)))/Модель!S16</f>
        <v>0.40625881061704527</v>
      </c>
      <c r="U16" s="89">
        <f>INDEX(Исходник!Y:Y,MATCH(Модель!B16,Исходник!B:B,0))</f>
        <v>11</v>
      </c>
      <c r="V16" s="99">
        <f>YEAR(A16)</f>
        <v>2023</v>
      </c>
      <c r="W16" s="89" t="str">
        <f>INDEX(Исходник!E:E,MATCH(Модель!B16,Исходник!B:B,0))</f>
        <v>Biotech</v>
      </c>
      <c r="X16" s="90">
        <f>INDEX(Исходник!AP:AP,MATCH(Модель!B16,Исходник!B:B,0))</f>
        <v>0</v>
      </c>
      <c r="Y16" s="89">
        <f>INDEX(Исходник!F:F,MATCH(Модель!B16,Исходник!B:B,0))</f>
        <v>178.79999999999998</v>
      </c>
      <c r="Z16" s="89" t="str">
        <f>INDEX(Исходник!W:W,MATCH(Модель!B16,Исходник!B:B,0))</f>
        <v>Moscow Exchange</v>
      </c>
      <c r="AA16" s="99">
        <f>INDEX(Исходник!AO:AO,MATCH(Модель!B16,Исходник!B:B,0))</f>
        <v>-9.7981742641465281</v>
      </c>
      <c r="AB16">
        <f>INDEX(Исходник!AR:AR,MATCH(Модель!B16,Исходник!B:B,0))</f>
        <v>1.2936285250398021</v>
      </c>
      <c r="AC16" s="179">
        <f>INDEX(Исходник!AM:AM,MATCH(Модель!B16,Исходник!B:B,0))</f>
        <v>0</v>
      </c>
    </row>
    <row r="17" spans="1:29" x14ac:dyDescent="0.25">
      <c r="A17" s="129">
        <v>44909</v>
      </c>
      <c r="B17" s="124" t="s">
        <v>87</v>
      </c>
      <c r="C17" s="124" t="s">
        <v>358</v>
      </c>
      <c r="D17" s="122">
        <v>9</v>
      </c>
      <c r="E17" s="123">
        <f>3/D17</f>
        <v>0.33333333333333331</v>
      </c>
      <c r="F17" s="124">
        <v>1</v>
      </c>
      <c r="G17" s="115"/>
      <c r="H17" s="130"/>
      <c r="I17" s="130"/>
      <c r="J17" s="117"/>
      <c r="K17" s="117"/>
      <c r="L17" s="117"/>
      <c r="M17" s="131"/>
      <c r="N17" s="124">
        <v>2</v>
      </c>
      <c r="O17" s="132"/>
      <c r="P17" s="205"/>
      <c r="Q17" s="228">
        <f>INDEX(Исходник!$O:$O,MATCH(Модель!B17,Исходник!$B:$B,0))</f>
        <v>2.1621621621621401E-3</v>
      </c>
      <c r="R17" s="216">
        <f>(-INDEX([1]Databook_Dealogic!$P:$P,MATCH(Модель!B17,[1]Databook_Dealogic!$D:$D,0))+INDEX([1]Databook_Dealogic!$AF:$AF,MATCH(Модель!B17,[1]Databook_Dealogic!$D:$D,0)))/INDEX([1]Databook_Dealogic!$P:$P,MATCH(Модель!B17,[1]Databook_Dealogic!$D:$D,0))</f>
        <v>-0.12027027027027028</v>
      </c>
      <c r="S17" s="158">
        <f>INDEX(Исходник!Z:Z,MATCH(Модель!B17,Исходник!$B:$B,0))</f>
        <v>5147.2550000000001</v>
      </c>
      <c r="T17" s="89">
        <f>(INDEX(Исходник!AA:AA,MATCH(Модель!B17,Исходник!B:B,0)))/Модель!S17</f>
        <v>0.53265769813230546</v>
      </c>
      <c r="U17" s="89">
        <f>INDEX(Исходник!Y:Y,MATCH(Модель!B17,Исходник!B:B,0))</f>
        <v>3</v>
      </c>
      <c r="V17" s="99">
        <f>YEAR(A17)</f>
        <v>2022</v>
      </c>
      <c r="W17" s="89" t="str">
        <f>INDEX(Исходник!E:E,MATCH(Модель!B17,Исходник!B:B,0))</f>
        <v>TMT</v>
      </c>
      <c r="X17" s="90">
        <f>INDEX(Исходник!AP:AP,MATCH(Модель!B17,Исходник!B:B,0))</f>
        <v>0.55506020866983208</v>
      </c>
      <c r="Y17" s="89">
        <f>INDEX(Исходник!F:F,MATCH(Модель!B17,Исходник!B:B,0))</f>
        <v>2300</v>
      </c>
      <c r="Z17" s="89" t="str">
        <f>INDEX(Исходник!W:W,MATCH(Модель!B17,Исходник!B:B,0))</f>
        <v>Moscow Exchange</v>
      </c>
      <c r="AA17" s="99">
        <f>INDEX(Исходник!AO:AO,MATCH(Модель!B17,Исходник!B:B,0))</f>
        <v>0.86347119420414076</v>
      </c>
      <c r="AB17">
        <f>INDEX(Исходник!AR:AR,MATCH(Модель!B17,Исходник!B:B,0))</f>
        <v>1.0170899625045224</v>
      </c>
      <c r="AC17" s="179">
        <f>INDEX(Исходник!AM:AM,MATCH(Модель!B17,Исходник!B:B,0))</f>
        <v>0.64221183064884346</v>
      </c>
    </row>
    <row r="18" spans="1:29" x14ac:dyDescent="0.25">
      <c r="A18" s="133">
        <v>44496</v>
      </c>
      <c r="B18" s="134" t="s">
        <v>89</v>
      </c>
      <c r="C18" s="134" t="s">
        <v>359</v>
      </c>
      <c r="D18" s="96">
        <v>7</v>
      </c>
      <c r="E18" s="104">
        <f>4/D18</f>
        <v>0.5714285714285714</v>
      </c>
      <c r="F18" s="96">
        <v>1</v>
      </c>
      <c r="G18" s="135">
        <f>(2021*D18-(1964+1965+1962+1955+1955+1970+1969))/D18</f>
        <v>58.142857142857146</v>
      </c>
      <c r="H18" s="136">
        <f>(3)/D18</f>
        <v>0.42857142857142855</v>
      </c>
      <c r="I18" s="160">
        <v>0</v>
      </c>
      <c r="J18" s="96">
        <v>1</v>
      </c>
      <c r="K18" s="96">
        <f>3+3+3+5+3+13</f>
        <v>30</v>
      </c>
      <c r="L18" s="96">
        <v>4</v>
      </c>
      <c r="M18" s="137">
        <f>(1+2+2+1+2+2+2)/D18</f>
        <v>1.7142857142857142</v>
      </c>
      <c r="N18" s="96">
        <v>2</v>
      </c>
      <c r="O18" s="104">
        <f>3/D18</f>
        <v>0.42857142857142855</v>
      </c>
      <c r="P18" s="199">
        <f>3/D18</f>
        <v>0.42857142857142855</v>
      </c>
      <c r="Q18" s="228">
        <f>INDEX(Исходник!$O:$O,MATCH(Модель!B18,Исходник!$B:$B,0))</f>
        <v>-2.2666666666666613E-2</v>
      </c>
      <c r="R18" s="216">
        <f>(-INDEX([1]Databook_Dealogic!$P:$P,MATCH(Модель!B18,[1]Databook_Dealogic!$D:$D,0))+INDEX([1]Databook_Dealogic!$AF:$AF,MATCH(Модель!B18,[1]Databook_Dealogic!$D:$D,0)))/INDEX([1]Databook_Dealogic!$P:$P,MATCH(Модель!B18,[1]Databook_Dealogic!$D:$D,0))</f>
        <v>-0.18987376897400954</v>
      </c>
      <c r="S18" s="158">
        <f>INDEX(Исходник!Z:Z,MATCH(Модель!B18,Исходник!$B:$B,0))</f>
        <v>32298</v>
      </c>
      <c r="T18" s="89">
        <f>(INDEX(Исходник!AA:AA,MATCH(Модель!B18,Исходник!B:B,0)))/Модель!S18</f>
        <v>0.86429500278655025</v>
      </c>
      <c r="U18" s="89">
        <f>INDEX(Исходник!Y:Y,MATCH(Модель!B18,Исходник!B:B,0))</f>
        <v>28</v>
      </c>
      <c r="V18" s="99">
        <f>YEAR(A18)</f>
        <v>2021</v>
      </c>
      <c r="W18" s="89" t="str">
        <f>INDEX(Исходник!E:E,MATCH(Модель!B18,Исходник!B:B,0))</f>
        <v>Computers &amp; Electronics</v>
      </c>
      <c r="X18" s="90">
        <f>INDEX(Исходник!AP:AP,MATCH(Модель!B18,Исходник!B:B,0))</f>
        <v>2.4026255495696328E-2</v>
      </c>
      <c r="Y18" s="89">
        <f>INDEX(Исходник!F:F,MATCH(Модель!B18,Исходник!B:B,0))</f>
        <v>27890.5926</v>
      </c>
      <c r="Z18" s="89" t="str">
        <f>INDEX(Исходник!W:W,MATCH(Модель!B18,Исходник!B:B,0))</f>
        <v>London Stock Exchange; Moscow Exchange</v>
      </c>
      <c r="AA18" s="99">
        <f>INDEX(Исходник!AO:AO,MATCH(Модель!B18,Исходник!B:B,0))</f>
        <v>0.94746268656716415</v>
      </c>
      <c r="AB18">
        <f>INDEX(Исходник!AR:AR,MATCH(Модель!B18,Исходник!B:B,0))</f>
        <v>0.93483745061640244</v>
      </c>
      <c r="AC18" s="179">
        <f>INDEX(Исходник!AM:AM,MATCH(Модель!B18,Исходник!B:B,0))</f>
        <v>4.8311268783709727E-2</v>
      </c>
    </row>
    <row r="19" spans="1:29" x14ac:dyDescent="0.25">
      <c r="A19" s="133">
        <v>44504</v>
      </c>
      <c r="B19" s="134" t="s">
        <v>94</v>
      </c>
      <c r="C19" s="134" t="s">
        <v>360</v>
      </c>
      <c r="D19" s="96">
        <v>7</v>
      </c>
      <c r="E19" s="104">
        <v>0</v>
      </c>
      <c r="F19" s="96">
        <v>1</v>
      </c>
      <c r="G19" s="135">
        <f>(44+52+41+54+58+46+57)/D19</f>
        <v>50.285714285714285</v>
      </c>
      <c r="H19" s="136">
        <f>6/D19</f>
        <v>0.8571428571428571</v>
      </c>
      <c r="I19" s="160">
        <v>0.14285714285714285</v>
      </c>
      <c r="J19" s="96">
        <v>0</v>
      </c>
      <c r="K19" s="96">
        <f>3+2</f>
        <v>5</v>
      </c>
      <c r="L19" s="96">
        <f>4+1+1</f>
        <v>6</v>
      </c>
      <c r="M19" s="137">
        <f>(13)/D19</f>
        <v>1.8571428571428572</v>
      </c>
      <c r="N19" s="96">
        <v>3</v>
      </c>
      <c r="O19" s="104">
        <f>6/D19</f>
        <v>0.8571428571428571</v>
      </c>
      <c r="P19" s="199">
        <f>4/D19</f>
        <v>0.5714285714285714</v>
      </c>
      <c r="Q19" s="228">
        <f>INDEX(Исходник!$O:$O,MATCH(Модель!B19,Исходник!$B:$B,0))</f>
        <v>0.10125000000000006</v>
      </c>
      <c r="R19" s="216">
        <f>(-INDEX([1]Databook_Dealogic!$P:$P,MATCH(Модель!B19,[1]Databook_Dealogic!$D:$D,0))+INDEX([1]Databook_Dealogic!$AF:$AF,MATCH(Модель!B19,[1]Databook_Dealogic!$D:$D,0)))/INDEX([1]Databook_Dealogic!$P:$P,MATCH(Модель!B19,[1]Databook_Dealogic!$D:$D,0))</f>
        <v>3.2833362009635221E-2</v>
      </c>
      <c r="S19" s="158">
        <f>INDEX(Исходник!Z:Z,MATCH(Модель!B19,Исходник!$B:$B,0))</f>
        <v>1370</v>
      </c>
      <c r="T19" s="89">
        <f>(INDEX(Исходник!AA:AA,MATCH(Модель!B19,Исходник!B:B,0)))/Модель!S19</f>
        <v>1.6364963503649634</v>
      </c>
      <c r="U19" s="89">
        <f>INDEX(Исходник!Y:Y,MATCH(Модель!B19,Исходник!B:B,0))</f>
        <v>20</v>
      </c>
      <c r="V19" s="99">
        <f>YEAR(A19)</f>
        <v>2021</v>
      </c>
      <c r="W19" s="89" t="str">
        <f>INDEX(Исходник!E:E,MATCH(Модель!B19,Исходник!B:B,0))</f>
        <v>Computers &amp; Electronics</v>
      </c>
      <c r="X19" s="90">
        <f>INDEX(Исходник!AP:AP,MATCH(Модель!B19,Исходник!B:B,0))</f>
        <v>0</v>
      </c>
      <c r="Y19" s="89">
        <f>INDEX(Исходник!F:F,MATCH(Модель!B19,Исходник!B:B,0))</f>
        <v>22141.828799999999</v>
      </c>
      <c r="Z19" s="89" t="str">
        <f>INDEX(Исходник!W:W,MATCH(Модель!B19,Исходник!B:B,0))</f>
        <v>New York Stock Exchange-NYSE</v>
      </c>
      <c r="AA19" s="99">
        <f>INDEX(Исходник!AO:AO,MATCH(Модель!B19,Исходник!B:B,0))</f>
        <v>1.5414364640883977</v>
      </c>
      <c r="AB19">
        <f>INDEX(Исходник!AR:AR,MATCH(Модель!B19,Исходник!B:B,0))</f>
        <v>0.47368421052631576</v>
      </c>
      <c r="AC19" s="179">
        <f>INDEX(Исходник!AM:AM,MATCH(Модель!B19,Исходник!B:B,0))</f>
        <v>0.110231425091352</v>
      </c>
    </row>
    <row r="20" spans="1:29" x14ac:dyDescent="0.25">
      <c r="A20" s="88">
        <v>44392</v>
      </c>
      <c r="B20" s="89" t="s">
        <v>97</v>
      </c>
      <c r="C20" s="89" t="s">
        <v>361</v>
      </c>
      <c r="D20" s="89">
        <v>6</v>
      </c>
      <c r="E20" s="95"/>
      <c r="F20" s="89">
        <v>1</v>
      </c>
      <c r="G20" s="102">
        <f>(2021*D20-(1963+1984+1979+1962+1966+1988))/D20</f>
        <v>47.333333333333336</v>
      </c>
      <c r="H20" s="92"/>
      <c r="I20" s="160">
        <v>0</v>
      </c>
      <c r="J20" s="93"/>
      <c r="K20" s="89">
        <v>4</v>
      </c>
      <c r="L20" s="89">
        <v>1</v>
      </c>
      <c r="M20" s="94"/>
      <c r="N20" s="89">
        <v>2</v>
      </c>
      <c r="O20" s="95"/>
      <c r="P20" s="199">
        <f>4/D20</f>
        <v>0.66666666666666663</v>
      </c>
      <c r="Q20" s="228">
        <f>INDEX(Исходник!$O:$O,MATCH(Модель!B20,Исходник!$B:$B,0))</f>
        <v>-5.9359991365814902E-4</v>
      </c>
      <c r="R20" s="216">
        <f>(-INDEX([1]Databook_Dealogic!$P:$P,MATCH(Модель!B20,[1]Databook_Dealogic!$D:$D,0))+INDEX([1]Databook_Dealogic!$AF:$AF,MATCH(Модель!B20,[1]Databook_Dealogic!$D:$D,0)))/INDEX([1]Databook_Dealogic!$P:$P,MATCH(Модель!B20,[1]Databook_Dealogic!$D:$D,0))</f>
        <v>-5.6068210026442106E-2</v>
      </c>
      <c r="S20" s="158">
        <f>INDEX(Исходник!Z:Z,MATCH(Модель!B20,Исходник!$B:$B,0))</f>
        <v>27393.637180912116</v>
      </c>
      <c r="T20" s="89">
        <f>(INDEX(Исходник!AA:AA,MATCH(Модель!B20,Исходник!B:B,0)))/Модель!S20</f>
        <v>0.65198786869194225</v>
      </c>
      <c r="U20" s="89">
        <f>INDEX(Исходник!Y:Y,MATCH(Модель!B20,Исходник!B:B,0))</f>
        <v>7</v>
      </c>
      <c r="V20" s="99">
        <f>YEAR(A20)</f>
        <v>2021</v>
      </c>
      <c r="W20" s="89" t="str">
        <f>INDEX(Исходник!E:E,MATCH(Модель!B20,Исходник!B:B,0))</f>
        <v>Healthcare</v>
      </c>
      <c r="X20" s="90">
        <f>INDEX(Исходник!AP:AP,MATCH(Модель!B20,Исходник!B:B,0))</f>
        <v>0.25351310441838476</v>
      </c>
      <c r="Y20" s="89">
        <f>INDEX(Исходник!F:F,MATCH(Модель!B20,Исходник!B:B,0))</f>
        <v>34330.672400000003</v>
      </c>
      <c r="Z20" s="89" t="str">
        <f>INDEX(Исходник!W:W,MATCH(Модель!B20,Исходник!B:B,0))</f>
        <v>Moscow Exchange</v>
      </c>
      <c r="AA20" s="99">
        <f>INDEX(Исходник!AO:AO,MATCH(Модель!B20,Исходник!B:B,0))</f>
        <v>1.4155737367923364</v>
      </c>
      <c r="AB20">
        <f>INDEX(Исходник!AR:AR,MATCH(Модель!B20,Исходник!B:B,0))</f>
        <v>0.92793834815004117</v>
      </c>
      <c r="AC20" s="179">
        <f>INDEX(Исходник!AM:AM,MATCH(Модель!B20,Исходник!B:B,0))</f>
        <v>0.40315422642306914</v>
      </c>
    </row>
    <row r="21" spans="1:29" x14ac:dyDescent="0.25">
      <c r="A21" s="105">
        <v>44314</v>
      </c>
      <c r="B21" s="87" t="s">
        <v>99</v>
      </c>
      <c r="C21" s="87" t="s">
        <v>362</v>
      </c>
      <c r="D21" s="89">
        <v>9</v>
      </c>
      <c r="E21" s="90">
        <f>5/D21</f>
        <v>0.55555555555555558</v>
      </c>
      <c r="F21" s="89">
        <v>1</v>
      </c>
      <c r="G21" s="102">
        <f>(2021*D21-(1961+1965+1973+1961+1970+1979+1976+1962+1970))/D21</f>
        <v>52.444444444444443</v>
      </c>
      <c r="H21" s="103">
        <f>5/D21</f>
        <v>0.55555555555555558</v>
      </c>
      <c r="I21" s="160">
        <v>0.22222222222222221</v>
      </c>
      <c r="J21" s="89">
        <v>0</v>
      </c>
      <c r="K21" s="96">
        <f>5+3+3+1+6+1+10+2</f>
        <v>31</v>
      </c>
      <c r="L21" s="96">
        <f>6+5+1+18+1+1+1+2+2</f>
        <v>37</v>
      </c>
      <c r="M21" s="99">
        <v>1.6666666666666667</v>
      </c>
      <c r="N21" s="89">
        <v>3</v>
      </c>
      <c r="O21" s="90">
        <f>2/D21</f>
        <v>0.22222222222222221</v>
      </c>
      <c r="P21" s="199">
        <f>2/D21</f>
        <v>0.22222222222222221</v>
      </c>
      <c r="Q21" s="228">
        <f>INDEX(Исходник!$O:$O,MATCH(Модель!B21,Исходник!$B:$B,0))</f>
        <v>-3.7500000000000311E-3</v>
      </c>
      <c r="R21" s="216">
        <f>(-INDEX([1]Databook_Dealogic!$P:$P,MATCH(Модель!B21,[1]Databook_Dealogic!$D:$D,0))+INDEX([1]Databook_Dealogic!$AF:$AF,MATCH(Модель!B21,[1]Databook_Dealogic!$D:$D,0)))/INDEX([1]Databook_Dealogic!$P:$P,MATCH(Модель!B21,[1]Databook_Dealogic!$D:$D,0))</f>
        <v>0</v>
      </c>
      <c r="S21" s="158">
        <f>INDEX(Исходник!Z:Z,MATCH(Модель!B21,Исходник!$B:$B,0))</f>
        <v>89417.642999999996</v>
      </c>
      <c r="T21" s="89">
        <f>(INDEX(Исходник!AA:AA,MATCH(Модель!B21,Исходник!B:B,0)))/Модель!S21</f>
        <v>0.90082252559486498</v>
      </c>
      <c r="U21" s="89">
        <f>INDEX(Исходник!Y:Y,MATCH(Модель!B21,Исходник!B:B,0))</f>
        <v>7</v>
      </c>
      <c r="V21" s="99">
        <f>YEAR(A21)</f>
        <v>2021</v>
      </c>
      <c r="W21" s="89" t="str">
        <f>INDEX(Исходник!E:E,MATCH(Модель!B21,Исходник!B:B,0))</f>
        <v>Forestry &amp; Paper</v>
      </c>
      <c r="X21" s="90">
        <f>INDEX(Исходник!AP:AP,MATCH(Модель!B21,Исходник!B:B,0))</f>
        <v>0</v>
      </c>
      <c r="Y21" s="89">
        <f>INDEX(Исходник!F:F,MATCH(Модель!B21,Исходник!B:B,0))</f>
        <v>30399.996800000001</v>
      </c>
      <c r="Z21" s="89" t="str">
        <f>INDEX(Исходник!W:W,MATCH(Модель!B21,Исходник!B:B,0))</f>
        <v>Moscow Exchange</v>
      </c>
      <c r="AA21" s="99">
        <f>INDEX(Исходник!AO:AO,MATCH(Модель!B21,Исходник!B:B,0))</f>
        <v>3.4673201461347736</v>
      </c>
      <c r="AB21">
        <f>INDEX(Исходник!AR:AR,MATCH(Модель!B21,Исходник!B:B,0))</f>
        <v>3.9284466006191012</v>
      </c>
      <c r="AC21" s="179">
        <f>INDEX(Исходник!AM:AM,MATCH(Модель!B21,Исходник!B:B,0))</f>
        <v>0.25307725847069334</v>
      </c>
    </row>
    <row r="22" spans="1:29" x14ac:dyDescent="0.25">
      <c r="A22" s="138">
        <v>44260</v>
      </c>
      <c r="B22" s="139" t="s">
        <v>101</v>
      </c>
      <c r="C22" s="139" t="s">
        <v>363</v>
      </c>
      <c r="D22" s="119">
        <v>7</v>
      </c>
      <c r="E22" s="128">
        <f>3/D22</f>
        <v>0.42857142857142855</v>
      </c>
      <c r="F22" s="119">
        <v>1</v>
      </c>
      <c r="G22" s="140">
        <f>(2021*D22-(1973+1975+1973+1976+1967+1972+1967))/D22</f>
        <v>49.142857142857146</v>
      </c>
      <c r="H22" s="141">
        <f>4/D22</f>
        <v>0.5714285714285714</v>
      </c>
      <c r="I22" s="160">
        <v>0.14285714285714285</v>
      </c>
      <c r="J22" s="119">
        <v>0</v>
      </c>
      <c r="K22" s="119">
        <f>3+2+11+4</f>
        <v>20</v>
      </c>
      <c r="L22" s="119">
        <v>7</v>
      </c>
      <c r="M22" s="142">
        <f>10/D22</f>
        <v>1.4285714285714286</v>
      </c>
      <c r="N22" s="119">
        <v>3</v>
      </c>
      <c r="O22" s="128">
        <f>4/D22</f>
        <v>0.5714285714285714</v>
      </c>
      <c r="P22" s="204">
        <f>1/D22</f>
        <v>0.14285714285714285</v>
      </c>
      <c r="Q22" s="228">
        <f>INDEX(Исходник!$O:$O,MATCH(Модель!B22,Исходник!$B:$B,0))</f>
        <v>0</v>
      </c>
      <c r="R22" s="216">
        <f>(-INDEX([1]Databook_Dealogic!$P:$P,MATCH(Модель!B22,[1]Databook_Dealogic!$D:$D,0))+INDEX([1]Databook_Dealogic!$AF:$AF,MATCH(Модель!B22,[1]Databook_Dealogic!$D:$D,0)))/INDEX([1]Databook_Dealogic!$P:$P,MATCH(Модель!B22,[1]Databook_Dealogic!$D:$D,0))</f>
        <v>3.2052302321294995E-2</v>
      </c>
      <c r="S22" s="158">
        <f>INDEX(Исходник!Z:Z,MATCH(Модель!B22,Исходник!$B:$B,0))</f>
        <v>82107</v>
      </c>
      <c r="T22" s="89">
        <f>(INDEX(Исходник!AA:AA,MATCH(Модель!B22,Исходник!B:B,0)))/Модель!S22</f>
        <v>1.0439548394168585</v>
      </c>
      <c r="U22" s="89">
        <f>INDEX(Исходник!Y:Y,MATCH(Модель!B22,Исходник!B:B,0))</f>
        <v>14</v>
      </c>
      <c r="V22" s="99">
        <f>YEAR(A22)</f>
        <v>2021</v>
      </c>
      <c r="W22" s="89" t="str">
        <f>INDEX(Исходник!E:E,MATCH(Модель!B22,Исходник!B:B,0))</f>
        <v>Retail</v>
      </c>
      <c r="X22" s="90">
        <f>INDEX(Исходник!AP:AP,MATCH(Модель!B22,Исходник!B:B,0))</f>
        <v>0.25889943800776333</v>
      </c>
      <c r="Y22" s="89">
        <f>INDEX(Исходник!F:F,MATCH(Модель!B22,Исходник!B:B,0))</f>
        <v>134019.44</v>
      </c>
      <c r="Z22" s="89" t="str">
        <f>INDEX(Исходник!W:W,MATCH(Модель!B22,Исходник!B:B,0))</f>
        <v>London Stock Exchange; Moscow Exchange</v>
      </c>
      <c r="AA22" s="99">
        <f>INDEX(Исходник!AO:AO,MATCH(Модель!B22,Исходник!B:B,0))</f>
        <v>-1.7414147979633844E-2</v>
      </c>
      <c r="AB22">
        <f>INDEX(Исходник!AR:AR,MATCH(Модель!B22,Исходник!B:B,0))</f>
        <v>0.69604744051557255</v>
      </c>
      <c r="AC22" s="179">
        <f>INDEX(Исходник!AM:AM,MATCH(Модель!B22,Исходник!B:B,0))</f>
        <v>0.19427651413508437</v>
      </c>
    </row>
    <row r="23" spans="1:29" x14ac:dyDescent="0.25">
      <c r="A23" s="133">
        <v>44159</v>
      </c>
      <c r="B23" s="134" t="s">
        <v>104</v>
      </c>
      <c r="C23" s="134" t="s">
        <v>364</v>
      </c>
      <c r="D23" s="96">
        <v>9</v>
      </c>
      <c r="E23" s="104">
        <f>4/D23</f>
        <v>0.44444444444444442</v>
      </c>
      <c r="F23" s="96">
        <v>1</v>
      </c>
      <c r="G23" s="135">
        <f>(54+47+53+40+39+43+53+45)/D23</f>
        <v>41.555555555555557</v>
      </c>
      <c r="H23" s="136">
        <f>7/D23</f>
        <v>0.77777777777777779</v>
      </c>
      <c r="I23" s="160">
        <v>0.22222222222222221</v>
      </c>
      <c r="J23" s="96">
        <v>0</v>
      </c>
      <c r="K23" s="96">
        <v>6</v>
      </c>
      <c r="L23" s="96">
        <v>2</v>
      </c>
      <c r="M23" s="137">
        <f>(14)/D23</f>
        <v>1.5555555555555556</v>
      </c>
      <c r="N23" s="96">
        <v>3</v>
      </c>
      <c r="O23" s="104">
        <f>7/D23</f>
        <v>0.77777777777777779</v>
      </c>
      <c r="P23" s="199">
        <f>4/D23</f>
        <v>0.44444444444444442</v>
      </c>
      <c r="Q23" s="228">
        <f>INDEX(Исходник!$O:$O,MATCH(Модель!B23,Исходник!$B:$B,0))</f>
        <v>0.33933333333333326</v>
      </c>
      <c r="R23" s="216">
        <f>(-INDEX([1]Databook_Dealogic!$P:$P,MATCH(Модель!B23,[1]Databook_Dealogic!$D:$D,0))+INDEX([1]Databook_Dealogic!$AF:$AF,MATCH(Модель!B23,[1]Databook_Dealogic!$D:$D,0)))/INDEX([1]Databook_Dealogic!$P:$P,MATCH(Модель!B23,[1]Databook_Dealogic!$D:$D,0))</f>
        <v>0.41797463085181252</v>
      </c>
      <c r="S23" s="158">
        <f>INDEX(Исходник!Z:Z,MATCH(Модель!B23,Исходник!$B:$B,0))</f>
        <v>38435</v>
      </c>
      <c r="T23" s="89">
        <f>(INDEX(Исходник!AA:AA,MATCH(Модель!B23,Исходник!B:B,0)))/Модель!S23</f>
        <v>0.97874333289970084</v>
      </c>
      <c r="U23" s="89">
        <f>INDEX(Исходник!Y:Y,MATCH(Модель!B23,Исходник!B:B,0))</f>
        <v>22</v>
      </c>
      <c r="V23" s="99">
        <f>YEAR(A23)</f>
        <v>2020</v>
      </c>
      <c r="W23" s="89" t="str">
        <f>INDEX(Исходник!E:E,MATCH(Модель!B23,Исходник!B:B,0))</f>
        <v>Computers &amp; Electronics</v>
      </c>
      <c r="X23" s="90">
        <f>INDEX(Исходник!AP:AP,MATCH(Модель!B23,Исходник!B:B,0))</f>
        <v>0</v>
      </c>
      <c r="Y23" s="89">
        <f>INDEX(Исходник!F:F,MATCH(Модель!B23,Исходник!B:B,0))</f>
        <v>88331.728000000003</v>
      </c>
      <c r="Z23" s="89" t="str">
        <f>INDEX(Исходник!W:W,MATCH(Модель!B23,Исходник!B:B,0))</f>
        <v>NASDAQ-US</v>
      </c>
      <c r="AA23" s="99">
        <f>INDEX(Исходник!AO:AO,MATCH(Модель!B23,Исходник!B:B,0))</f>
        <v>0</v>
      </c>
      <c r="AB23">
        <f>INDEX(Исходник!AR:AR,MATCH(Модель!B23,Исходник!B:B,0))</f>
        <v>0.63942926862333083</v>
      </c>
      <c r="AC23" s="179">
        <f>INDEX(Исходник!AM:AM,MATCH(Модель!B23,Исходник!B:B,0))</f>
        <v>0</v>
      </c>
    </row>
    <row r="24" spans="1:29" x14ac:dyDescent="0.25">
      <c r="A24" s="105">
        <v>44133</v>
      </c>
      <c r="B24" s="87" t="s">
        <v>107</v>
      </c>
      <c r="C24" s="87" t="s">
        <v>365</v>
      </c>
      <c r="D24" s="89">
        <v>5</v>
      </c>
      <c r="E24" s="90">
        <f>1/D24</f>
        <v>0.2</v>
      </c>
      <c r="F24" s="89">
        <v>1</v>
      </c>
      <c r="G24" s="102">
        <f>(2020*D24-(1972+1965+1981+1968+1964))/D24</f>
        <v>50</v>
      </c>
      <c r="H24" s="103">
        <f>2/D24</f>
        <v>0.4</v>
      </c>
      <c r="I24" s="160">
        <v>0</v>
      </c>
      <c r="J24" s="89">
        <v>0</v>
      </c>
      <c r="K24" s="96">
        <f>2+8+10+4+2</f>
        <v>26</v>
      </c>
      <c r="L24" s="96">
        <f>1+1</f>
        <v>2</v>
      </c>
      <c r="M24" s="99">
        <f>(2+1+2+1+2)/D24</f>
        <v>1.6</v>
      </c>
      <c r="N24" s="89">
        <v>3</v>
      </c>
      <c r="O24" s="90">
        <v>0</v>
      </c>
      <c r="P24" s="203">
        <v>0</v>
      </c>
      <c r="Q24" s="228">
        <f>INDEX(Исходник!$O:$O,MATCH(Модель!B24,Исходник!$B:$B,0))</f>
        <v>3.1578947368420263E-3</v>
      </c>
      <c r="R24" s="216">
        <f>(-INDEX([1]Databook_Dealogic!$P:$P,MATCH(Модель!B24,[1]Databook_Dealogic!$D:$D,0))+INDEX([1]Databook_Dealogic!$AF:$AF,MATCH(Модель!B24,[1]Databook_Dealogic!$D:$D,0)))/INDEX([1]Databook_Dealogic!$P:$P,MATCH(Модель!B24,[1]Databook_Dealogic!$D:$D,0))</f>
        <v>-3.3684210526316268E-3</v>
      </c>
      <c r="S24" s="158">
        <f>INDEX(Исходник!Z:Z,MATCH(Модель!B24,Исходник!$B:$B,0))</f>
        <v>78440.148000000001</v>
      </c>
      <c r="T24" s="89">
        <f>(INDEX(Исходник!AA:AA,MATCH(Модель!B24,Исходник!B:B,0)))/Модель!S24</f>
        <v>0.92831545906823132</v>
      </c>
      <c r="U24" s="89">
        <f>INDEX(Исходник!Y:Y,MATCH(Модель!B24,Исходник!B:B,0))</f>
        <v>8</v>
      </c>
      <c r="V24" s="99">
        <f>YEAR(A24)</f>
        <v>2020</v>
      </c>
      <c r="W24" s="89" t="str">
        <f>INDEX(Исходник!E:E,MATCH(Модель!B24,Исходник!B:B,0))</f>
        <v>Real Estate/Property</v>
      </c>
      <c r="X24" s="90">
        <f>INDEX(Исходник!AP:AP,MATCH(Модель!B24,Исходник!B:B,0))</f>
        <v>1.2179253604684291E-2</v>
      </c>
      <c r="Y24" s="89">
        <f>INDEX(Исходник!F:F,MATCH(Модель!B24,Исходник!B:B,0))</f>
        <v>2904.9402999999998</v>
      </c>
      <c r="Z24" s="89" t="str">
        <f>INDEX(Исходник!W:W,MATCH(Модель!B24,Исходник!B:B,0))</f>
        <v>Moscow Exchange</v>
      </c>
      <c r="AA24" s="99">
        <f>INDEX(Исходник!AO:AO,MATCH(Модель!B24,Исходник!B:B,0))</f>
        <v>1.7978205502524278</v>
      </c>
      <c r="AB24">
        <f>INDEX(Исходник!AR:AR,MATCH(Модель!B24,Исходник!B:B,0))</f>
        <v>1.2165725257577489</v>
      </c>
      <c r="AC24" s="179">
        <f>INDEX(Исходник!AM:AM,MATCH(Модель!B24,Исходник!B:B,0))</f>
        <v>0.14705894544316678</v>
      </c>
    </row>
    <row r="25" spans="1:29" x14ac:dyDescent="0.25">
      <c r="A25" s="88">
        <v>44111</v>
      </c>
      <c r="B25" s="89" t="s">
        <v>109</v>
      </c>
      <c r="C25" s="89" t="s">
        <v>366</v>
      </c>
      <c r="D25" s="89">
        <v>12</v>
      </c>
      <c r="E25" s="90">
        <f>3/D25</f>
        <v>0.25</v>
      </c>
      <c r="F25" s="89">
        <v>1</v>
      </c>
      <c r="G25" s="91"/>
      <c r="H25" s="92"/>
      <c r="I25" s="160">
        <v>8.3333333333333329E-2</v>
      </c>
      <c r="J25" s="89">
        <v>0</v>
      </c>
      <c r="K25" s="93"/>
      <c r="L25" s="93"/>
      <c r="M25" s="94"/>
      <c r="N25" s="89">
        <v>4</v>
      </c>
      <c r="O25" s="95"/>
      <c r="P25" s="203">
        <f>4/D25</f>
        <v>0.33333333333333331</v>
      </c>
      <c r="Q25" s="228">
        <f>INDEX(Исходник!$O:$O,MATCH(Модель!B25,Исходник!$B:$B,0))</f>
        <v>-4.2857142857142816E-2</v>
      </c>
      <c r="R25" s="216">
        <f>(-INDEX([1]Databook_Dealogic!$P:$P,MATCH(Модель!B25,[1]Databook_Dealogic!$D:$D,0))+INDEX([1]Databook_Dealogic!$AF:$AF,MATCH(Модель!B25,[1]Databook_Dealogic!$D:$D,0)))/INDEX([1]Databook_Dealogic!$P:$P,MATCH(Модель!B25,[1]Databook_Dealogic!$D:$D,0))</f>
        <v>-7.5904761904761892E-2</v>
      </c>
      <c r="S25" s="158">
        <f>INDEX(Исходник!Z:Z,MATCH(Модель!B25,Исходник!$B:$B,0))</f>
        <v>474036.94088106492</v>
      </c>
      <c r="T25" s="89">
        <f>(INDEX(Исходник!AA:AA,MATCH(Модель!B25,Исходник!B:B,0)))/Модель!S25</f>
        <v>0.52227240135551822</v>
      </c>
      <c r="U25" s="89">
        <f>INDEX(Исходник!Y:Y,MATCH(Модель!B25,Исходник!B:B,0))</f>
        <v>47</v>
      </c>
      <c r="V25" s="99">
        <f>YEAR(A25)</f>
        <v>2020</v>
      </c>
      <c r="W25" s="89" t="str">
        <f>INDEX(Исходник!E:E,MATCH(Модель!B25,Исходник!B:B,0))</f>
        <v>Transportation</v>
      </c>
      <c r="X25" s="90">
        <f>INDEX(Исходник!AP:AP,MATCH(Модель!B25,Исходник!B:B,0))</f>
        <v>3.1133458293739282E-2</v>
      </c>
      <c r="Y25" s="89">
        <f>INDEX(Исходник!F:F,MATCH(Модель!B25,Исходник!B:B,0))</f>
        <v>31460.7516</v>
      </c>
      <c r="Z25" s="89" t="str">
        <f>INDEX(Исходник!W:W,MATCH(Модель!B25,Исходник!B:B,0))</f>
        <v>Moscow Exchange</v>
      </c>
      <c r="AA25" s="99">
        <f>INDEX(Исходник!AO:AO,MATCH(Модель!B25,Исходник!B:B,0))</f>
        <v>3.5749496060106285</v>
      </c>
      <c r="AB25">
        <f>INDEX(Исходник!AR:AR,MATCH(Модель!B25,Исходник!B:B,0))</f>
        <v>1.044889169642204</v>
      </c>
      <c r="AC25" s="179">
        <f>INDEX(Исходник!AM:AM,MATCH(Модель!B25,Исходник!B:B,0))</f>
        <v>0.51777706915716781</v>
      </c>
    </row>
    <row r="26" spans="1:29" x14ac:dyDescent="0.25">
      <c r="A26" s="129">
        <v>43867</v>
      </c>
      <c r="B26" s="124" t="s">
        <v>112</v>
      </c>
      <c r="C26" s="124" t="s">
        <v>367</v>
      </c>
      <c r="D26" s="124">
        <v>5</v>
      </c>
      <c r="E26" s="123">
        <f>3/D26</f>
        <v>0.6</v>
      </c>
      <c r="F26" s="124">
        <v>1</v>
      </c>
      <c r="G26" s="115"/>
      <c r="H26" s="126">
        <f>4/D26</f>
        <v>0.8</v>
      </c>
      <c r="I26" s="160">
        <v>0</v>
      </c>
      <c r="J26" s="124">
        <v>0</v>
      </c>
      <c r="K26" s="117"/>
      <c r="L26" s="117"/>
      <c r="M26" s="127">
        <f>8/D26</f>
        <v>1.6</v>
      </c>
      <c r="N26" s="124">
        <v>3</v>
      </c>
      <c r="O26" s="132"/>
      <c r="P26" s="206">
        <f>3/D26</f>
        <v>0.6</v>
      </c>
      <c r="Q26" s="228">
        <f>INDEX(Исходник!$O:$O,MATCH(Модель!B26,Исходник!$B:$B,0))</f>
        <v>9.0909090909090828E-2</v>
      </c>
      <c r="R26" s="216">
        <f>-(0.22-0.28)/0.22</f>
        <v>0.27272727272727282</v>
      </c>
      <c r="S26" s="158">
        <f>INDEX(Исходник!Z:Z,MATCH(Модель!B26,Исходник!$B:$B,0))</f>
        <v>2442.1731754736848</v>
      </c>
      <c r="T26" s="89">
        <f>(INDEX(Исходник!AA:AA,MATCH(Модель!B26,Исходник!B:B,0)))/Модель!S26</f>
        <v>0.24132955423859825</v>
      </c>
      <c r="U26" s="89">
        <f>INDEX(Исходник!Y:Y,MATCH(Модель!B26,Исходник!B:B,0))</f>
        <v>11</v>
      </c>
      <c r="V26" s="99">
        <f>YEAR(A26)</f>
        <v>2020</v>
      </c>
      <c r="W26" s="89" t="str">
        <f>INDEX(Исходник!E:E,MATCH(Модель!B26,Исходник!B:B,0))</f>
        <v>Agribusiness</v>
      </c>
      <c r="X26" s="90">
        <f>INDEX(Исходник!AP:AP,MATCH(Модель!B26,Исходник!B:B,0))</f>
        <v>0.15842664583410834</v>
      </c>
      <c r="Y26" s="89">
        <f>INDEX(Исходник!F:F,MATCH(Модель!B26,Исходник!B:B,0))</f>
        <v>260.8664</v>
      </c>
      <c r="Z26" s="89" t="str">
        <f>INDEX(Исходник!W:W,MATCH(Модель!B26,Исходник!B:B,0))</f>
        <v>Singapore Exchange-Catalist</v>
      </c>
      <c r="AA26" s="99">
        <f>INDEX(Исходник!AO:AO,MATCH(Модель!B26,Исходник!B:B,0))</f>
        <v>0.68599263395509091</v>
      </c>
      <c r="AB26">
        <f>INDEX(Исходник!AR:AR,MATCH(Модель!B26,Исходник!B:B,0))</f>
        <v>2.4771938522558261</v>
      </c>
      <c r="AC26" s="179">
        <f>INDEX(Исходник!AM:AM,MATCH(Модель!B26,Исходник!B:B,0))</f>
        <v>0.34531282051282053</v>
      </c>
    </row>
    <row r="27" spans="1:29" x14ac:dyDescent="0.25">
      <c r="A27" s="143">
        <v>43593</v>
      </c>
      <c r="B27" s="222" t="s">
        <v>117</v>
      </c>
      <c r="C27" s="119" t="s">
        <v>368</v>
      </c>
      <c r="D27" s="119">
        <v>9</v>
      </c>
      <c r="E27" s="128">
        <f>5/D27</f>
        <v>0.55555555555555558</v>
      </c>
      <c r="F27" s="119">
        <v>1</v>
      </c>
      <c r="G27" s="140">
        <f>((60+52+48+50+43+51+59+45+52)-8)/D27</f>
        <v>50.222222222222221</v>
      </c>
      <c r="H27" s="141">
        <f>(1+1+1+1+1+1)/D27</f>
        <v>0.66666666666666663</v>
      </c>
      <c r="I27" s="160">
        <v>0</v>
      </c>
      <c r="J27" s="119">
        <v>0</v>
      </c>
      <c r="K27" s="119">
        <f>4+2+2+3+1+2+2</f>
        <v>16</v>
      </c>
      <c r="L27" s="119">
        <f>1</f>
        <v>1</v>
      </c>
      <c r="M27" s="142">
        <f>(2+1+1+1+2+2+2+1+2)/D27</f>
        <v>1.5555555555555556</v>
      </c>
      <c r="N27" s="119">
        <v>3</v>
      </c>
      <c r="O27" s="128">
        <f>(1+1+1+1+1+1)/D27</f>
        <v>0.66666666666666663</v>
      </c>
      <c r="P27" s="204">
        <f>5/D27</f>
        <v>0.55555555555555558</v>
      </c>
      <c r="Q27" s="228">
        <f>INDEX(Исходник!$O:$O,MATCH(Модель!B27,Исходник!$B:$B,0))</f>
        <v>0.16666666666666674</v>
      </c>
      <c r="R27" s="216">
        <f>(1063.96654-880.4241)/880.4241</f>
        <v>0.20847048598510645</v>
      </c>
      <c r="S27" s="158">
        <f>INDEX(Исходник!Z:Z,MATCH(Модель!B27,Исходник!$B:$B,0))</f>
        <v>13339.281999999999</v>
      </c>
      <c r="T27" s="89">
        <f>(INDEX(Исходник!AA:AA,MATCH(Модель!B27,Исходник!B:B,0)))/Модель!S27</f>
        <v>0.77484395337020384</v>
      </c>
      <c r="U27" s="89">
        <f>INDEX(Исходник!Y:Y,MATCH(Модель!B27,Исходник!B:B,0))</f>
        <v>19</v>
      </c>
      <c r="V27" s="99">
        <f>YEAR(A27)</f>
        <v>2019</v>
      </c>
      <c r="W27" s="89" t="str">
        <f>INDEX(Исходник!E:E,MATCH(Модель!B27,Исходник!B:B,0))</f>
        <v>Computers &amp; Electronics</v>
      </c>
      <c r="X27" s="90">
        <f>INDEX(Исходник!AP:AP,MATCH(Модель!B27,Исходник!B:B,0))</f>
        <v>8.0976076720078657E-2</v>
      </c>
      <c r="Y27" s="89">
        <f>INDEX(Исходник!F:F,MATCH(Модель!B27,Исходник!B:B,0))</f>
        <v>14695.985699999999</v>
      </c>
      <c r="Z27" s="89" t="str">
        <f>INDEX(Исходник!W:W,MATCH(Модель!B27,Исходник!B:B,0))</f>
        <v>NASDAQ-US</v>
      </c>
      <c r="AA27" s="99">
        <f>INDEX(Исходник!AO:AO,MATCH(Модель!B27,Исходник!B:B,0))</f>
        <v>1.3333718574567666</v>
      </c>
      <c r="AB27">
        <f>INDEX(Исходник!AR:AR,MATCH(Модель!B27,Исходник!B:B,0))</f>
        <v>0.73276707321682533</v>
      </c>
      <c r="AC27" s="179">
        <f>INDEX(Исходник!AM:AM,MATCH(Модель!B27,Исходник!B:B,0))</f>
        <v>0.43844418549037373</v>
      </c>
    </row>
    <row r="28" spans="1:29" x14ac:dyDescent="0.25">
      <c r="A28" s="144">
        <v>43042</v>
      </c>
      <c r="B28" s="96" t="s">
        <v>119</v>
      </c>
      <c r="C28" s="96" t="s">
        <v>369</v>
      </c>
      <c r="D28" s="96">
        <v>10</v>
      </c>
      <c r="E28" s="104">
        <f>2/D28</f>
        <v>0.2</v>
      </c>
      <c r="F28" s="96">
        <v>1</v>
      </c>
      <c r="G28" s="91"/>
      <c r="H28" s="92"/>
      <c r="I28" s="160">
        <v>0.2</v>
      </c>
      <c r="J28" s="96">
        <v>1</v>
      </c>
      <c r="K28" s="96">
        <f>1+1+5+1+1+1+1</f>
        <v>11</v>
      </c>
      <c r="L28" s="93"/>
      <c r="M28" s="94"/>
      <c r="N28" s="96">
        <v>3</v>
      </c>
      <c r="O28" s="95"/>
      <c r="P28" s="199">
        <f>4/D28</f>
        <v>0.4</v>
      </c>
      <c r="Q28" s="228">
        <f>INDEX(Исходник!$O:$O,MATCH(Модель!B28,Исходник!$B:$B,0))</f>
        <v>-1.7857142857142905E-2</v>
      </c>
      <c r="R28" s="216">
        <f>(-INDEX([1]Databook_Dealogic!$P:$P,MATCH(Модель!B28,[1]Databook_Dealogic!$D:$D,0))+INDEX([1]Databook_Dealogic!$AF:$AF,MATCH(Модель!B28,[1]Databook_Dealogic!$D:$D,0)))/INDEX([1]Databook_Dealogic!$P:$P,MATCH(Модель!B28,[1]Databook_Dealogic!$D:$D,0))</f>
        <v>-7.8925639245435927E-2</v>
      </c>
      <c r="S28" s="158">
        <f>INDEX(Исходник!Z:Z,MATCH(Модель!B28,Исходник!$B:$B,0))</f>
        <v>1358724.4811693556</v>
      </c>
      <c r="T28" s="89">
        <f>(INDEX(Исходник!AA:AA,MATCH(Модель!B28,Исходник!B:B,0)))/Модель!S28</f>
        <v>0.89252336448598124</v>
      </c>
      <c r="U28" s="89">
        <f>INDEX(Исходник!Y:Y,MATCH(Модель!B28,Исходник!B:B,0))</f>
        <v>15</v>
      </c>
      <c r="V28" s="99">
        <f>YEAR(A28)</f>
        <v>2017</v>
      </c>
      <c r="W28" s="89" t="str">
        <f>INDEX(Исходник!E:E,MATCH(Модель!B28,Исходник!B:B,0))</f>
        <v>Metal &amp; Steel</v>
      </c>
      <c r="X28" s="90">
        <f>INDEX(Исходник!AP:AP,MATCH(Модель!B28,Исходник!B:B,0))</f>
        <v>7.8189182202050955E-2</v>
      </c>
      <c r="Y28" s="89">
        <f>INDEX(Исходник!F:F,MATCH(Модель!B28,Исходник!B:B,0))</f>
        <v>87130.35</v>
      </c>
      <c r="Z28" s="89" t="str">
        <f>INDEX(Исходник!W:W,MATCH(Модель!B28,Исходник!B:B,0))</f>
        <v>London Stock Exchange; Moscow Exchange</v>
      </c>
      <c r="AA28" s="99">
        <f>INDEX(Исходник!AO:AO,MATCH(Модель!B28,Исходник!B:B,0))</f>
        <v>6.0315880571181308</v>
      </c>
      <c r="AB28">
        <f>INDEX(Исходник!AR:AR,MATCH(Модель!B28,Исходник!B:B,0))</f>
        <v>1.1656903765690378</v>
      </c>
      <c r="AC28" s="179">
        <f>INDEX(Исходник!AM:AM,MATCH(Модель!B28,Исходник!B:B,0))</f>
        <v>0.23639525368248773</v>
      </c>
    </row>
    <row r="29" spans="1:29" x14ac:dyDescent="0.25">
      <c r="A29" s="88">
        <v>43042</v>
      </c>
      <c r="B29" s="89" t="s">
        <v>123</v>
      </c>
      <c r="C29" s="89" t="s">
        <v>370</v>
      </c>
      <c r="D29" s="89">
        <v>5</v>
      </c>
      <c r="E29" s="90">
        <v>0</v>
      </c>
      <c r="F29" s="89">
        <v>0</v>
      </c>
      <c r="G29" s="102">
        <f>(2017*D29-(1964+1967+1980+1974+1985))/D29</f>
        <v>43</v>
      </c>
      <c r="H29" s="92"/>
      <c r="I29" s="160">
        <v>0.2</v>
      </c>
      <c r="J29" s="89">
        <v>0</v>
      </c>
      <c r="K29" s="96">
        <f>6+4+2</f>
        <v>12</v>
      </c>
      <c r="L29" s="96">
        <v>1</v>
      </c>
      <c r="M29" s="94"/>
      <c r="N29" s="89">
        <v>0</v>
      </c>
      <c r="O29" s="90">
        <f>4/D29</f>
        <v>0.8</v>
      </c>
      <c r="P29" s="203">
        <v>0</v>
      </c>
      <c r="Q29" s="228">
        <f>INDEX(Исходник!$O:$O,MATCH(Модель!B29,Исходник!$B:$B,0))</f>
        <v>9.4696969696970168E-3</v>
      </c>
      <c r="R29" s="216">
        <f>(-INDEX([1]Databook_Dealogic!$P:$P,MATCH(Модель!B29,[1]Databook_Dealogic!$D:$D,0))+INDEX([1]Databook_Dealogic!$AF:$AF,MATCH(Модель!B29,[1]Databook_Dealogic!$D:$D,0)))/INDEX([1]Databook_Dealogic!$P:$P,MATCH(Модель!B29,[1]Databook_Dealogic!$D:$D,0))</f>
        <v>0</v>
      </c>
      <c r="S29" s="158">
        <f>INDEX(Исходник!Z:Z,MATCH(Модель!B29,Исходник!$B:$B,0))</f>
        <v>5587.2839999999997</v>
      </c>
      <c r="T29" s="89">
        <f>(INDEX(Исходник!AA:AA,MATCH(Модель!B29,Исходник!B:B,0)))/Модель!S29</f>
        <v>0.74198322476537804</v>
      </c>
      <c r="U29" s="89">
        <f>INDEX(Исходник!Y:Y,MATCH(Модель!B29,Исходник!B:B,0))</f>
        <v>0</v>
      </c>
      <c r="V29" s="99">
        <f>YEAR(A29)</f>
        <v>2017</v>
      </c>
      <c r="W29" s="89" t="str">
        <f>INDEX(Исходник!E:E,MATCH(Модель!B29,Исходник!B:B,0))</f>
        <v>Transportation</v>
      </c>
      <c r="X29" s="90">
        <f>INDEX(Исходник!AP:AP,MATCH(Модель!B29,Исходник!B:B,0))</f>
        <v>8.9929567478221298E-2</v>
      </c>
      <c r="Y29" s="89">
        <f>INDEX(Исходник!F:F,MATCH(Модель!B29,Исходник!B:B,0))</f>
        <v>3454.2359999999999</v>
      </c>
      <c r="Z29" s="89" t="str">
        <f>INDEX(Исходник!W:W,MATCH(Модель!B29,Исходник!B:B,0))</f>
        <v>Moscow Exchange</v>
      </c>
      <c r="AA29" s="99">
        <f>INDEX(Исходник!AO:AO,MATCH(Модель!B29,Исходник!B:B,0))</f>
        <v>0</v>
      </c>
      <c r="AB29">
        <f>INDEX(Исходник!AR:AR,MATCH(Модель!B29,Исходник!B:B,0))</f>
        <v>0.52440064037431167</v>
      </c>
      <c r="AC29" s="179">
        <f>INDEX(Исходник!AM:AM,MATCH(Модель!B29,Исходник!B:B,0))</f>
        <v>0</v>
      </c>
    </row>
    <row r="30" spans="1:29" x14ac:dyDescent="0.25">
      <c r="A30" s="145">
        <v>43028</v>
      </c>
      <c r="B30" s="146" t="s">
        <v>125</v>
      </c>
      <c r="C30" s="146" t="s">
        <v>371</v>
      </c>
      <c r="D30" s="89">
        <v>7</v>
      </c>
      <c r="E30" s="90">
        <f>(2)/D30</f>
        <v>0.2857142857142857</v>
      </c>
      <c r="F30" s="89">
        <v>1</v>
      </c>
      <c r="G30" s="102">
        <f>(2017*D30-(1970+1980+1965+1978+1940+1978+1978))/D30</f>
        <v>47.142857142857146</v>
      </c>
      <c r="H30" s="92"/>
      <c r="I30" s="160">
        <v>0.42857142857142855</v>
      </c>
      <c r="J30" s="89">
        <v>0</v>
      </c>
      <c r="K30" s="89">
        <f>1</f>
        <v>1</v>
      </c>
      <c r="L30" s="89">
        <v>0</v>
      </c>
      <c r="M30" s="99">
        <v>1</v>
      </c>
      <c r="N30" s="89">
        <v>2</v>
      </c>
      <c r="O30" s="95"/>
      <c r="P30" s="203">
        <v>0</v>
      </c>
      <c r="Q30" s="228">
        <f>INDEX(Исходник!$O:$O,MATCH(Модель!B30,Исходник!$B:$B,0))</f>
        <v>2.8071428571428525E-2</v>
      </c>
      <c r="R30" s="216">
        <f>(-INDEX([1]Databook_Dealogic!$P:$P,MATCH(Модель!B30,[1]Databook_Dealogic!$D:$D,0))+INDEX([1]Databook_Dealogic!$AF:$AF,MATCH(Модель!B30,[1]Databook_Dealogic!$D:$D,0)))/INDEX([1]Databook_Dealogic!$P:$P,MATCH(Модель!B30,[1]Databook_Dealogic!$D:$D,0))</f>
        <v>-3.5714285714285712E-2</v>
      </c>
      <c r="S30" s="158">
        <f>INDEX(Исходник!Z:Z,MATCH(Модель!B30,Исходник!$B:$B,0))</f>
        <v>13876.358</v>
      </c>
      <c r="T30" s="89">
        <f>(INDEX(Исходник!AA:AA,MATCH(Модель!B30,Исходник!B:B,0)))/Модель!S30</f>
        <v>0.6192522562476408</v>
      </c>
      <c r="U30" s="89">
        <f>INDEX(Исходник!Y:Y,MATCH(Модель!B30,Исходник!B:B,0))</f>
        <v>14</v>
      </c>
      <c r="V30" s="99">
        <f>YEAR(A30)</f>
        <v>2017</v>
      </c>
      <c r="W30" s="89" t="str">
        <f>INDEX(Исходник!E:E,MATCH(Модель!B30,Исходник!B:B,0))</f>
        <v>Retail</v>
      </c>
      <c r="X30" s="90">
        <f>INDEX(Исходник!AP:AP,MATCH(Модель!B30,Исходник!B:B,0))</f>
        <v>0.11591491925115741</v>
      </c>
      <c r="Y30" s="89">
        <f>INDEX(Исходник!F:F,MATCH(Модель!B30,Исходник!B:B,0))</f>
        <v>6096.9098999999997</v>
      </c>
      <c r="Z30" s="89" t="str">
        <f>INDEX(Исходник!W:W,MATCH(Модель!B30,Исходник!B:B,0))</f>
        <v>Moscow</v>
      </c>
      <c r="AA30" s="99">
        <f>INDEX(Исходник!AO:AO,MATCH(Модель!B30,Исходник!B:B,0))</f>
        <v>2.7515500927614567</v>
      </c>
      <c r="AB30">
        <f>INDEX(Исходник!AR:AR,MATCH(Модель!B30,Исходник!B:B,0))</f>
        <v>1</v>
      </c>
      <c r="AC30" s="179">
        <f>INDEX(Исходник!AM:AM,MATCH(Модель!B30,Исходник!B:B,0))</f>
        <v>0.25486510406945589</v>
      </c>
    </row>
    <row r="31" spans="1:29" x14ac:dyDescent="0.25">
      <c r="A31" s="105">
        <v>42916</v>
      </c>
      <c r="B31" s="221" t="s">
        <v>128</v>
      </c>
      <c r="C31" s="87" t="s">
        <v>372</v>
      </c>
      <c r="D31" s="89">
        <v>9</v>
      </c>
      <c r="E31" s="90">
        <f>1/D31</f>
        <v>0.1111111111111111</v>
      </c>
      <c r="F31" s="89">
        <v>1</v>
      </c>
      <c r="G31" s="102">
        <f>(2017*D31-(1955+1946+1952+1973+1962+1983+1995+1990+1977))/D31</f>
        <v>46.666666666666664</v>
      </c>
      <c r="H31" s="103">
        <f>(1+1)/D31</f>
        <v>0.22222222222222221</v>
      </c>
      <c r="I31" s="160">
        <v>0.22222222222222221</v>
      </c>
      <c r="J31" s="89">
        <v>1</v>
      </c>
      <c r="K31" s="96">
        <f>3+1+2</f>
        <v>6</v>
      </c>
      <c r="L31" s="96">
        <f>4+2+4+1</f>
        <v>11</v>
      </c>
      <c r="M31" s="99">
        <f>(2+2+1+1+1+2+1+1+1)/D31</f>
        <v>1.3333333333333333</v>
      </c>
      <c r="N31" s="89">
        <v>4</v>
      </c>
      <c r="O31" s="90">
        <f>4/D32</f>
        <v>0.4</v>
      </c>
      <c r="P31" s="203">
        <f>3/D31</f>
        <v>0.33333333333333331</v>
      </c>
      <c r="Q31" s="228">
        <f>INDEX(Исходник!$O:$O,MATCH(Модель!B31,Исходник!$B:$B,0))</f>
        <v>1.2106537530266248E-2</v>
      </c>
      <c r="R31" s="216">
        <f>(3888-3923.5)/3923.5</f>
        <v>-9.0480438384095835E-3</v>
      </c>
      <c r="S31" s="158">
        <f>INDEX(Исходник!Z:Z,MATCH(Модель!B31,Исходник!$B:$B,0))</f>
        <v>508934.28499999997</v>
      </c>
      <c r="T31" s="89">
        <f>(INDEX(Исходник!AA:AA,MATCH(Модель!B31,Исходник!B:B,0)))/Модель!S31</f>
        <v>1.0730674196964349</v>
      </c>
      <c r="U31" s="89">
        <f>INDEX(Исходник!Y:Y,MATCH(Модель!B31,Исходник!B:B,0))</f>
        <v>24</v>
      </c>
      <c r="V31" s="99">
        <f>YEAR(A31)</f>
        <v>2017</v>
      </c>
      <c r="W31" s="89" t="str">
        <f>INDEX(Исходник!E:E,MATCH(Модель!B31,Исходник!B:B,0))</f>
        <v>Mining-General</v>
      </c>
      <c r="X31" s="90">
        <f>INDEX(Исходник!AP:AP,MATCH(Модель!B31,Исходник!B:B,0))</f>
        <v>0.05</v>
      </c>
      <c r="Y31" s="89">
        <f>INDEX(Исходник!F:F,MATCH(Модель!B31,Исходник!B:B,0))</f>
        <v>50695.359000000004</v>
      </c>
      <c r="Z31" s="89" t="str">
        <f>INDEX(Исходник!W:W,MATCH(Модель!B31,Исходник!B:B,0))</f>
        <v>Common Stock/Ordinary Shares; Global Depositary Receipts</v>
      </c>
      <c r="AA31" s="99">
        <f>INDEX(Исходник!AO:AO,MATCH(Модель!B31,Исходник!B:B,0))</f>
        <v>0.04</v>
      </c>
      <c r="AB31">
        <f>INDEX(Исходник!AR:AR,MATCH(Модель!B31,Исходник!B:B,0))</f>
        <v>3.8377926421404682</v>
      </c>
      <c r="AC31" s="179">
        <f>INDEX(Исходник!AM:AM,MATCH(Модель!B31,Исходник!B:B,0))</f>
        <v>0.84662327095199352</v>
      </c>
    </row>
    <row r="32" spans="1:29" x14ac:dyDescent="0.25">
      <c r="A32" s="129">
        <v>42774</v>
      </c>
      <c r="B32" s="124" t="s">
        <v>132</v>
      </c>
      <c r="C32" s="124" t="s">
        <v>373</v>
      </c>
      <c r="D32" s="124">
        <v>10</v>
      </c>
      <c r="E32" s="123">
        <f>4/D32</f>
        <v>0.4</v>
      </c>
      <c r="F32" s="124">
        <v>1</v>
      </c>
      <c r="G32" s="125">
        <f>(2017*D32-(1963+1974+1960+1972+1982+1963+1979+1983+1984+1967))/D32</f>
        <v>44.3</v>
      </c>
      <c r="H32" s="130"/>
      <c r="I32" s="160">
        <v>0.1</v>
      </c>
      <c r="J32" s="124">
        <v>0</v>
      </c>
      <c r="K32" s="117"/>
      <c r="L32" s="117"/>
      <c r="M32" s="131"/>
      <c r="N32" s="124">
        <v>3</v>
      </c>
      <c r="O32" s="132"/>
      <c r="P32" s="206">
        <v>0</v>
      </c>
      <c r="Q32" s="228">
        <f>INDEX(Исходник!$O:$O,MATCH(Модель!B32,Исходник!$B:$B,0))</f>
        <v>0</v>
      </c>
      <c r="R32" s="216">
        <f>(-INDEX([1]Databook_Dealogic!$P:$P,MATCH(Модель!B32,[1]Databook_Dealogic!$D:$D,0))+INDEX([1]Databook_Dealogic!$AF:$AF,MATCH(Модель!B32,[1]Databook_Dealogic!$D:$D,0)))/INDEX([1]Databook_Dealogic!$P:$P,MATCH(Модель!B32,[1]Databook_Dealogic!$D:$D,0))</f>
        <v>-4.7058823529412437E-3</v>
      </c>
      <c r="S32" s="158">
        <f>INDEX(Исходник!Z:Z,MATCH(Модель!B32,Исходник!$B:$B,0))</f>
        <v>39194</v>
      </c>
      <c r="T32" s="89">
        <f>(INDEX(Исходник!AA:AA,MATCH(Модель!B32,Исходник!B:B,0)))/Модель!S32</f>
        <v>1.0154360361279788</v>
      </c>
      <c r="U32" s="89">
        <f>INDEX(Исходник!Y:Y,MATCH(Модель!B32,Исходник!B:B,0))</f>
        <v>25</v>
      </c>
      <c r="V32" s="99">
        <f>YEAR(A32)</f>
        <v>2017</v>
      </c>
      <c r="W32" s="89" t="str">
        <f>INDEX(Исходник!E:E,MATCH(Модель!B32,Исходник!B:B,0))</f>
        <v>Retail</v>
      </c>
      <c r="X32" s="90">
        <f>INDEX(Исходник!AP:AP,MATCH(Модель!B32,Исходник!B:B,0))</f>
        <v>2.9559186516649755E-2</v>
      </c>
      <c r="Y32" s="89">
        <f>INDEX(Исходник!F:F,MATCH(Модель!B32,Исходник!B:B,0))</f>
        <v>20939.439599999998</v>
      </c>
      <c r="Z32" s="89" t="str">
        <f>INDEX(Исходник!W:W,MATCH(Модель!B32,Исходник!B:B,0))</f>
        <v>Moscow Exchange</v>
      </c>
      <c r="AA32" s="99">
        <f>INDEX(Исходник!AO:AO,MATCH(Модель!B32,Исходник!B:B,0))</f>
        <v>3.2061292211594767</v>
      </c>
      <c r="AB32">
        <f>INDEX(Исходник!AR:AR,MATCH(Модель!B32,Исходник!B:B,0))</f>
        <v>0.71660004207868711</v>
      </c>
      <c r="AC32" s="179">
        <f>INDEX(Исходник!AM:AM,MATCH(Модель!B32,Исходник!B:B,0))</f>
        <v>8.4616146934460887E-2</v>
      </c>
    </row>
    <row r="33" spans="1:29" x14ac:dyDescent="0.25">
      <c r="A33" s="120">
        <v>42699</v>
      </c>
      <c r="B33" s="121" t="s">
        <v>134</v>
      </c>
      <c r="C33" s="121" t="s">
        <v>374</v>
      </c>
      <c r="D33" s="124">
        <v>13</v>
      </c>
      <c r="E33" s="123">
        <f>4/D33</f>
        <v>0.30769230769230771</v>
      </c>
      <c r="F33" s="124">
        <v>1</v>
      </c>
      <c r="G33" s="125">
        <f>(2016*D33-(1962+1972+1952+1939+1953+1971+1963+1968+1988+1958+1959+1951+1967))/D33</f>
        <v>54.230769230769234</v>
      </c>
      <c r="H33" s="126">
        <f>7/D33</f>
        <v>0.53846153846153844</v>
      </c>
      <c r="I33" s="160">
        <v>0</v>
      </c>
      <c r="J33" s="124">
        <v>0</v>
      </c>
      <c r="K33" s="119">
        <f>4+14+6+3+10+7+10+1</f>
        <v>55</v>
      </c>
      <c r="L33" s="117"/>
      <c r="M33" s="127">
        <f>(1+1+2+2+2+2+2+1+2+1+1+1)/D33</f>
        <v>1.3846153846153846</v>
      </c>
      <c r="N33" s="124">
        <v>2</v>
      </c>
      <c r="O33" s="123">
        <f>(7)/D33</f>
        <v>0.53846153846153844</v>
      </c>
      <c r="P33" s="206">
        <f>2/D33</f>
        <v>0.15384615384615385</v>
      </c>
      <c r="Q33" s="228">
        <f>INDEX(Исходник!$O:$O,MATCH(Модель!B33,Исходник!$B:$B,0))</f>
        <v>1.4545454545454639E-2</v>
      </c>
      <c r="R33" s="216">
        <f>(-INDEX([1]Databook_Dealogic!$P:$P,MATCH(Модель!B33,[1]Databook_Dealogic!$D:$D,0))+INDEX([1]Databook_Dealogic!$AF:$AF,MATCH(Модель!B33,[1]Databook_Dealogic!$D:$D,0)))/INDEX([1]Databook_Dealogic!$P:$P,MATCH(Модель!B33,[1]Databook_Dealogic!$D:$D,0))</f>
        <v>1.5999999999999917E-2</v>
      </c>
      <c r="S33" s="158">
        <f>INDEX(Исходник!Z:Z,MATCH(Модель!B33,Исходник!$B:$B,0))</f>
        <v>213862</v>
      </c>
      <c r="T33" s="89">
        <f>(INDEX(Исходник!AA:AA,MATCH(Модель!B33,Исходник!B:B,0)))/Модель!S33</f>
        <v>0.89417474820211162</v>
      </c>
      <c r="U33" s="89">
        <f>INDEX(Исходник!Y:Y,MATCH(Модель!B33,Исходник!B:B,0))</f>
        <v>14</v>
      </c>
      <c r="V33" s="99">
        <f>YEAR(A33)</f>
        <v>2016</v>
      </c>
      <c r="W33" s="89" t="str">
        <f>INDEX(Исходник!E:E,MATCH(Модель!B33,Исходник!B:B,0))</f>
        <v>Oil &amp; Gas</v>
      </c>
      <c r="X33" s="90">
        <f>INDEX(Исходник!AP:AP,MATCH(Модель!B33,Исходник!B:B,0))</f>
        <v>0</v>
      </c>
      <c r="Y33" s="89">
        <f>INDEX(Исходник!F:F,MATCH(Модель!B33,Исходник!B:B,0))</f>
        <v>31646.0298</v>
      </c>
      <c r="Z33" s="89" t="str">
        <f>INDEX(Исходник!W:W,MATCH(Модель!B33,Исходник!B:B,0))</f>
        <v>Moscow Exchange</v>
      </c>
      <c r="AA33" s="99">
        <f>INDEX(Исходник!AO:AO,MATCH(Модель!B33,Исходник!B:B,0))</f>
        <v>0</v>
      </c>
      <c r="AB33">
        <f>INDEX(Исходник!AR:AR,MATCH(Модель!B33,Исходник!B:B,0))</f>
        <v>0.312746229456007</v>
      </c>
      <c r="AC33" s="179">
        <f>INDEX(Исходник!AM:AM,MATCH(Модель!B33,Исходник!B:B,0))</f>
        <v>0</v>
      </c>
    </row>
    <row r="34" spans="1:29" x14ac:dyDescent="0.25">
      <c r="A34" s="144">
        <v>42353</v>
      </c>
      <c r="B34" s="96" t="s">
        <v>137</v>
      </c>
      <c r="C34" s="96" t="s">
        <v>375</v>
      </c>
      <c r="D34" s="96">
        <v>7</v>
      </c>
      <c r="E34" s="104">
        <f>2/D34</f>
        <v>0.2857142857142857</v>
      </c>
      <c r="F34" s="96">
        <v>1</v>
      </c>
      <c r="G34" s="135">
        <f>(2015*D34-(1973+1967+1986+1970+1982+1975+1969))/D34</f>
        <v>40.428571428571431</v>
      </c>
      <c r="H34" s="136">
        <f>3/D34</f>
        <v>0.42857142857142855</v>
      </c>
      <c r="I34" s="160">
        <v>0.14285714285714285</v>
      </c>
      <c r="J34" s="96">
        <v>1</v>
      </c>
      <c r="K34" s="93"/>
      <c r="L34" s="93"/>
      <c r="M34" s="137">
        <f>1</f>
        <v>1</v>
      </c>
      <c r="N34" s="96">
        <v>2</v>
      </c>
      <c r="O34" s="104">
        <f>1/D34</f>
        <v>0.14285714285714285</v>
      </c>
      <c r="P34" s="199">
        <f>1/D34</f>
        <v>0.14285714285714285</v>
      </c>
      <c r="Q34" s="228">
        <f>INDEX(Исходник!$O:$O,MATCH(Модель!B34,Исходник!$B:$B,0))</f>
        <v>-0.103515625</v>
      </c>
      <c r="R34" s="216">
        <f>(-INDEX([1]Databook_Dealogic!$P:$P,MATCH(Модель!B34,[1]Databook_Dealogic!$D:$D,0))+INDEX([1]Databook_Dealogic!$AF:$AF,MATCH(Модель!B34,[1]Databook_Dealogic!$D:$D,0)))/INDEX([1]Databook_Dealogic!$P:$P,MATCH(Модель!B34,[1]Databook_Dealogic!$D:$D,0))</f>
        <v>-0.3359375</v>
      </c>
      <c r="S34" s="158">
        <f>INDEX(Исходник!Z:Z,MATCH(Модель!B34,Исходник!$B:$B,0))</f>
        <v>3192.3389999999999</v>
      </c>
      <c r="T34" s="89">
        <f>(INDEX(Исходник!AA:AA,MATCH(Модель!B34,Исходник!B:B,0)))/Модель!S34</f>
        <v>0.27710152336578286</v>
      </c>
      <c r="U34" s="89">
        <f>INDEX(Исходник!Y:Y,MATCH(Модель!B34,Исходник!B:B,0))</f>
        <v>19</v>
      </c>
      <c r="V34" s="99">
        <f>YEAR(A34)</f>
        <v>2015</v>
      </c>
      <c r="W34" s="89" t="str">
        <f>INDEX(Исходник!E:E,MATCH(Модель!B34,Исходник!B:B,0))</f>
        <v>Transportation</v>
      </c>
      <c r="X34" s="90">
        <f>INDEX(Исходник!AP:AP,MATCH(Модель!B34,Исходник!B:B,0))</f>
        <v>0</v>
      </c>
      <c r="Y34" s="89">
        <f>INDEX(Исходник!F:F,MATCH(Модель!B34,Исходник!B:B,0))</f>
        <v>3667.6000000000004</v>
      </c>
      <c r="Z34" s="89" t="str">
        <f>INDEX(Исходник!W:W,MATCH(Модель!B34,Исходник!B:B,0))</f>
        <v>Moscow Exchange</v>
      </c>
      <c r="AA34" s="99">
        <f>INDEX(Исходник!AO:AO,MATCH(Модель!B34,Исходник!B:B,0))</f>
        <v>0</v>
      </c>
      <c r="AB34">
        <f>INDEX(Исходник!AR:AR,MATCH(Модель!B34,Исходник!B:B,0))</f>
        <v>2.0861542908330248</v>
      </c>
      <c r="AC34" s="179">
        <f>INDEX(Исходник!AM:AM,MATCH(Модель!B34,Исходник!B:B,0))</f>
        <v>0.55422676248991587</v>
      </c>
    </row>
    <row r="35" spans="1:29" x14ac:dyDescent="0.25">
      <c r="A35" s="129">
        <v>42124</v>
      </c>
      <c r="B35" s="124" t="s">
        <v>138</v>
      </c>
      <c r="C35" s="124" t="s">
        <v>376</v>
      </c>
      <c r="D35" s="124">
        <v>9</v>
      </c>
      <c r="E35" s="123">
        <f>3/D35</f>
        <v>0.33333333333333331</v>
      </c>
      <c r="F35" s="124">
        <v>1</v>
      </c>
      <c r="G35" s="115"/>
      <c r="H35" s="126">
        <f>6/D35</f>
        <v>0.66666666666666663</v>
      </c>
      <c r="I35" s="160">
        <v>0.1111111111111111</v>
      </c>
      <c r="J35" s="124">
        <v>0</v>
      </c>
      <c r="K35" s="117"/>
      <c r="L35" s="117"/>
      <c r="M35" s="127">
        <f>(3+7+5)/D35</f>
        <v>1.6666666666666667</v>
      </c>
      <c r="N35" s="124">
        <v>2</v>
      </c>
      <c r="O35" s="123">
        <f>3/D35</f>
        <v>0.33333333333333331</v>
      </c>
      <c r="P35" s="206">
        <v>0</v>
      </c>
      <c r="Q35" s="228">
        <f>INDEX(Исходник!$O:$O,MATCH(Модель!B35,Исходник!$B:$B,0))</f>
        <v>1.4285714285714235E-2</v>
      </c>
      <c r="R35" s="216">
        <f>(-INDEX([1]Databook_Dealogic!$P:$P,MATCH(Модель!B35,[1]Databook_Dealogic!$D:$D,0))+INDEX([1]Databook_Dealogic!$AF:$AF,MATCH(Модель!B35,[1]Databook_Dealogic!$D:$D,0)))/INDEX([1]Databook_Dealogic!$P:$P,MATCH(Модель!B35,[1]Databook_Dealogic!$D:$D,0))</f>
        <v>5.7142857142857141E-2</v>
      </c>
      <c r="S35" s="158">
        <f>INDEX(Исходник!Z:Z,MATCH(Модель!B35,Исходник!$B:$B,0))</f>
        <v>106474.175</v>
      </c>
      <c r="T35" s="89">
        <f>(INDEX(Исходник!AA:AA,MATCH(Модель!B35,Исходник!B:B,0)))/Модель!S35</f>
        <v>0.92899220867407517</v>
      </c>
      <c r="U35" s="89">
        <f>INDEX(Исходник!Y:Y,MATCH(Модель!B35,Исходник!B:B,0))</f>
        <v>3</v>
      </c>
      <c r="V35" s="99">
        <f>YEAR(A35)</f>
        <v>2015</v>
      </c>
      <c r="W35" s="89" t="str">
        <f>INDEX(Исходник!E:E,MATCH(Модель!B35,Исходник!B:B,0))</f>
        <v>Transportation</v>
      </c>
      <c r="X35" s="90">
        <f>INDEX(Исходник!AP:AP,MATCH(Модель!B35,Исходник!B:B,0))</f>
        <v>5.2348186778624958E-3</v>
      </c>
      <c r="Y35" s="89">
        <f>INDEX(Исходник!F:F,MATCH(Модель!B35,Исходник!B:B,0))</f>
        <v>6272.7174000000005</v>
      </c>
      <c r="Z35" s="89" t="str">
        <f>INDEX(Исходник!W:W,MATCH(Модель!B35,Исходник!B:B,0))</f>
        <v>Moscow Exchange</v>
      </c>
      <c r="AA35" s="99">
        <f>INDEX(Исходник!AO:AO,MATCH(Модель!B35,Исходник!B:B,0))</f>
        <v>8.7610783336244573</v>
      </c>
      <c r="AB35">
        <f>INDEX(Исходник!AR:AR,MATCH(Модель!B35,Исходник!B:B,0))</f>
        <v>1.1393657409049014</v>
      </c>
      <c r="AC35" s="179">
        <f>INDEX(Исходник!AM:AM,MATCH(Модель!B35,Исходник!B:B,0))</f>
        <v>0.58599961576994131</v>
      </c>
    </row>
    <row r="36" spans="1:29" x14ac:dyDescent="0.25">
      <c r="A36" s="138">
        <v>41698</v>
      </c>
      <c r="B36" s="139" t="s">
        <v>139</v>
      </c>
      <c r="C36" s="139" t="s">
        <v>377</v>
      </c>
      <c r="D36" s="119">
        <v>10</v>
      </c>
      <c r="E36" s="128">
        <f>3/D36</f>
        <v>0.3</v>
      </c>
      <c r="F36" s="119">
        <v>1</v>
      </c>
      <c r="G36" s="140">
        <f>(56+55+46+61+51+48+61+42+61+54)/D36</f>
        <v>53.5</v>
      </c>
      <c r="H36" s="141">
        <f>8/D36</f>
        <v>0.8</v>
      </c>
      <c r="I36" s="160">
        <v>0</v>
      </c>
      <c r="J36" s="119">
        <v>0</v>
      </c>
      <c r="K36" s="119">
        <f>7+4</f>
        <v>11</v>
      </c>
      <c r="L36" s="119">
        <v>0</v>
      </c>
      <c r="M36" s="142">
        <f>(6+8)/D36</f>
        <v>1.4</v>
      </c>
      <c r="N36" s="119">
        <v>4</v>
      </c>
      <c r="O36" s="128">
        <f>8/D36</f>
        <v>0.8</v>
      </c>
      <c r="P36" s="204">
        <f>8/D36</f>
        <v>0.8</v>
      </c>
      <c r="Q36" s="228">
        <f>INDEX(Исходник!$O:$O,MATCH(Модель!B36,Исходник!$B:$B,0))</f>
        <v>-1.5000000000000013E-2</v>
      </c>
      <c r="R36" s="216">
        <f>(-INDEX([1]Databook_Dealogic!$P:$P,MATCH(Модель!B36,[1]Databook_Dealogic!$D:$D,0))+INDEX([1]Databook_Dealogic!$AF:$AF,MATCH(Модель!B36,[1]Databook_Dealogic!$D:$D,0)))/INDEX([1]Databook_Dealogic!$P:$P,MATCH(Модель!B36,[1]Databook_Dealogic!$D:$D,0))</f>
        <v>-6.8475230304492887E-2</v>
      </c>
      <c r="S36" s="158">
        <f>INDEX(Исходник!Z:Z,MATCH(Модель!B36,Исходник!$B:$B,0))</f>
        <v>88108</v>
      </c>
      <c r="T36" s="89">
        <f>(INDEX(Исходник!AA:AA,MATCH(Модель!B36,Исходник!B:B,0)))/Модель!S36</f>
        <v>0.94623643709992278</v>
      </c>
      <c r="U36" s="89">
        <f>INDEX(Исходник!Y:Y,MATCH(Модель!B36,Исходник!B:B,0))</f>
        <v>21</v>
      </c>
      <c r="V36" s="99">
        <f>YEAR(A36)</f>
        <v>2014</v>
      </c>
      <c r="W36" s="89" t="str">
        <f>INDEX(Исходник!E:E,MATCH(Модель!B36,Исходник!B:B,0))</f>
        <v>Retail</v>
      </c>
      <c r="X36" s="90">
        <f>INDEX(Исходник!AP:AP,MATCH(Модель!B36,Исходник!B:B,0))</f>
        <v>9.9084794327588321E-2</v>
      </c>
      <c r="Y36" s="89">
        <f>INDEX(Исходник!F:F,MATCH(Модель!B36,Исходник!B:B,0))</f>
        <v>31071.8662</v>
      </c>
      <c r="Z36" s="89" t="str">
        <f>INDEX(Исходник!W:W,MATCH(Модель!B36,Исходник!B:B,0))</f>
        <v>London Stock Exchange; Moscow Interbank Currency Exchange (MICEX)</v>
      </c>
      <c r="AA36" s="99">
        <f>INDEX(Исходник!AO:AO,MATCH(Модель!B36,Исходник!B:B,0))</f>
        <v>2.4824555936428796</v>
      </c>
      <c r="AB36">
        <f>INDEX(Исходник!AR:AR,MATCH(Модель!B36,Исходник!B:B,0))</f>
        <v>0.74701526735968737</v>
      </c>
      <c r="AC36" s="179">
        <f>INDEX(Исходник!AM:AM,MATCH(Модель!B36,Исходник!B:B,0))</f>
        <v>0.11121816644254363</v>
      </c>
    </row>
    <row r="37" spans="1:29" x14ac:dyDescent="0.25">
      <c r="A37" s="105">
        <v>41575</v>
      </c>
      <c r="B37" s="87" t="s">
        <v>141</v>
      </c>
      <c r="C37" s="87" t="s">
        <v>378</v>
      </c>
      <c r="D37" s="89">
        <v>13</v>
      </c>
      <c r="E37" s="90">
        <f>3/D37</f>
        <v>0.23076923076923078</v>
      </c>
      <c r="F37" s="89">
        <v>1</v>
      </c>
      <c r="G37" s="102">
        <f>(2013*D37-(1966+1971+1971+1942+1950+1962+1956+1981+1973+1967+1968+1951+1960))/D37</f>
        <v>50.07692307692308</v>
      </c>
      <c r="H37" s="103">
        <f>(1+1+1+1+1+1+1)/D37</f>
        <v>0.53846153846153844</v>
      </c>
      <c r="I37" s="160">
        <v>7.6923076923076927E-2</v>
      </c>
      <c r="J37" s="89">
        <v>0</v>
      </c>
      <c r="K37" s="96">
        <f>2+5+1+4+2</f>
        <v>14</v>
      </c>
      <c r="L37" s="96">
        <f>3+3+4+3+2</f>
        <v>15</v>
      </c>
      <c r="M37" s="99">
        <f>(2+1+2+1+2+1+1+1+2+1+1+2+2)/D37</f>
        <v>1.4615384615384615</v>
      </c>
      <c r="N37" s="89">
        <v>3</v>
      </c>
      <c r="O37" s="90">
        <f>1/D37</f>
        <v>7.6923076923076927E-2</v>
      </c>
      <c r="P37" s="203">
        <v>0</v>
      </c>
      <c r="Q37" s="228">
        <f>INDEX(Исходник!$O:$O,MATCH(Модель!B37,Исходник!$B:$B,0))</f>
        <v>7.1428571428571175E-3</v>
      </c>
      <c r="R37" s="216">
        <f>(-INDEX([1]Databook_Dealogic!$P:$P,MATCH(Модель!B37,[1]Databook_Dealogic!$D:$D,0))+INDEX([1]Databook_Dealogic!$AF:$AF,MATCH(Модель!B37,[1]Databook_Dealogic!$D:$D,0)))/INDEX([1]Databook_Dealogic!$P:$P,MATCH(Модель!B37,[1]Databook_Dealogic!$D:$D,0))</f>
        <v>-2.5714285714285672E-2</v>
      </c>
      <c r="S37" s="158">
        <f>INDEX(Исходник!Z:Z,MATCH(Модель!B37,Исходник!$B:$B,0))</f>
        <v>304709</v>
      </c>
      <c r="T37" s="89">
        <f>(INDEX(Исходник!AA:AA,MATCH(Модель!B37,Исходник!B:B,0)))/Модель!S37</f>
        <v>0.54760443570751105</v>
      </c>
      <c r="U37" s="89">
        <f>INDEX(Исходник!Y:Y,MATCH(Модель!B37,Исходник!B:B,0))</f>
        <v>21</v>
      </c>
      <c r="V37" s="99">
        <f>YEAR(A37)</f>
        <v>2013</v>
      </c>
      <c r="W37" s="89" t="str">
        <f>INDEX(Исходник!E:E,MATCH(Модель!B37,Исходник!B:B,0))</f>
        <v>Mining</v>
      </c>
      <c r="X37" s="90">
        <f>INDEX(Исходник!AP:AP,MATCH(Модель!B37,Исходник!B:B,0))</f>
        <v>0.12327529491105479</v>
      </c>
      <c r="Y37" s="89">
        <f>INDEX(Исходник!F:F,MATCH(Модель!B37,Исходник!B:B,0))</f>
        <v>41355.47</v>
      </c>
      <c r="Z37" s="89" t="str">
        <f>INDEX(Исходник!W:W,MATCH(Модель!B37,Исходник!B:B,0))</f>
        <v>Moscow Interbank Currency Exchange (MICEX)</v>
      </c>
      <c r="AA37" s="99">
        <f>INDEX(Исходник!AO:AO,MATCH(Модель!B37,Исходник!B:B,0))</f>
        <v>1.9097274605621331</v>
      </c>
      <c r="AB37">
        <f>INDEX(Исходник!AR:AR,MATCH(Модель!B37,Исходник!B:B,0))</f>
        <v>1.2876288659793815</v>
      </c>
      <c r="AC37" s="179">
        <f>INDEX(Исходник!AM:AM,MATCH(Модель!B37,Исходник!B:B,0))</f>
        <v>0.40417550371155886</v>
      </c>
    </row>
    <row r="38" spans="1:29" x14ac:dyDescent="0.25">
      <c r="A38" s="133">
        <v>41396</v>
      </c>
      <c r="B38" s="134" t="s">
        <v>145</v>
      </c>
      <c r="C38" s="134" t="s">
        <v>380</v>
      </c>
      <c r="D38" s="96">
        <v>16</v>
      </c>
      <c r="E38" s="104">
        <f>3/D38</f>
        <v>0.1875</v>
      </c>
      <c r="F38" s="96">
        <v>1</v>
      </c>
      <c r="G38" s="135">
        <f>(34+40+39+43+39+38+50+54+49+52+47+40+37+52+38+34)/D38</f>
        <v>42.875</v>
      </c>
      <c r="H38" s="136">
        <f>10/D38</f>
        <v>0.625</v>
      </c>
      <c r="I38" s="160">
        <v>0.125</v>
      </c>
      <c r="J38" s="96">
        <v>0</v>
      </c>
      <c r="K38" s="96">
        <f>1+1</f>
        <v>2</v>
      </c>
      <c r="L38" s="96">
        <f>1+2+3</f>
        <v>6</v>
      </c>
      <c r="M38" s="137">
        <f>(10+8)/D38</f>
        <v>1.125</v>
      </c>
      <c r="N38" s="96">
        <v>4</v>
      </c>
      <c r="O38" s="136">
        <f>10/D38</f>
        <v>0.625</v>
      </c>
      <c r="P38" s="199">
        <f>3/D38</f>
        <v>0.1875</v>
      </c>
      <c r="Q38" s="228">
        <f>INDEX(Исходник!$O:$O,MATCH(Модель!B38,Исходник!$B:$B,0))</f>
        <v>4.7058823529411153E-3</v>
      </c>
      <c r="R38" s="216">
        <f>(-INDEX([1]Databook_Dealogic!$P:$P,MATCH(Модель!B38,[1]Databook_Dealogic!$D:$D,0))+INDEX([1]Databook_Dealogic!$AF:$AF,MATCH(Модель!B38,[1]Databook_Dealogic!$D:$D,0)))/INDEX([1]Databook_Dealogic!$P:$P,MATCH(Модель!B38,[1]Databook_Dealogic!$D:$D,0))</f>
        <v>1.828264164608033E-2</v>
      </c>
      <c r="S38" s="158">
        <f>INDEX(Исходник!Z:Z,MATCH(Модель!B38,Исходник!$B:$B,0))</f>
        <v>18709</v>
      </c>
      <c r="T38" s="89">
        <f>(INDEX(Исходник!AA:AA,MATCH(Модель!B38,Исходник!B:B,0)))/Модель!S38</f>
        <v>0.86642792239029343</v>
      </c>
      <c r="U38" s="89">
        <f>INDEX(Исходник!Y:Y,MATCH(Модель!B38,Исходник!B:B,0))</f>
        <v>6</v>
      </c>
      <c r="V38" s="99">
        <f>YEAR(A38)</f>
        <v>2013</v>
      </c>
      <c r="W38" s="89" t="str">
        <f>INDEX(Исходник!E:E,MATCH(Модель!B38,Исходник!B:B,0))</f>
        <v>Computers &amp; Electronics</v>
      </c>
      <c r="X38" s="90">
        <f>INDEX(Исходник!AP:AP,MATCH(Модель!B38,Исходник!B:B,0))</f>
        <v>4.7508452153461708E-2</v>
      </c>
      <c r="Y38" s="89">
        <f>INDEX(Исходник!F:F,MATCH(Модель!B38,Исходник!B:B,0))</f>
        <v>7085.4889999999996</v>
      </c>
      <c r="Z38" s="89" t="str">
        <f>INDEX(Исходник!W:W,MATCH(Модель!B38,Исходник!B:B,0))</f>
        <v>NASDAQ-US</v>
      </c>
      <c r="AA38" s="99">
        <f>INDEX(Исходник!AO:AO,MATCH(Модель!B38,Исходник!B:B,0))</f>
        <v>-2.3694634204845286</v>
      </c>
      <c r="AB38">
        <f>INDEX(Исходник!AR:AR,MATCH(Модель!B38,Исходник!B:B,0))</f>
        <v>0.97037342434006435</v>
      </c>
      <c r="AC38" s="179">
        <f>INDEX(Исходник!AM:AM,MATCH(Модель!B38,Исходник!B:B,0))</f>
        <v>0.46784872629334529</v>
      </c>
    </row>
    <row r="39" spans="1:29" x14ac:dyDescent="0.25">
      <c r="A39" s="88">
        <v>41269</v>
      </c>
      <c r="B39" s="89" t="s">
        <v>147</v>
      </c>
      <c r="C39" s="89" t="s">
        <v>382</v>
      </c>
      <c r="D39" s="89">
        <v>5</v>
      </c>
      <c r="E39" s="90">
        <v>0</v>
      </c>
      <c r="F39" s="89">
        <v>0</v>
      </c>
      <c r="G39" s="102">
        <f>(2012*D39-(1974+1976+1946+1979+1976))/D39</f>
        <v>41.8</v>
      </c>
      <c r="H39" s="92"/>
      <c r="I39" s="160">
        <v>0</v>
      </c>
      <c r="J39" s="89">
        <v>0</v>
      </c>
      <c r="K39" s="89">
        <v>0</v>
      </c>
      <c r="L39" s="89">
        <v>0</v>
      </c>
      <c r="M39" s="137">
        <v>1</v>
      </c>
      <c r="N39" s="89">
        <v>0</v>
      </c>
      <c r="O39" s="95"/>
      <c r="P39" s="203">
        <v>0</v>
      </c>
      <c r="Q39" s="228">
        <f>INDEX(Исходник!$O:$O,MATCH(Модель!B39,Исходник!$B:$B,0))</f>
        <v>0.12244897959183665</v>
      </c>
      <c r="R39" s="216">
        <f>(-INDEX([1]Databook_Dealogic!$P:$P,MATCH(Модель!B39,[1]Databook_Dealogic!$D:$D,0))+INDEX([1]Databook_Dealogic!$AF:$AF,MATCH(Модель!B39,[1]Databook_Dealogic!$D:$D,0)))/INDEX([1]Databook_Dealogic!$P:$P,MATCH(Модель!B39,[1]Databook_Dealogic!$D:$D,0))</f>
        <v>-1.5306122448979626E-2</v>
      </c>
      <c r="S39" s="158">
        <f>INDEX(Исходник!Z:Z,MATCH(Модель!B39,Исходник!$B:$B,0))</f>
        <v>231.50299999999999</v>
      </c>
      <c r="T39" s="89">
        <f>(INDEX(Исходник!AA:AA,MATCH(Модель!B39,Исходник!B:B,0)))/Модель!S39</f>
        <v>0.2102348565677335</v>
      </c>
      <c r="U39" s="89">
        <f>INDEX(Исходник!Y:Y,MATCH(Модель!B39,Исходник!B:B,0))</f>
        <v>0</v>
      </c>
      <c r="V39" s="99">
        <f>YEAR(A39)</f>
        <v>2012</v>
      </c>
      <c r="W39" s="89" t="str">
        <f>INDEX(Исходник!E:E,MATCH(Модель!B39,Исходник!B:B,0))</f>
        <v>Professional Services</v>
      </c>
      <c r="X39" s="90">
        <f>INDEX(Исходник!AP:AP,MATCH(Модель!B39,Исходник!B:B,0))</f>
        <v>9.9330108680253396E-2</v>
      </c>
      <c r="Y39" s="89">
        <f>INDEX(Исходник!F:F,MATCH(Модель!B39,Исходник!B:B,0))</f>
        <v>94.633499999999998</v>
      </c>
      <c r="Z39" s="89" t="str">
        <f>INDEX(Исходник!W:W,MATCH(Модель!B39,Исходник!B:B,0))</f>
        <v>Moscow Exchange</v>
      </c>
      <c r="AA39" s="99">
        <f>INDEX(Исходник!AO:AO,MATCH(Модель!B39,Исходник!B:B,0))</f>
        <v>0</v>
      </c>
      <c r="AB39">
        <f>INDEX(Исходник!AR:AR,MATCH(Модель!B39,Исходник!B:B,0))</f>
        <v>2.8944685399494334</v>
      </c>
      <c r="AC39" s="179">
        <f>INDEX(Исходник!AM:AM,MATCH(Модель!B39,Исходник!B:B,0))</f>
        <v>0</v>
      </c>
    </row>
    <row r="40" spans="1:29" x14ac:dyDescent="0.25">
      <c r="A40" s="88">
        <v>41241</v>
      </c>
      <c r="B40" s="89" t="s">
        <v>149</v>
      </c>
      <c r="C40" s="89" t="s">
        <v>383</v>
      </c>
      <c r="D40" s="89">
        <v>8</v>
      </c>
      <c r="E40" s="90">
        <f>2/D40</f>
        <v>0.25</v>
      </c>
      <c r="F40" s="89">
        <v>1</v>
      </c>
      <c r="G40" s="91"/>
      <c r="H40" s="103">
        <f>(4)/D40</f>
        <v>0.5</v>
      </c>
      <c r="I40" s="160">
        <v>0.125</v>
      </c>
      <c r="J40" s="89">
        <v>0</v>
      </c>
      <c r="K40" s="89">
        <f>3+5+2+5+1+1</f>
        <v>17</v>
      </c>
      <c r="L40" s="89">
        <f>2+1+1</f>
        <v>4</v>
      </c>
      <c r="M40" s="99">
        <v>1</v>
      </c>
      <c r="N40" s="89">
        <v>3</v>
      </c>
      <c r="O40" s="90">
        <f>(4)/D40</f>
        <v>0.5</v>
      </c>
      <c r="P40" s="203">
        <f>6/D40</f>
        <v>0.75</v>
      </c>
      <c r="Q40" s="228">
        <f>INDEX(Исходник!$O:$O,MATCH(Модель!B40,Исходник!$B:$B,0))</f>
        <v>-1.9999999999999907E-2</v>
      </c>
      <c r="R40" s="216">
        <f>(-INDEX([1]Databook_Dealogic!$P:$P,MATCH(Модель!B40,[1]Databook_Dealogic!$D:$D,0))+INDEX([1]Databook_Dealogic!$AF:$AF,MATCH(Модель!B40,[1]Databook_Dealogic!$D:$D,0)))/INDEX([1]Databook_Dealogic!$P:$P,MATCH(Модель!B40,[1]Databook_Dealogic!$D:$D,0))</f>
        <v>0.15752367408939594</v>
      </c>
      <c r="S40" s="158">
        <f>INDEX(Исходник!Z:Z,MATCH(Модель!B40,Исходник!$B:$B,0))</f>
        <v>383468</v>
      </c>
      <c r="T40" s="89">
        <f>(INDEX(Исходник!AA:AA,MATCH(Модель!B40,Исходник!B:B,0)))/Модель!S40</f>
        <v>0.27860473364139904</v>
      </c>
      <c r="U40" s="89">
        <f>INDEX(Исходник!Y:Y,MATCH(Модель!B40,Исходник!B:B,0))</f>
        <v>19</v>
      </c>
      <c r="V40" s="99">
        <f>YEAR(A40)</f>
        <v>2012</v>
      </c>
      <c r="W40" s="89" t="str">
        <f>INDEX(Исходник!E:E,MATCH(Модель!B40,Исходник!B:B,0))</f>
        <v>Telecommunications</v>
      </c>
      <c r="X40" s="90">
        <f>INDEX(Исходник!AP:AP,MATCH(Модель!B40,Исходник!B:B,0))</f>
        <v>0.1243624587158581</v>
      </c>
      <c r="Y40" s="89">
        <f>INDEX(Исходник!F:F,MATCH(Модель!B40,Исходник!B:B,0))</f>
        <v>51515.415000000001</v>
      </c>
      <c r="Z40" s="89" t="str">
        <f>INDEX(Исходник!W:W,MATCH(Модель!B40,Исходник!B:B,0))</f>
        <v>London Stock Exchange; Moscow Interbank Currency Exchange (MICEX)</v>
      </c>
      <c r="AA40" s="99">
        <f>INDEX(Исходник!AO:AO,MATCH(Модель!B40,Исходник!B:B,0))</f>
        <v>-0.45316498383289361</v>
      </c>
      <c r="AB40">
        <f>INDEX(Исходник!AR:AR,MATCH(Модель!B40,Исходник!B:B,0))</f>
        <v>2.4071598663278171</v>
      </c>
      <c r="AC40" s="179">
        <f>INDEX(Исходник!AM:AM,MATCH(Модель!B40,Исходник!B:B,0))</f>
        <v>0.41557574358636151</v>
      </c>
    </row>
    <row r="41" spans="1:29" x14ac:dyDescent="0.25">
      <c r="A41" s="120">
        <v>40926</v>
      </c>
      <c r="B41" s="121" t="s">
        <v>155</v>
      </c>
      <c r="C41" s="121" t="s">
        <v>384</v>
      </c>
      <c r="D41" s="124">
        <v>9</v>
      </c>
      <c r="E41" s="123">
        <f>5/D41</f>
        <v>0.55555555555555558</v>
      </c>
      <c r="F41" s="124">
        <v>1</v>
      </c>
      <c r="G41" s="125">
        <f>(69+50+41+38+71+39+58+63+52)/D41</f>
        <v>53.444444444444443</v>
      </c>
      <c r="H41" s="126">
        <f>4/D41</f>
        <v>0.44444444444444442</v>
      </c>
      <c r="I41" s="160">
        <v>0</v>
      </c>
      <c r="J41" s="124">
        <v>1</v>
      </c>
      <c r="K41" s="124">
        <f>7+9+12+7+7</f>
        <v>42</v>
      </c>
      <c r="L41" s="124">
        <f>7+18</f>
        <v>25</v>
      </c>
      <c r="M41" s="127">
        <f>(5+10)/D41</f>
        <v>1.6666666666666667</v>
      </c>
      <c r="N41" s="124">
        <v>3</v>
      </c>
      <c r="O41" s="123">
        <f>3/D41</f>
        <v>0.33333333333333331</v>
      </c>
      <c r="P41" s="206">
        <f>8/D41</f>
        <v>0.88888888888888884</v>
      </c>
      <c r="Q41" s="228">
        <f>INDEX(Исходник!$O:$O,MATCH(Модель!B41,Исходник!$B:$B,0))</f>
        <v>-5.2238805970149294E-2</v>
      </c>
      <c r="R41" s="216">
        <f>(-INDEX([1]Databook_Dealogic!$P:$P,MATCH(Модель!B41,[1]Databook_Dealogic!$D:$D,0))+INDEX([1]Databook_Dealogic!$AF:$AF,MATCH(Модель!B41,[1]Databook_Dealogic!$D:$D,0)))/INDEX([1]Databook_Dealogic!$P:$P,MATCH(Модель!B41,[1]Databook_Dealogic!$D:$D,0))</f>
        <v>9.2910296742661561E-2</v>
      </c>
      <c r="S41" s="158">
        <f>INDEX(Исходник!Z:Z,MATCH(Модель!B41,Исходник!$B:$B,0))</f>
        <v>16722.893552514055</v>
      </c>
      <c r="T41" s="89">
        <f>(INDEX(Исходник!AA:AA,MATCH(Модель!B41,Исходник!B:B,0)))/Модель!S41</f>
        <v>0.9509045992879458</v>
      </c>
      <c r="U41" s="89">
        <f>INDEX(Исходник!Y:Y,MATCH(Модель!B41,Исходник!B:B,0))</f>
        <v>5</v>
      </c>
      <c r="V41" s="99">
        <f>YEAR(A41)</f>
        <v>2012</v>
      </c>
      <c r="W41" s="89" t="str">
        <f>INDEX(Исходник!E:E,MATCH(Модель!B41,Исходник!B:B,0))</f>
        <v>Oil &amp; Gas</v>
      </c>
      <c r="X41" s="90">
        <f>INDEX(Исходник!AP:AP,MATCH(Модель!B41,Исходник!B:B,0))</f>
        <v>0</v>
      </c>
      <c r="Y41" s="89">
        <f>INDEX(Исходник!F:F,MATCH(Модель!B41,Исходник!B:B,0))</f>
        <v>7294.768</v>
      </c>
      <c r="Z41" s="89" t="str">
        <f>INDEX(Исходник!W:W,MATCH(Модель!B41,Исходник!B:B,0))</f>
        <v>London Stock Exchange</v>
      </c>
      <c r="AA41" s="99">
        <f>INDEX(Исходник!AO:AO,MATCH(Модель!B41,Исходник!B:B,0))</f>
        <v>0</v>
      </c>
      <c r="AB41">
        <f>INDEX(Исходник!AR:AR,MATCH(Модель!B41,Исходник!B:B,0))</f>
        <v>0.41207854112913805</v>
      </c>
      <c r="AC41" s="179">
        <f>INDEX(Исходник!AM:AM,MATCH(Модель!B41,Исходник!B:B,0))</f>
        <v>0</v>
      </c>
    </row>
    <row r="42" spans="1:29" x14ac:dyDescent="0.25">
      <c r="A42" s="105">
        <v>40737</v>
      </c>
      <c r="B42" s="87" t="s">
        <v>158</v>
      </c>
      <c r="C42" s="87" t="s">
        <v>386</v>
      </c>
      <c r="D42" s="89">
        <v>7</v>
      </c>
      <c r="E42" s="90">
        <f>3/D42</f>
        <v>0.42857142857142855</v>
      </c>
      <c r="F42" s="89">
        <v>1</v>
      </c>
      <c r="G42" s="102">
        <f>(2011*D42-(1966+1961+1953+1955+1963+1972+1962))/D42</f>
        <v>49.285714285714285</v>
      </c>
      <c r="H42" s="103">
        <f>4/D42</f>
        <v>0.5714285714285714</v>
      </c>
      <c r="I42" s="160">
        <v>0</v>
      </c>
      <c r="J42" s="89">
        <v>1</v>
      </c>
      <c r="K42" s="89">
        <f>3</f>
        <v>3</v>
      </c>
      <c r="L42" s="89">
        <v>0</v>
      </c>
      <c r="M42" s="99">
        <f>9/D42</f>
        <v>1.2857142857142858</v>
      </c>
      <c r="N42" s="89">
        <v>4</v>
      </c>
      <c r="O42" s="90">
        <f>3/D42</f>
        <v>0.42857142857142855</v>
      </c>
      <c r="P42" s="203">
        <f>2/D42</f>
        <v>0.2857142857142857</v>
      </c>
      <c r="Q42" s="228">
        <f>INDEX(Исходник!$O:$O,MATCH(Модель!B42,Исходник!$B:$B,0))</f>
        <v>0</v>
      </c>
      <c r="R42" s="216">
        <f>(-INDEX([1]Databook_Dealogic!$P:$P,MATCH(Модель!B42,[1]Databook_Dealogic!$D:$D,0))+INDEX([1]Databook_Dealogic!$AF:$AF,MATCH(Модель!B42,[1]Databook_Dealogic!$D:$D,0)))/INDEX([1]Databook_Dealogic!$P:$P,MATCH(Модель!B42,[1]Databook_Dealogic!$D:$D,0))</f>
        <v>-0.24217385172464528</v>
      </c>
      <c r="S42" s="158">
        <f>INDEX(Исходник!Z:Z,MATCH(Модель!B42,Исходник!$B:$B,0))</f>
        <v>95945</v>
      </c>
      <c r="T42" s="89">
        <f>(INDEX(Исходник!AA:AA,MATCH(Модель!B42,Исходник!B:B,0)))/Модель!S42</f>
        <v>0.23571838032205952</v>
      </c>
      <c r="U42" s="89">
        <f>INDEX(Исходник!Y:Y,MATCH(Модель!B42,Исходник!B:B,0))</f>
        <v>10</v>
      </c>
      <c r="V42" s="99">
        <f>YEAR(A42)</f>
        <v>2011</v>
      </c>
      <c r="W42" s="89" t="str">
        <f>INDEX(Исходник!E:E,MATCH(Модель!B42,Исходник!B:B,0))</f>
        <v>Chemicals</v>
      </c>
      <c r="X42" s="90">
        <f>INDEX(Исходник!AP:AP,MATCH(Модель!B42,Исходник!B:B,0))</f>
        <v>0.13541678440237356</v>
      </c>
      <c r="Y42" s="89">
        <f>INDEX(Исходник!F:F,MATCH(Модель!B42,Исходник!B:B,0))</f>
        <v>16744.792000000001</v>
      </c>
      <c r="Z42" s="89" t="str">
        <f>INDEX(Исходник!W:W,MATCH(Модель!B42,Исходник!B:B,0))</f>
        <v>London Stock Exchange; Moscow Interbank Currency Exchange (MICEX); Russian Trading System</v>
      </c>
      <c r="AA42" s="99">
        <f>INDEX(Исходник!AO:AO,MATCH(Модель!B42,Исходник!B:B,0))</f>
        <v>0.17938819390148553</v>
      </c>
      <c r="AB42">
        <f>INDEX(Исходник!AR:AR,MATCH(Модель!B42,Исходник!B:B,0))</f>
        <v>2.067664824572677</v>
      </c>
      <c r="AC42" s="179">
        <f>INDEX(Исходник!AM:AM,MATCH(Модель!B42,Исходник!B:B,0))</f>
        <v>0.26593546542605034</v>
      </c>
    </row>
    <row r="43" spans="1:29" x14ac:dyDescent="0.25">
      <c r="A43" s="88">
        <v>40718</v>
      </c>
      <c r="B43" s="89" t="s">
        <v>162</v>
      </c>
      <c r="C43" s="89" t="s">
        <v>387</v>
      </c>
      <c r="D43" s="89">
        <v>11</v>
      </c>
      <c r="E43" s="90">
        <f>2/D43</f>
        <v>0.18181818181818182</v>
      </c>
      <c r="F43" s="89">
        <v>1</v>
      </c>
      <c r="G43" s="91"/>
      <c r="H43" s="103">
        <f>5/D43</f>
        <v>0.45454545454545453</v>
      </c>
      <c r="I43" s="160">
        <v>0.18181818181818182</v>
      </c>
      <c r="J43" s="89">
        <v>0</v>
      </c>
      <c r="K43" s="89">
        <f>4+2+1</f>
        <v>7</v>
      </c>
      <c r="L43" s="89">
        <f>10</f>
        <v>10</v>
      </c>
      <c r="M43" s="99">
        <f>(10+5)/D43</f>
        <v>1.3636363636363635</v>
      </c>
      <c r="N43" s="89">
        <v>3</v>
      </c>
      <c r="O43" s="90">
        <f>5/D43</f>
        <v>0.45454545454545453</v>
      </c>
      <c r="P43" s="203">
        <f>5/D43</f>
        <v>0.45454545454545453</v>
      </c>
      <c r="Q43" s="228">
        <f>INDEX(Исходник!$O:$O,MATCH(Модель!B43,Исходник!$B:$B,0))</f>
        <v>7.9999999999999849E-2</v>
      </c>
      <c r="R43" s="216">
        <f>(-INDEX([1]Databook_Dealogic!$P:$P,MATCH(Модель!B43,[1]Databook_Dealogic!$D:$D,0))+INDEX([1]Databook_Dealogic!$AF:$AF,MATCH(Модель!B43,[1]Databook_Dealogic!$D:$D,0)))/INDEX([1]Databook_Dealogic!$P:$P,MATCH(Модель!B43,[1]Databook_Dealogic!$D:$D,0))</f>
        <v>0.12948218138442957</v>
      </c>
      <c r="S43" s="158">
        <f>INDEX(Исходник!Z:Z,MATCH(Модель!B43,Исходник!$B:$B,0))</f>
        <v>36391.855969357428</v>
      </c>
      <c r="T43" s="89">
        <f>(INDEX(Исходник!AA:AA,MATCH(Модель!B43,Исходник!B:B,0)))/Модель!S43</f>
        <v>0.30105882598443268</v>
      </c>
      <c r="U43" s="89">
        <f>INDEX(Исходник!Y:Y,MATCH(Модель!B43,Исходник!B:B,0))</f>
        <v>3</v>
      </c>
      <c r="V43" s="99">
        <f>YEAR(A43)</f>
        <v>2011</v>
      </c>
      <c r="W43" s="89" t="str">
        <f>INDEX(Исходник!E:E,MATCH(Модель!B43,Исходник!B:B,0))</f>
        <v>Transportation</v>
      </c>
      <c r="X43" s="90">
        <f>INDEX(Исходник!AP:AP,MATCH(Модель!B43,Исходник!B:B,0))</f>
        <v>9.9778216593088234E-2</v>
      </c>
      <c r="Y43" s="89">
        <f>INDEX(Исходник!F:F,MATCH(Модель!B43,Исходник!B:B,0))</f>
        <v>16574.896800000002</v>
      </c>
      <c r="Z43" s="89" t="str">
        <f>INDEX(Исходник!W:W,MATCH(Модель!B43,Исходник!B:B,0))</f>
        <v>London Stock Exchange</v>
      </c>
      <c r="AA43" s="99">
        <f>INDEX(Исходник!AO:AO,MATCH(Модель!B43,Исходник!B:B,0))</f>
        <v>0.77118652272837307</v>
      </c>
      <c r="AB43">
        <f>INDEX(Исходник!AR:AR,MATCH(Модель!B43,Исходник!B:B,0))</f>
        <v>1.4103033264765714</v>
      </c>
      <c r="AC43" s="179">
        <f>INDEX(Исходник!AM:AM,MATCH(Модель!B43,Исходник!B:B,0))</f>
        <v>0.54014125202320906</v>
      </c>
    </row>
    <row r="44" spans="1:29" x14ac:dyDescent="0.25">
      <c r="A44" s="105">
        <v>40686</v>
      </c>
      <c r="B44" s="87" t="s">
        <v>164</v>
      </c>
      <c r="C44" s="87" t="s">
        <v>388</v>
      </c>
      <c r="D44" s="89">
        <v>8</v>
      </c>
      <c r="E44" s="90">
        <f>5/D44</f>
        <v>0.625</v>
      </c>
      <c r="F44" s="89">
        <v>1</v>
      </c>
      <c r="G44" s="102">
        <f>(85+48+47+46+60+45+44+55)/D44</f>
        <v>53.75</v>
      </c>
      <c r="H44" s="103">
        <f>4/D44</f>
        <v>0.5</v>
      </c>
      <c r="I44" s="160">
        <v>0.25</v>
      </c>
      <c r="J44" s="89">
        <v>0</v>
      </c>
      <c r="K44" s="89">
        <f>2+1+5+3+4+1</f>
        <v>16</v>
      </c>
      <c r="L44" s="89">
        <f>2+1</f>
        <v>3</v>
      </c>
      <c r="M44" s="99">
        <f>10/D44</f>
        <v>1.25</v>
      </c>
      <c r="N44" s="89">
        <v>3</v>
      </c>
      <c r="O44" s="90">
        <f>2/D44</f>
        <v>0.25</v>
      </c>
      <c r="P44" s="203">
        <f>4/D44</f>
        <v>0.5</v>
      </c>
      <c r="Q44" s="228">
        <f>INDEX(Исходник!$O:$O,MATCH(Модель!B44,Исходник!$B:$B,0))</f>
        <v>0.55360000000000009</v>
      </c>
      <c r="R44" s="216">
        <f>(-INDEX([1]Databook_Dealogic!$P:$P,MATCH(Модель!B44,[1]Databook_Dealogic!$D:$D,0))+INDEX([1]Databook_Dealogic!$AF:$AF,MATCH(Модель!B44,[1]Databook_Dealogic!$D:$D,0)))/INDEX([1]Databook_Dealogic!$P:$P,MATCH(Модель!B44,[1]Databook_Dealogic!$D:$D,0))</f>
        <v>0.12428092092556117</v>
      </c>
      <c r="S44" s="158">
        <f>INDEX(Исходник!Z:Z,MATCH(Модель!B44,Исходник!$B:$B,0))</f>
        <v>12617</v>
      </c>
      <c r="T44" s="89">
        <f>(INDEX(Исходник!AA:AA,MATCH(Модель!B44,Исходник!B:B,0)))/Модель!S44</f>
        <v>0.23793294761036696</v>
      </c>
      <c r="U44" s="89">
        <f>INDEX(Исходник!Y:Y,MATCH(Модель!B44,Исходник!B:B,0))</f>
        <v>11</v>
      </c>
      <c r="V44" s="99">
        <f>YEAR(A44)</f>
        <v>2011</v>
      </c>
      <c r="W44" s="89" t="str">
        <f>INDEX(Исходник!E:E,MATCH(Модель!B44,Исходник!B:B,0))</f>
        <v>Computers &amp; Electronics</v>
      </c>
      <c r="X44" s="90">
        <f>INDEX(Исходник!AP:AP,MATCH(Модель!B44,Исходник!B:B,0))</f>
        <v>0.36243650002373828</v>
      </c>
      <c r="Y44" s="89">
        <f>INDEX(Исходник!F:F,MATCH(Модель!B44,Исходник!B:B,0))</f>
        <v>40508.040999999997</v>
      </c>
      <c r="Z44" s="89" t="str">
        <f>INDEX(Исходник!W:W,MATCH(Модель!B44,Исходник!B:B,0))</f>
        <v>NASDAQ-US</v>
      </c>
      <c r="AA44" s="99">
        <f>INDEX(Исходник!AO:AO,MATCH(Модель!B44,Исходник!B:B,0))</f>
        <v>0</v>
      </c>
      <c r="AB44">
        <f>INDEX(Исходник!AR:AR,MATCH(Модель!B44,Исходник!B:B,0))</f>
        <v>2.7902621722846441</v>
      </c>
      <c r="AC44" s="179">
        <f>INDEX(Исходник!AM:AM,MATCH(Модель!B44,Исходник!B:B,0))</f>
        <v>0</v>
      </c>
    </row>
    <row r="45" spans="1:29" x14ac:dyDescent="0.25">
      <c r="A45" s="88">
        <v>40648</v>
      </c>
      <c r="B45" s="89" t="s">
        <v>167</v>
      </c>
      <c r="C45" s="89" t="s">
        <v>389</v>
      </c>
      <c r="D45" s="89">
        <v>10</v>
      </c>
      <c r="E45" s="90">
        <f>2/D45</f>
        <v>0.2</v>
      </c>
      <c r="F45" s="89">
        <v>1</v>
      </c>
      <c r="G45" s="91"/>
      <c r="H45" s="103">
        <f>5/D45</f>
        <v>0.5</v>
      </c>
      <c r="I45" s="160">
        <v>0</v>
      </c>
      <c r="J45" s="89">
        <v>0</v>
      </c>
      <c r="K45" s="89">
        <v>8</v>
      </c>
      <c r="L45" s="89">
        <v>0</v>
      </c>
      <c r="M45" s="99">
        <f>(6+7+1)/D45</f>
        <v>1.4</v>
      </c>
      <c r="N45" s="89">
        <v>3</v>
      </c>
      <c r="O45" s="90">
        <f>7/D45</f>
        <v>0.7</v>
      </c>
      <c r="P45" s="203">
        <f>3/D45</f>
        <v>0.3</v>
      </c>
      <c r="Q45" s="228">
        <f>INDEX(Исходник!$O:$O,MATCH(Модель!B45,Исходник!$B:$B,0))</f>
        <v>-4.9999999999999933E-2</v>
      </c>
      <c r="R45" s="216">
        <f>(-INDEX([1]Databook_Dealogic!$P:$P,MATCH(Модель!B45,[1]Databook_Dealogic!$D:$D,0))+INDEX([1]Databook_Dealogic!$AF:$AF,MATCH(Модель!B45,[1]Databook_Dealogic!$D:$D,0)))/INDEX([1]Databook_Dealogic!$P:$P,MATCH(Модель!B45,[1]Databook_Dealogic!$D:$D,0))</f>
        <v>-4.7307498167952496E-2</v>
      </c>
      <c r="S45" s="158">
        <f>INDEX(Исходник!Z:Z,MATCH(Модель!B45,Исходник!$B:$B,0))</f>
        <v>36549</v>
      </c>
      <c r="T45" s="89">
        <f>(INDEX(Исходник!AA:AA,MATCH(Модель!B45,Исходник!B:B,0)))/Модель!S45</f>
        <v>0.65613286273222249</v>
      </c>
      <c r="U45" s="89">
        <f>INDEX(Исходник!Y:Y,MATCH(Модель!B45,Исходник!B:B,0))</f>
        <v>24</v>
      </c>
      <c r="V45" s="99">
        <f>YEAR(A45)</f>
        <v>2011</v>
      </c>
      <c r="W45" s="89" t="str">
        <f>INDEX(Исходник!E:E,MATCH(Модель!B45,Исходник!B:B,0))</f>
        <v>Real Estate/Property</v>
      </c>
      <c r="X45" s="90">
        <f>INDEX(Исходник!AP:AP,MATCH(Модель!B45,Исходник!B:B,0))</f>
        <v>0.1262831739189007</v>
      </c>
      <c r="Y45" s="89">
        <f>INDEX(Исходник!F:F,MATCH(Модель!B45,Исходник!B:B,0))</f>
        <v>18025.502500000002</v>
      </c>
      <c r="Z45" s="89" t="str">
        <f>INDEX(Исходник!W:W,MATCH(Модель!B45,Исходник!B:B,0))</f>
        <v>London Stock Exchange</v>
      </c>
      <c r="AA45" s="99">
        <f>INDEX(Исходник!AO:AO,MATCH(Модель!B45,Исходник!B:B,0))</f>
        <v>0.60978433926762199</v>
      </c>
      <c r="AB45">
        <f>INDEX(Исходник!AR:AR,MATCH(Модель!B45,Исходник!B:B,0))</f>
        <v>1.9914777771201988</v>
      </c>
      <c r="AC45" s="179">
        <f>INDEX(Исходник!AM:AM,MATCH(Модель!B45,Исходник!B:B,0))</f>
        <v>0.34007678676904901</v>
      </c>
    </row>
    <row r="46" spans="1:29" x14ac:dyDescent="0.25">
      <c r="A46" s="120">
        <v>40641</v>
      </c>
      <c r="B46" s="121" t="s">
        <v>170</v>
      </c>
      <c r="C46" s="121" t="s">
        <v>390</v>
      </c>
      <c r="D46" s="124">
        <v>5</v>
      </c>
      <c r="E46" s="123">
        <f>2/D46</f>
        <v>0.4</v>
      </c>
      <c r="F46" s="124">
        <v>1</v>
      </c>
      <c r="G46" s="125">
        <f>(2011*D46-(1975+1977+1948+1962+1971))/D46</f>
        <v>44.4</v>
      </c>
      <c r="H46" s="126">
        <f>2/D46</f>
        <v>0.4</v>
      </c>
      <c r="I46" s="160">
        <v>0.4</v>
      </c>
      <c r="J46" s="124">
        <v>1</v>
      </c>
      <c r="K46" s="124">
        <f>1</f>
        <v>1</v>
      </c>
      <c r="L46" s="124">
        <v>0</v>
      </c>
      <c r="M46" s="127">
        <f>1</f>
        <v>1</v>
      </c>
      <c r="N46" s="124">
        <v>1</v>
      </c>
      <c r="O46" s="123">
        <v>0</v>
      </c>
      <c r="P46" s="206">
        <f>2/D46</f>
        <v>0.4</v>
      </c>
      <c r="Q46" s="228">
        <f>INDEX(Исходник!$O:$O,MATCH(Модель!B46,Исходник!$B:$B,0))</f>
        <v>4.3333333333333446E-2</v>
      </c>
      <c r="R46" s="216">
        <f>(-INDEX([1]Databook_Dealogic!$P:$P,MATCH(Модель!B46,[1]Databook_Dealogic!$D:$D,0))+INDEX([1]Databook_Dealogic!$AF:$AF,MATCH(Модель!B46,[1]Databook_Dealogic!$D:$D,0)))/INDEX([1]Databook_Dealogic!$P:$P,MATCH(Модель!B46,[1]Databook_Dealogic!$D:$D,0))</f>
        <v>-2.0018704434509652E-2</v>
      </c>
      <c r="S46" s="158">
        <f>INDEX(Исходник!Z:Z,MATCH(Модель!B46,Исходник!$B:$B,0))</f>
        <v>39097.642999999996</v>
      </c>
      <c r="T46" s="89">
        <f>(INDEX(Исходник!AA:AA,MATCH(Модель!B46,Исходник!B:B,0)))/Модель!S46</f>
        <v>0.5859370346186854</v>
      </c>
      <c r="U46" s="89">
        <f>INDEX(Исходник!Y:Y,MATCH(Модель!B46,Исходник!B:B,0))</f>
        <v>16</v>
      </c>
      <c r="V46" s="99">
        <f>YEAR(A46)</f>
        <v>2011</v>
      </c>
      <c r="W46" s="89" t="str">
        <f>INDEX(Исходник!E:E,MATCH(Модель!B46,Исходник!B:B,0))</f>
        <v>Food &amp; Beverage</v>
      </c>
      <c r="X46" s="90">
        <f>INDEX(Исходник!AP:AP,MATCH(Модель!B46,Исходник!B:B,0))</f>
        <v>0.15853933445430921</v>
      </c>
      <c r="Y46" s="89">
        <f>INDEX(Исходник!F:F,MATCH(Модель!B46,Исходник!B:B,0))</f>
        <v>11551.0875</v>
      </c>
      <c r="Z46" s="89" t="str">
        <f>INDEX(Исходник!W:W,MATCH(Модель!B46,Исходник!B:B,0))</f>
        <v>London Stock Exchange</v>
      </c>
      <c r="AA46" s="99">
        <f>INDEX(Исходник!AO:AO,MATCH(Модель!B46,Исходник!B:B,0))</f>
        <v>1.8122786752043465</v>
      </c>
      <c r="AB46">
        <f>INDEX(Исходник!AR:AR,MATCH(Модель!B46,Исходник!B:B,0))</f>
        <v>1.7385732789270614</v>
      </c>
      <c r="AC46" s="179">
        <f>INDEX(Исходник!AM:AM,MATCH(Модель!B46,Исходник!B:B,0))</f>
        <v>0.25572064183685433</v>
      </c>
    </row>
    <row r="47" spans="1:29" x14ac:dyDescent="0.25">
      <c r="A47" s="144">
        <v>40522</v>
      </c>
      <c r="B47" s="96" t="s">
        <v>176</v>
      </c>
      <c r="C47" s="96" t="s">
        <v>391</v>
      </c>
      <c r="D47" s="96">
        <v>9</v>
      </c>
      <c r="E47" s="95"/>
      <c r="F47" s="93"/>
      <c r="G47" s="91"/>
      <c r="H47" s="92"/>
      <c r="I47" s="160">
        <v>0.22222222222222221</v>
      </c>
      <c r="J47" s="93"/>
      <c r="K47" s="96">
        <f>5+7+3+7+5+2</f>
        <v>29</v>
      </c>
      <c r="L47" s="93"/>
      <c r="M47" s="94"/>
      <c r="N47" s="93"/>
      <c r="O47" s="95"/>
      <c r="P47" s="199">
        <v>0</v>
      </c>
      <c r="Q47" s="228">
        <f>INDEX(Исходник!$O:$O,MATCH(Модель!B47,Исходник!$B:$B,0))</f>
        <v>0.16799999999999993</v>
      </c>
      <c r="R47" s="216">
        <f>(-INDEX([1]Databook_Dealogic!$P:$P,MATCH(Модель!B47,[1]Databook_Dealogic!$D:$D,0))+INDEX([1]Databook_Dealogic!$AF:$AF,MATCH(Модель!B47,[1]Databook_Dealogic!$D:$D,0)))/INDEX([1]Databook_Dealogic!$P:$P,MATCH(Модель!B47,[1]Databook_Dealogic!$D:$D,0))</f>
        <v>0.36801278116134289</v>
      </c>
      <c r="S47" s="158">
        <f>INDEX(Исходник!Z:Z,MATCH(Модель!B47,Исходник!$B:$B,0))</f>
        <v>24927</v>
      </c>
      <c r="T47" s="89">
        <f>(INDEX(Исходник!AA:AA,MATCH(Модель!B47,Исходник!B:B,0)))/Модель!S47</f>
        <v>0.62883620170899024</v>
      </c>
      <c r="U47" s="89">
        <f>INDEX(Исходник!Y:Y,MATCH(Модель!B47,Исходник!B:B,0))</f>
        <v>18</v>
      </c>
      <c r="V47" s="99">
        <f>YEAR(A47)</f>
        <v>2010</v>
      </c>
      <c r="W47" s="89" t="str">
        <f>INDEX(Исходник!E:E,MATCH(Модель!B47,Исходник!B:B,0))</f>
        <v>Construction/Building</v>
      </c>
      <c r="X47" s="90">
        <f>INDEX(Исходник!AP:AP,MATCH(Модель!B47,Исходник!B:B,0))</f>
        <v>0.10492384559593843</v>
      </c>
      <c r="Y47" s="89">
        <f>INDEX(Исходник!F:F,MATCH(Модель!B47,Исходник!B:B,0))</f>
        <v>11940.234400000001</v>
      </c>
      <c r="Z47" s="89" t="str">
        <f>INDEX(Исходник!W:W,MATCH(Модель!B47,Исходник!B:B,0))</f>
        <v>Russian Trading System</v>
      </c>
      <c r="AA47" s="99">
        <f>INDEX(Исходник!AO:AO,MATCH(Модель!B47,Исходник!B:B,0))</f>
        <v>0.2491240364400841</v>
      </c>
      <c r="AB47">
        <f>INDEX(Исходник!AR:AR,MATCH(Модель!B47,Исходник!B:B,0))</f>
        <v>0.93202170963364994</v>
      </c>
      <c r="AC47" s="179">
        <f>INDEX(Исходник!AM:AM,MATCH(Модель!B47,Исходник!B:B,0))</f>
        <v>0.17621634971597924</v>
      </c>
    </row>
    <row r="48" spans="1:29" x14ac:dyDescent="0.25">
      <c r="A48" s="105">
        <v>40500</v>
      </c>
      <c r="B48" s="87" t="s">
        <v>180</v>
      </c>
      <c r="C48" s="87" t="s">
        <v>392</v>
      </c>
      <c r="D48" s="96">
        <v>7</v>
      </c>
      <c r="E48" s="104">
        <f>1/D48</f>
        <v>0.14285714285714285</v>
      </c>
      <c r="F48" s="96">
        <v>1</v>
      </c>
      <c r="G48" s="102">
        <f>(2010*D48-(1968+1971+1969+1979+1962+1962+1949))/D48</f>
        <v>44.285714285714285</v>
      </c>
      <c r="H48" s="103">
        <f>2/D48</f>
        <v>0.2857142857142857</v>
      </c>
      <c r="I48" s="160">
        <v>0</v>
      </c>
      <c r="J48" s="89">
        <v>0</v>
      </c>
      <c r="K48" s="89">
        <v>20</v>
      </c>
      <c r="L48" s="89">
        <v>0</v>
      </c>
      <c r="M48" s="99">
        <f>11/D48</f>
        <v>1.5714285714285714</v>
      </c>
      <c r="N48" s="89">
        <v>2</v>
      </c>
      <c r="O48" s="90">
        <f>3/D48</f>
        <v>0.42857142857142855</v>
      </c>
      <c r="P48" s="203">
        <f>5/D48</f>
        <v>0.7142857142857143</v>
      </c>
      <c r="Q48" s="228">
        <f>INDEX(Исходник!$O:$O,MATCH(Модель!B48,Исходник!$B:$B,0))</f>
        <v>2.083333333333437E-3</v>
      </c>
      <c r="R48" s="216">
        <f>(-INDEX([1]Databook_Dealogic!$P:$P,MATCH(Модель!B48,[1]Databook_Dealogic!$D:$D,0))+INDEX([1]Databook_Dealogic!$AF:$AF,MATCH(Модель!B48,[1]Databook_Dealogic!$D:$D,0)))/INDEX([1]Databook_Dealogic!$P:$P,MATCH(Модель!B48,[1]Databook_Dealogic!$D:$D,0))</f>
        <v>-4.1666666666667256E-3</v>
      </c>
      <c r="S48" s="158">
        <f>INDEX(Исходник!Z:Z,MATCH(Модель!B48,Исходник!$B:$B,0))</f>
        <v>375.18099999999998</v>
      </c>
      <c r="T48" s="89">
        <f>(INDEX(Исходник!AA:AA,MATCH(Модель!B48,Исходник!B:B,0)))/Модель!S48</f>
        <v>0.27922789267047105</v>
      </c>
      <c r="U48" s="89">
        <f>INDEX(Исходник!Y:Y,MATCH(Модель!B48,Исходник!B:B,0))</f>
        <v>13</v>
      </c>
      <c r="V48" s="99">
        <f>YEAR(A48)</f>
        <v>2010</v>
      </c>
      <c r="W48" s="89" t="str">
        <f>INDEX(Исходник!E:E,MATCH(Модель!B48,Исходник!B:B,0))</f>
        <v>Healthcare</v>
      </c>
      <c r="X48" s="90">
        <f>INDEX(Исходник!AP:AP,MATCH(Модель!B48,Исходник!B:B,0))</f>
        <v>3.742993381861022E-2</v>
      </c>
      <c r="Y48" s="89">
        <f>INDEX(Исходник!F:F,MATCH(Модель!B48,Исходник!B:B,0))</f>
        <v>527</v>
      </c>
      <c r="Z48" s="89" t="str">
        <f>INDEX(Исходник!W:W,MATCH(Модель!B48,Исходник!B:B,0))</f>
        <v>Moscow Interbank Currency Exchange (MICEX)</v>
      </c>
      <c r="AA48" s="99">
        <f>INDEX(Исходник!AO:AO,MATCH(Модель!B48,Исходник!B:B,0))</f>
        <v>-2.883369330453564E-2</v>
      </c>
      <c r="AB48">
        <f>INDEX(Исходник!AR:AR,MATCH(Модель!B48,Исходник!B:B,0))</f>
        <v>1.4924512184587626</v>
      </c>
      <c r="AC48" s="179">
        <f>INDEX(Исходник!AM:AM,MATCH(Модель!B48,Исходник!B:B,0))</f>
        <v>4.0543262200194399E-2</v>
      </c>
    </row>
    <row r="49" spans="1:29" x14ac:dyDescent="0.25">
      <c r="A49" s="105">
        <v>40491</v>
      </c>
      <c r="B49" s="87" t="s">
        <v>181</v>
      </c>
      <c r="C49" s="87" t="s">
        <v>393</v>
      </c>
      <c r="D49" s="96">
        <v>9</v>
      </c>
      <c r="E49" s="90">
        <f>2/D49</f>
        <v>0.22222222222222221</v>
      </c>
      <c r="F49" s="89">
        <v>1</v>
      </c>
      <c r="G49" s="102">
        <f>(2010*D49-(1969+1962+1961+1973+1965+1971+1949+1972+1968))/D49</f>
        <v>44.444444444444443</v>
      </c>
      <c r="H49" s="103">
        <f>6/D49</f>
        <v>0.66666666666666663</v>
      </c>
      <c r="I49" s="160">
        <v>0.22222222222222221</v>
      </c>
      <c r="J49" s="89">
        <v>0</v>
      </c>
      <c r="K49" s="89">
        <v>3</v>
      </c>
      <c r="L49" s="89">
        <v>0</v>
      </c>
      <c r="M49" s="99">
        <f>11/D49</f>
        <v>1.2222222222222223</v>
      </c>
      <c r="N49" s="89">
        <v>3</v>
      </c>
      <c r="O49" s="90">
        <f>2/D49</f>
        <v>0.22222222222222221</v>
      </c>
      <c r="P49" s="203">
        <f>1/D49</f>
        <v>0.1111111111111111</v>
      </c>
      <c r="Q49" s="228">
        <f>INDEX(Исходник!$O:$O,MATCH(Модель!B49,Исходник!$B:$B,0))</f>
        <v>-3.125E-2</v>
      </c>
      <c r="R49" s="216">
        <f>(-INDEX([1]Databook_Dealogic!$P:$P,MATCH(Модель!B49,[1]Databook_Dealogic!$D:$D,0))+INDEX([1]Databook_Dealogic!$AF:$AF,MATCH(Модель!B49,[1]Databook_Dealogic!$D:$D,0)))/INDEX([1]Databook_Dealogic!$P:$P,MATCH(Модель!B49,[1]Databook_Dealogic!$D:$D,0))</f>
        <v>0.1917879485373129</v>
      </c>
      <c r="S49" s="158">
        <f>INDEX(Исходник!Z:Z,MATCH(Модель!B49,Исходник!$B:$B,0))</f>
        <v>25713</v>
      </c>
      <c r="T49" s="89">
        <f>(INDEX(Исходник!AA:AA,MATCH(Модель!B49,Исходник!B:B,0)))/Модель!S49</f>
        <v>0.28273635904017425</v>
      </c>
      <c r="U49" s="89">
        <f>INDEX(Исходник!Y:Y,MATCH(Модель!B49,Исходник!B:B,0))</f>
        <v>7</v>
      </c>
      <c r="V49" s="99">
        <f>YEAR(A49)</f>
        <v>2010</v>
      </c>
      <c r="W49" s="89" t="str">
        <f>INDEX(Исходник!E:E,MATCH(Модель!B49,Исходник!B:B,0))</f>
        <v>Transportation</v>
      </c>
      <c r="X49" s="90">
        <f>INDEX(Исходник!AP:AP,MATCH(Модель!B49,Исходник!B:B,0))</f>
        <v>2.1511266936927065E-2</v>
      </c>
      <c r="Y49" s="89">
        <f>INDEX(Исходник!F:F,MATCH(Модель!B49,Исходник!B:B,0))</f>
        <v>12444.960000000001</v>
      </c>
      <c r="Z49" s="89" t="str">
        <f>INDEX(Исходник!W:W,MATCH(Модель!B49,Исходник!B:B,0))</f>
        <v>London Stock Exchange; Moscow Interbank Currency Exchange (MICEX); Russian Trading System</v>
      </c>
      <c r="AA49" s="99">
        <f>INDEX(Исходник!AO:AO,MATCH(Модель!B49,Исходник!B:B,0))</f>
        <v>1.5473126419379257</v>
      </c>
      <c r="AB49">
        <f>INDEX(Исходник!AR:AR,MATCH(Модель!B49,Исходник!B:B,0))</f>
        <v>0.66088328075709779</v>
      </c>
      <c r="AC49" s="179">
        <f>INDEX(Исходник!AM:AM,MATCH(Модель!B49,Исходник!B:B,0))</f>
        <v>0.24164634146341463</v>
      </c>
    </row>
    <row r="50" spans="1:29" x14ac:dyDescent="0.25">
      <c r="A50" s="105">
        <v>40487</v>
      </c>
      <c r="B50" s="87" t="s">
        <v>183</v>
      </c>
      <c r="C50" s="87" t="s">
        <v>394</v>
      </c>
      <c r="D50" s="96">
        <v>10</v>
      </c>
      <c r="E50" s="90">
        <f>2/D50</f>
        <v>0.2</v>
      </c>
      <c r="F50" s="89">
        <v>1</v>
      </c>
      <c r="G50" s="102">
        <f>(49+45+40+36+47+39+41+49+41+34)/D50</f>
        <v>42.1</v>
      </c>
      <c r="H50" s="103">
        <f>4/D50</f>
        <v>0.4</v>
      </c>
      <c r="I50" s="160">
        <v>0</v>
      </c>
      <c r="J50" s="89">
        <v>0</v>
      </c>
      <c r="K50" s="89">
        <v>6</v>
      </c>
      <c r="L50" s="89">
        <v>0</v>
      </c>
      <c r="M50" s="99">
        <f>12/D50</f>
        <v>1.2</v>
      </c>
      <c r="N50" s="89">
        <v>2</v>
      </c>
      <c r="O50" s="90">
        <f>3/D50</f>
        <v>0.3</v>
      </c>
      <c r="P50" s="203">
        <f>7/D50</f>
        <v>0.7</v>
      </c>
      <c r="Q50" s="228">
        <f>INDEX(Исходник!$O:$O,MATCH(Модель!B50,Исходник!$B:$B,0))</f>
        <v>0.29963898916967513</v>
      </c>
      <c r="R50" s="216">
        <f>(-INDEX([1]Databook_Dealogic!$P:$P,MATCH(Модель!B50,[1]Databook_Dealogic!$D:$D,0))+INDEX([1]Databook_Dealogic!$AF:$AF,MATCH(Модель!B50,[1]Databook_Dealogic!$D:$D,0)))/INDEX([1]Databook_Dealogic!$P:$P,MATCH(Модель!B50,[1]Databook_Dealogic!$D:$D,0))</f>
        <v>0.444447212204442</v>
      </c>
      <c r="S50" s="158">
        <f>INDEX(Исходник!Z:Z,MATCH(Модель!B50,Исходник!$B:$B,0))</f>
        <v>53521.769324488349</v>
      </c>
      <c r="T50" s="89">
        <f>(INDEX(Исходник!AA:AA,MATCH(Модель!B50,Исходник!B:B,0)))/Модель!S50</f>
        <v>0.1235668426884865</v>
      </c>
      <c r="U50" s="89">
        <f>INDEX(Исходник!Y:Y,MATCH(Модель!B50,Исходник!B:B,0))</f>
        <v>5</v>
      </c>
      <c r="V50" s="99">
        <f>YEAR(A50)</f>
        <v>2010</v>
      </c>
      <c r="W50" s="89" t="str">
        <f>INDEX(Исходник!E:E,MATCH(Модель!B50,Исходник!B:B,0))</f>
        <v>Computers &amp; Electronics</v>
      </c>
      <c r="X50" s="90">
        <f>INDEX(Исходник!AP:AP,MATCH(Модель!B50,Исходник!B:B,0))</f>
        <v>0.12382956955959792</v>
      </c>
      <c r="Y50" s="89">
        <f>INDEX(Исходник!F:F,MATCH(Модель!B50,Исходник!B:B,0))</f>
        <v>30988.688000000002</v>
      </c>
      <c r="Z50" s="89" t="str">
        <f>INDEX(Исходник!W:W,MATCH(Модель!B50,Исходник!B:B,0))</f>
        <v>London Stock Exchange</v>
      </c>
      <c r="AA50" s="99">
        <f>INDEX(Исходник!AO:AO,MATCH(Модель!B50,Исходник!B:B,0))</f>
        <v>0</v>
      </c>
      <c r="AB50">
        <f>INDEX(Исходник!AR:AR,MATCH(Модель!B50,Исходник!B:B,0))</f>
        <v>3.4719452664115953</v>
      </c>
      <c r="AC50" s="179">
        <f>INDEX(Исходник!AM:AM,MATCH(Модель!B50,Исходник!B:B,0))</f>
        <v>0</v>
      </c>
    </row>
    <row r="51" spans="1:29" x14ac:dyDescent="0.25">
      <c r="A51" s="88">
        <v>40484</v>
      </c>
      <c r="B51" s="89" t="s">
        <v>186</v>
      </c>
      <c r="C51" s="89" t="s">
        <v>395</v>
      </c>
      <c r="D51" s="96">
        <v>5</v>
      </c>
      <c r="E51" s="90">
        <f>2/D51</f>
        <v>0.4</v>
      </c>
      <c r="F51" s="89">
        <v>1</v>
      </c>
      <c r="G51" s="91"/>
      <c r="H51" s="103">
        <f>2/D51</f>
        <v>0.4</v>
      </c>
      <c r="I51" s="160">
        <v>0</v>
      </c>
      <c r="J51" s="89">
        <v>1</v>
      </c>
      <c r="K51" s="89">
        <v>2</v>
      </c>
      <c r="L51" s="89">
        <v>2</v>
      </c>
      <c r="M51" s="99">
        <v>1</v>
      </c>
      <c r="N51" s="89">
        <v>2</v>
      </c>
      <c r="O51" s="90" t="e">
        <f>3/#REF!</f>
        <v>#REF!</v>
      </c>
      <c r="P51" s="203">
        <f>2/D51</f>
        <v>0.4</v>
      </c>
      <c r="Q51" s="228">
        <f>INDEX(Исходник!$O:$O,MATCH(Модель!B51,Исходник!$B:$B,0))</f>
        <v>-2.2727272727272707E-2</v>
      </c>
      <c r="R51" s="216">
        <f>(-INDEX([1]Databook_Dealogic!$P:$P,MATCH(Модель!B51,[1]Databook_Dealogic!$D:$D,0))+INDEX([1]Databook_Dealogic!$AF:$AF,MATCH(Модель!B51,[1]Databook_Dealogic!$D:$D,0)))/INDEX([1]Databook_Dealogic!$P:$P,MATCH(Модель!B51,[1]Databook_Dealogic!$D:$D,0))</f>
        <v>0.20799777142185308</v>
      </c>
      <c r="S51" s="158">
        <f>INDEX(Исходник!Z:Z,MATCH(Модель!B51,Исходник!$B:$B,0))</f>
        <v>33946</v>
      </c>
      <c r="T51" s="89">
        <f>(INDEX(Исходник!AA:AA,MATCH(Модель!B51,Исходник!B:B,0)))/Модель!S51</f>
        <v>0.78978377422965884</v>
      </c>
      <c r="U51" s="89">
        <f>INDEX(Исходник!Y:Y,MATCH(Модель!B51,Исходник!B:B,0))</f>
        <v>9</v>
      </c>
      <c r="V51" s="99">
        <f>YEAR(A51)</f>
        <v>2010</v>
      </c>
      <c r="W51" s="89" t="str">
        <f>INDEX(Исходник!E:E,MATCH(Модель!B51,Исходник!B:B,0))</f>
        <v>Retail</v>
      </c>
      <c r="X51" s="90">
        <f>INDEX(Исходник!AP:AP,MATCH(Модель!B51,Исходник!B:B,0))</f>
        <v>2.1682980499279157E-2</v>
      </c>
      <c r="Y51" s="89">
        <f>INDEX(Исходник!F:F,MATCH(Модель!B51,Исходник!B:B,0))</f>
        <v>12449.749600000001</v>
      </c>
      <c r="Z51" s="89" t="str">
        <f>INDEX(Исходник!W:W,MATCH(Модель!B51,Исходник!B:B,0))</f>
        <v>London Stock Exchange</v>
      </c>
      <c r="AA51" s="99">
        <f>INDEX(Исходник!AO:AO,MATCH(Модель!B51,Исходник!B:B,0))</f>
        <v>2.375</v>
      </c>
      <c r="AB51">
        <f>INDEX(Исходник!AR:AR,MATCH(Модель!B51,Исходник!B:B,0))</f>
        <v>0.46308223116733754</v>
      </c>
      <c r="AC51" s="179">
        <f>INDEX(Исходник!AM:AM,MATCH(Модель!B51,Исходник!B:B,0))</f>
        <v>8.6866841500427255E-2</v>
      </c>
    </row>
    <row r="52" spans="1:29" x14ac:dyDescent="0.25">
      <c r="A52" s="133">
        <v>40464</v>
      </c>
      <c r="B52" s="134" t="s">
        <v>189</v>
      </c>
      <c r="C52" s="134" t="s">
        <v>396</v>
      </c>
      <c r="D52" s="96">
        <v>7</v>
      </c>
      <c r="E52" s="104">
        <f>3/D52</f>
        <v>0.42857142857142855</v>
      </c>
      <c r="F52" s="96">
        <v>1</v>
      </c>
      <c r="G52" s="135">
        <f>(36+35+41+53+63+51+63)/D52</f>
        <v>48.857142857142854</v>
      </c>
      <c r="H52" s="136">
        <f>1/D52</f>
        <v>0.14285714285714285</v>
      </c>
      <c r="I52" s="160">
        <v>0</v>
      </c>
      <c r="J52" s="96">
        <v>0</v>
      </c>
      <c r="K52" s="96">
        <v>3</v>
      </c>
      <c r="L52" s="96">
        <v>0</v>
      </c>
      <c r="M52" s="137">
        <f>9/D52</f>
        <v>1.2857142857142858</v>
      </c>
      <c r="N52" s="96">
        <v>5</v>
      </c>
      <c r="O52" s="104">
        <f>1/D52</f>
        <v>0.14285714285714285</v>
      </c>
      <c r="P52" s="199">
        <f>5/D52</f>
        <v>0.7142857142857143</v>
      </c>
      <c r="Q52" s="228">
        <f>INDEX(Исходник!$O:$O,MATCH(Модель!B52,Исходник!$B:$B,0))</f>
        <v>-8.333333333333337E-2</v>
      </c>
      <c r="R52" s="216">
        <f>(6.0565570142-7.19262)/7.19262</f>
        <v>-0.15794842293906808</v>
      </c>
      <c r="S52" s="158">
        <f>INDEX(Исходник!Z:Z,MATCH(Модель!B52,Исходник!$B:$B,0))</f>
        <v>28173.002123955019</v>
      </c>
      <c r="T52" s="89">
        <f>(INDEX(Исходник!AA:AA,MATCH(Модель!B52,Исходник!B:B,0)))/Модель!S52</f>
        <v>0.32420532052720419</v>
      </c>
      <c r="U52" s="89">
        <f>INDEX(Исходник!Y:Y,MATCH(Модель!B52,Исходник!B:B,0))</f>
        <v>0</v>
      </c>
      <c r="V52" s="99">
        <f>YEAR(A52)</f>
        <v>2010</v>
      </c>
      <c r="W52" s="89" t="str">
        <f>INDEX(Исходник!E:E,MATCH(Модель!B52,Исходник!B:B,0))</f>
        <v>Mining</v>
      </c>
      <c r="X52" s="90">
        <f>INDEX(Исходник!AP:AP,MATCH(Модель!B52,Исходник!B:B,0))</f>
        <v>0</v>
      </c>
      <c r="Y52" s="89">
        <f>INDEX(Исходник!F:F,MATCH(Модель!B52,Исходник!B:B,0))</f>
        <v>6999.7003999999997</v>
      </c>
      <c r="Z52" s="89" t="str">
        <f>INDEX(Исходник!W:W,MATCH(Модель!B52,Исходник!B:B,0))</f>
        <v>Hong Kong Exchange-Main Board</v>
      </c>
      <c r="AA52" s="99">
        <f>INDEX(Исходник!AO:AO,MATCH(Модель!B52,Исходник!B:B,0))</f>
        <v>0</v>
      </c>
      <c r="AB52">
        <f>INDEX(Исходник!AR:AR,MATCH(Модель!B52,Исходник!B:B,0))</f>
        <v>23.160549462482354</v>
      </c>
      <c r="AC52" s="179">
        <f>INDEX(Исходник!AM:AM,MATCH(Модель!B52,Исходник!B:B,0))</f>
        <v>0</v>
      </c>
    </row>
    <row r="53" spans="1:29" x14ac:dyDescent="0.25">
      <c r="A53" s="133">
        <v>40366</v>
      </c>
      <c r="B53" s="134" t="s">
        <v>192</v>
      </c>
      <c r="C53" s="134" t="s">
        <v>397</v>
      </c>
      <c r="D53" s="96">
        <v>5</v>
      </c>
      <c r="E53" s="104">
        <v>0</v>
      </c>
      <c r="F53" s="96">
        <v>0</v>
      </c>
      <c r="G53" s="135">
        <f>(2010*D53-(1981+1981+1980+1963+1977))/D53</f>
        <v>33.6</v>
      </c>
      <c r="H53" s="136">
        <f>4/D53</f>
        <v>0.8</v>
      </c>
      <c r="I53" s="160">
        <v>0</v>
      </c>
      <c r="J53" s="96">
        <v>0</v>
      </c>
      <c r="K53" s="96">
        <v>3</v>
      </c>
      <c r="L53" s="96">
        <f>1</f>
        <v>1</v>
      </c>
      <c r="M53" s="137">
        <f>8/D53</f>
        <v>1.6</v>
      </c>
      <c r="N53" s="96">
        <v>0</v>
      </c>
      <c r="O53" s="104">
        <f>1/D53</f>
        <v>0.2</v>
      </c>
      <c r="P53" s="199">
        <v>0</v>
      </c>
      <c r="Q53" s="228">
        <f>INDEX(Исходник!$O:$O,MATCH(Модель!B53,Исходник!$B:$B,0))</f>
        <v>-3.9892056787516061E-3</v>
      </c>
      <c r="R53" s="216">
        <f>(-INDEX([1]Databook_Dealogic!$P:$P,MATCH(Модель!B53,[1]Databook_Dealogic!$D:$D,0))+INDEX([1]Databook_Dealogic!$AF:$AF,MATCH(Модель!B53,[1]Databook_Dealogic!$D:$D,0)))/INDEX([1]Databook_Dealogic!$P:$P,MATCH(Модель!B53,[1]Databook_Dealogic!$D:$D,0))</f>
        <v>7.0397747272089959E-4</v>
      </c>
      <c r="S53" s="158">
        <f>INDEX(Исходник!Z:Z,MATCH(Модель!B53,Исходник!$B:$B,0))</f>
        <v>291.89600000000002</v>
      </c>
      <c r="T53" s="89">
        <f>(INDEX(Исходник!AA:AA,MATCH(Модель!B53,Исходник!B:B,0)))/Модель!S53</f>
        <v>0.31857579411845316</v>
      </c>
      <c r="U53" s="89">
        <f>INDEX(Исходник!Y:Y,MATCH(Модель!B53,Исходник!B:B,0))</f>
        <v>10</v>
      </c>
      <c r="V53" s="99">
        <f>YEAR(A53)</f>
        <v>2010</v>
      </c>
      <c r="W53" s="89" t="str">
        <f>INDEX(Исходник!E:E,MATCH(Модель!B53,Исходник!B:B,0))</f>
        <v>Computers &amp; Electronics</v>
      </c>
      <c r="X53" s="90">
        <f>INDEX(Исходник!AP:AP,MATCH(Модель!B53,Исходник!B:B,0))</f>
        <v>0.1221400974298673</v>
      </c>
      <c r="Y53" s="89">
        <f>INDEX(Исходник!F:F,MATCH(Модель!B53,Исходник!B:B,0))</f>
        <v>300</v>
      </c>
      <c r="Z53" s="89" t="str">
        <f>INDEX(Исходник!W:W,MATCH(Модель!B53,Исходник!B:B,0))</f>
        <v>Moscow Interbank Currency Exchange (MICEX)</v>
      </c>
      <c r="AA53" s="99">
        <f>INDEX(Исходник!AO:AO,MATCH(Модель!B53,Исходник!B:B,0))</f>
        <v>-0.33031111111111111</v>
      </c>
      <c r="AB53">
        <f>INDEX(Исходник!AR:AR,MATCH(Модель!B53,Исходник!B:B,0))</f>
        <v>2.3783241163741282</v>
      </c>
      <c r="AC53" s="179">
        <f>INDEX(Исходник!AM:AM,MATCH(Модель!B53,Исходник!B:B,0))</f>
        <v>0.21409608632354199</v>
      </c>
    </row>
    <row r="54" spans="1:29" x14ac:dyDescent="0.25">
      <c r="A54" s="88">
        <v>40352</v>
      </c>
      <c r="B54" s="89" t="s">
        <v>193</v>
      </c>
      <c r="C54" s="89" t="s">
        <v>398</v>
      </c>
      <c r="D54" s="89">
        <v>9</v>
      </c>
      <c r="E54" s="95"/>
      <c r="F54" s="93"/>
      <c r="G54" s="102">
        <f>(2010*D54-(1960+1939+1952+1957+1966+1976+1963+1961+1938))/D54</f>
        <v>53.111111111111114</v>
      </c>
      <c r="H54" s="103">
        <f>0</f>
        <v>0</v>
      </c>
      <c r="I54" s="160">
        <v>0.22222222222222221</v>
      </c>
      <c r="J54" s="93"/>
      <c r="K54" s="89">
        <v>0</v>
      </c>
      <c r="L54" s="89">
        <v>0</v>
      </c>
      <c r="M54" s="99">
        <f>8/D54</f>
        <v>0.88888888888888884</v>
      </c>
      <c r="N54" s="93"/>
      <c r="O54" s="90">
        <f>5/D54</f>
        <v>0.55555555555555558</v>
      </c>
      <c r="P54" s="203">
        <v>0</v>
      </c>
      <c r="Q54" s="228">
        <f>INDEX(Исходник!$O:$O,MATCH(Модель!B54,Исходник!$B:$B,0))</f>
        <v>-1.5692307692307783E-2</v>
      </c>
      <c r="R54" s="216">
        <f>(-INDEX([1]Databook_Dealogic!$P:$P,MATCH(Модель!B54,[1]Databook_Dealogic!$D:$D,0))+INDEX([1]Databook_Dealogic!$AF:$AF,MATCH(Модель!B54,[1]Databook_Dealogic!$D:$D,0)))/INDEX([1]Databook_Dealogic!$P:$P,MATCH(Модель!B54,[1]Databook_Dealogic!$D:$D,0))</f>
        <v>4.2461538461538544E-2</v>
      </c>
      <c r="S54" s="158">
        <f>INDEX(Исходник!Z:Z,MATCH(Модель!B54,Исходник!$B:$B,0))</f>
        <v>3101.0659999999998</v>
      </c>
      <c r="T54" s="89">
        <f>(INDEX(Исходник!AA:AA,MATCH(Модель!B54,Исходник!B:B,0)))/Модель!S54</f>
        <v>0.35351843527354793</v>
      </c>
      <c r="U54" s="89">
        <f>INDEX(Исходник!Y:Y,MATCH(Модель!B54,Исходник!B:B,0))</f>
        <v>16</v>
      </c>
      <c r="V54" s="99">
        <f>YEAR(A54)</f>
        <v>2010</v>
      </c>
      <c r="W54" s="89" t="str">
        <f>INDEX(Исходник!E:E,MATCH(Модель!B54,Исходник!B:B,0))</f>
        <v>Healthcare</v>
      </c>
      <c r="X54" s="90">
        <f>INDEX(Исходник!AP:AP,MATCH(Модель!B54,Исходник!B:B,0))</f>
        <v>0.13352712171571002</v>
      </c>
      <c r="Y54" s="89">
        <f>INDEX(Исходник!F:F,MATCH(Модель!B54,Исходник!B:B,0))</f>
        <v>302.10699999999997</v>
      </c>
      <c r="Z54" s="89" t="str">
        <f>INDEX(Исходник!W:W,MATCH(Модель!B54,Исходник!B:B,0))</f>
        <v>Moscow Interbank Currency Exchange (MICEX)</v>
      </c>
      <c r="AA54" s="99">
        <f>INDEX(Исходник!AO:AO,MATCH(Модель!B54,Исходник!B:B,0))</f>
        <v>1.4808677739541138</v>
      </c>
      <c r="AB54">
        <f>INDEX(Исходник!AR:AR,MATCH(Модель!B54,Исходник!B:B,0))</f>
        <v>1.7290898603064728</v>
      </c>
      <c r="AC54" s="179">
        <f>INDEX(Исходник!AM:AM,MATCH(Модель!B54,Исходник!B:B,0))</f>
        <v>0.21271786738727222</v>
      </c>
    </row>
    <row r="55" spans="1:29" x14ac:dyDescent="0.25">
      <c r="A55" s="133">
        <v>40298</v>
      </c>
      <c r="B55" s="134" t="s">
        <v>194</v>
      </c>
      <c r="C55" s="134" t="s">
        <v>399</v>
      </c>
      <c r="D55" s="89">
        <v>5</v>
      </c>
      <c r="E55" s="104">
        <f>2/D55</f>
        <v>0.4</v>
      </c>
      <c r="F55" s="96">
        <v>1</v>
      </c>
      <c r="G55" s="135">
        <f>(2010*D55-(1968+1955+1976+1944+1965))/D55</f>
        <v>48.4</v>
      </c>
      <c r="H55" s="136">
        <f>5/D55</f>
        <v>1</v>
      </c>
      <c r="I55" s="160">
        <v>0</v>
      </c>
      <c r="J55" s="96">
        <v>0</v>
      </c>
      <c r="K55" s="96">
        <v>0</v>
      </c>
      <c r="L55" s="96">
        <v>0</v>
      </c>
      <c r="M55" s="137">
        <f>7/D55</f>
        <v>1.4</v>
      </c>
      <c r="N55" s="96">
        <v>1</v>
      </c>
      <c r="O55" s="104">
        <f>1/D55</f>
        <v>0.2</v>
      </c>
      <c r="P55" s="199">
        <f>1/D55</f>
        <v>0.2</v>
      </c>
      <c r="Q55" s="228">
        <f>INDEX(Исходник!$O:$O,MATCH(Модель!B55,Исходник!$B:$B,0))</f>
        <v>4.6153846153846212E-2</v>
      </c>
      <c r="R55" s="216">
        <f>(-INDEX([1]Databook_Dealogic!$P:$P,MATCH(Модель!B55,[1]Databook_Dealogic!$D:$D,0))+INDEX([1]Databook_Dealogic!$AF:$AF,MATCH(Модель!B55,[1]Databook_Dealogic!$D:$D,0)))/INDEX([1]Databook_Dealogic!$P:$P,MATCH(Модель!B55,[1]Databook_Dealogic!$D:$D,0))</f>
        <v>-7.1547396492938481E-2</v>
      </c>
      <c r="S55" s="158">
        <f>INDEX(Исходник!Z:Z,MATCH(Модель!B55,Исходник!$B:$B,0))</f>
        <v>9415</v>
      </c>
      <c r="T55" s="89">
        <f>(INDEX(Исходник!AA:AA,MATCH(Модель!B55,Исходник!B:B,0)))/Модель!S55</f>
        <v>0.63175783324482204</v>
      </c>
      <c r="U55" s="89">
        <f>INDEX(Исходник!Y:Y,MATCH(Модель!B55,Исходник!B:B,0))</f>
        <v>10</v>
      </c>
      <c r="V55" s="99">
        <f>YEAR(A55)</f>
        <v>2010</v>
      </c>
      <c r="W55" s="89" t="str">
        <f>INDEX(Исходник!E:E,MATCH(Модель!B55,Исходник!B:B,0))</f>
        <v>Mining</v>
      </c>
      <c r="X55" s="90">
        <f>INDEX(Исходник!AP:AP,MATCH(Модель!B55,Исходник!B:B,0))</f>
        <v>7.1788208543121651E-2</v>
      </c>
      <c r="Y55" s="89">
        <f>INDEX(Исходник!F:F,MATCH(Модель!B55,Исходник!B:B,0))</f>
        <v>4854.4728999999998</v>
      </c>
      <c r="Z55" s="89" t="str">
        <f>INDEX(Исходник!W:W,MATCH(Модель!B55,Исходник!B:B,0))</f>
        <v>Russian Trading System</v>
      </c>
      <c r="AA55" s="99">
        <f>INDEX(Исходник!AO:AO,MATCH(Модель!B55,Исходник!B:B,0))</f>
        <v>1.7331189710610932</v>
      </c>
      <c r="AB55">
        <f>INDEX(Исходник!AR:AR,MATCH(Модель!B55,Исходник!B:B,0))</f>
        <v>0.64468983436180582</v>
      </c>
      <c r="AC55" s="179">
        <f>INDEX(Исходник!AM:AM,MATCH(Модель!B55,Исходник!B:B,0))</f>
        <v>0.20425971101519985</v>
      </c>
    </row>
    <row r="56" spans="1:29" x14ac:dyDescent="0.25">
      <c r="A56" s="105">
        <v>40295</v>
      </c>
      <c r="B56" s="87" t="s">
        <v>196</v>
      </c>
      <c r="C56" s="87" t="s">
        <v>400</v>
      </c>
      <c r="D56" s="89">
        <v>5</v>
      </c>
      <c r="E56" s="90">
        <f>2/D56</f>
        <v>0.4</v>
      </c>
      <c r="F56" s="89">
        <v>1</v>
      </c>
      <c r="G56" s="102">
        <f>(2010*D56-(1963+1958+1957+1969+1978))/D56</f>
        <v>45</v>
      </c>
      <c r="H56" s="103">
        <f>2/D56</f>
        <v>0.4</v>
      </c>
      <c r="I56" s="160">
        <v>0.2</v>
      </c>
      <c r="J56" s="89">
        <v>0</v>
      </c>
      <c r="K56" s="89">
        <v>1</v>
      </c>
      <c r="L56" s="89">
        <v>0</v>
      </c>
      <c r="M56" s="99">
        <f>7/D56</f>
        <v>1.4</v>
      </c>
      <c r="N56" s="89">
        <v>3</v>
      </c>
      <c r="O56" s="90">
        <f>3/D56</f>
        <v>0.6</v>
      </c>
      <c r="P56" s="203">
        <v>0</v>
      </c>
      <c r="Q56" s="228">
        <f>INDEX(Исходник!$O:$O,MATCH(Модель!B56,Исходник!$B:$B,0))</f>
        <v>7.714285714285718E-2</v>
      </c>
      <c r="R56" s="216">
        <f>(-INDEX([1]Databook_Dealogic!$P:$P,MATCH(Модель!B56,[1]Databook_Dealogic!$D:$D,0))+INDEX([1]Databook_Dealogic!$AF:$AF,MATCH(Модель!B56,[1]Databook_Dealogic!$D:$D,0)))/INDEX([1]Databook_Dealogic!$P:$P,MATCH(Модель!B56,[1]Databook_Dealogic!$D:$D,0))</f>
        <v>9.6365320449038255E-2</v>
      </c>
      <c r="S56" s="158">
        <f>INDEX(Исходник!Z:Z,MATCH(Модель!B56,Исходник!$B:$B,0))</f>
        <v>45440.987000000001</v>
      </c>
      <c r="T56" s="89">
        <f>(INDEX(Исходник!AA:AA,MATCH(Модель!B56,Исходник!B:B,0)))/Модель!S56</f>
        <v>0.71905172306226528</v>
      </c>
      <c r="U56" s="89">
        <f>INDEX(Исходник!Y:Y,MATCH(Модель!B56,Исходник!B:B,0))</f>
        <v>20</v>
      </c>
      <c r="V56" s="99">
        <f>YEAR(A56)</f>
        <v>2010</v>
      </c>
      <c r="W56" s="89" t="str">
        <f>INDEX(Исходник!E:E,MATCH(Модель!B56,Исходник!B:B,0))</f>
        <v>Healthcare</v>
      </c>
      <c r="X56" s="90">
        <f>INDEX(Исходник!AP:AP,MATCH(Модель!B56,Исходник!B:B,0))</f>
        <v>7.2563900540773926E-2</v>
      </c>
      <c r="Y56" s="89">
        <f>INDEX(Исходник!F:F,MATCH(Модель!B56,Исходник!B:B,0))</f>
        <v>9458.84</v>
      </c>
      <c r="Z56" s="89" t="str">
        <f>INDEX(Исходник!W:W,MATCH(Модель!B56,Исходник!B:B,0))</f>
        <v>Moscow Interbank Currency Exchange (MICEX); Russian Trading System</v>
      </c>
      <c r="AA56" s="99">
        <f>INDEX(Исходник!AO:AO,MATCH(Модель!B56,Исходник!B:B,0))</f>
        <v>0.36235433402066797</v>
      </c>
      <c r="AB56">
        <f>INDEX(Исходник!AR:AR,MATCH(Модель!B56,Исходник!B:B,0))</f>
        <v>1.0225684709231209</v>
      </c>
      <c r="AC56" s="179">
        <f>INDEX(Исходник!AM:AM,MATCH(Модель!B56,Исходник!B:B,0))</f>
        <v>6.3731097899194289E-2</v>
      </c>
    </row>
    <row r="57" spans="1:29" x14ac:dyDescent="0.25">
      <c r="A57" s="88">
        <v>40283</v>
      </c>
      <c r="B57" s="89" t="s">
        <v>199</v>
      </c>
      <c r="C57" s="89" t="s">
        <v>401</v>
      </c>
      <c r="D57" s="89">
        <v>8</v>
      </c>
      <c r="E57" s="90">
        <f>2/D57</f>
        <v>0.25</v>
      </c>
      <c r="F57" s="89">
        <v>1</v>
      </c>
      <c r="G57" s="91"/>
      <c r="H57" s="103">
        <f>7/D57</f>
        <v>0.875</v>
      </c>
      <c r="I57" s="160">
        <v>0.25</v>
      </c>
      <c r="J57" s="89">
        <v>0</v>
      </c>
      <c r="K57" s="89">
        <v>5</v>
      </c>
      <c r="L57" s="89">
        <v>0</v>
      </c>
      <c r="M57" s="99">
        <f>11/D57</f>
        <v>1.375</v>
      </c>
      <c r="N57" s="89">
        <v>2</v>
      </c>
      <c r="O57" s="90">
        <f>7/D57</f>
        <v>0.875</v>
      </c>
      <c r="P57" s="203">
        <f>2/D57</f>
        <v>0.25</v>
      </c>
      <c r="Q57" s="228">
        <f>INDEX(Исходник!$O:$O,MATCH(Модель!B57,Исходник!$B:$B,0))</f>
        <v>1.6666666666666607E-2</v>
      </c>
      <c r="R57" s="216">
        <f>(-INDEX([1]Databook_Dealogic!$P:$P,MATCH(Модель!B57,[1]Databook_Dealogic!$D:$D,0))+INDEX([1]Databook_Dealogic!$AF:$AF,MATCH(Модель!B57,[1]Databook_Dealogic!$D:$D,0)))/INDEX([1]Databook_Dealogic!$P:$P,MATCH(Модель!B57,[1]Databook_Dealogic!$D:$D,0))</f>
        <v>-0.20659117305458771</v>
      </c>
      <c r="S57" s="158">
        <f>INDEX(Исходник!Z:Z,MATCH(Модель!B57,Исходник!$B:$B,0))</f>
        <v>5764.6559999999999</v>
      </c>
      <c r="T57" s="89">
        <f>(INDEX(Исходник!AA:AA,MATCH(Модель!B57,Исходник!B:B,0)))/Модель!S57</f>
        <v>0.93272209130952488</v>
      </c>
      <c r="U57" s="89">
        <f>INDEX(Исходник!Y:Y,MATCH(Модель!B57,Исходник!B:B,0))</f>
        <v>13</v>
      </c>
      <c r="V57" s="99">
        <f>YEAR(A57)</f>
        <v>2010</v>
      </c>
      <c r="W57" s="89" t="str">
        <f>INDEX(Исходник!E:E,MATCH(Модель!B57,Исходник!B:B,0))</f>
        <v>Food &amp; Beverage</v>
      </c>
      <c r="X57" s="90">
        <f>INDEX(Исходник!AP:AP,MATCH(Модель!B57,Исходник!B:B,0))</f>
        <v>1.7493325313447609E-2</v>
      </c>
      <c r="Y57" s="89">
        <f>INDEX(Исходник!F:F,MATCH(Модель!B57,Исходник!B:B,0))</f>
        <v>2225.1240000000003</v>
      </c>
      <c r="Z57" s="89" t="str">
        <f>INDEX(Исходник!W:W,MATCH(Модель!B57,Исходник!B:B,0))</f>
        <v>Moscow Interbank Currency Exchange (MICEX); Russian Trading System</v>
      </c>
      <c r="AA57" s="99">
        <f>INDEX(Исходник!AO:AO,MATCH(Модель!B57,Исходник!B:B,0))</f>
        <v>2.2548885829348588</v>
      </c>
      <c r="AB57">
        <f>INDEX(Исходник!AR:AR,MATCH(Модель!B57,Исходник!B:B,0))</f>
        <v>0.81423171531436234</v>
      </c>
      <c r="AC57" s="179">
        <f>INDEX(Исходник!AM:AM,MATCH(Модель!B57,Исходник!B:B,0))</f>
        <v>8.6456858601537651E-2</v>
      </c>
    </row>
    <row r="58" spans="1:29" x14ac:dyDescent="0.25">
      <c r="A58" s="120">
        <v>40200</v>
      </c>
      <c r="B58" s="121" t="s">
        <v>201</v>
      </c>
      <c r="C58" s="121" t="s">
        <v>402</v>
      </c>
      <c r="D58" s="96">
        <f>1+1+1+1+1+1+1+1+1+1+1+1+1+1+1+1+1+1</f>
        <v>18</v>
      </c>
      <c r="E58" s="128">
        <f>4/D58</f>
        <v>0.22222222222222221</v>
      </c>
      <c r="F58" s="119">
        <v>1</v>
      </c>
      <c r="G58" s="140">
        <f>(43+37+56+49+40+64+54+41+53+53+40+36+41+43+52+61+64+71)/D58</f>
        <v>49.888888888888886</v>
      </c>
      <c r="H58" s="141">
        <f>(1+1+1+1+1+1+1+1+1+1+1)/D58</f>
        <v>0.61111111111111116</v>
      </c>
      <c r="I58" s="160">
        <v>0.1111111111111111</v>
      </c>
      <c r="J58" s="119">
        <v>0</v>
      </c>
      <c r="K58" s="119">
        <f>5+7+1+2+1+2+3+1+4+2+1</f>
        <v>29</v>
      </c>
      <c r="L58" s="119">
        <f>2+1+1+3</f>
        <v>7</v>
      </c>
      <c r="M58" s="142">
        <f>(2+2+1+2+2+2+2+1+2+2+2+2+1+2+2+2+2+2)/D58</f>
        <v>1.8333333333333333</v>
      </c>
      <c r="N58" s="119">
        <v>3</v>
      </c>
      <c r="O58" s="128">
        <f>(1+1+1+1+1)/D58</f>
        <v>0.27777777777777779</v>
      </c>
      <c r="P58" s="204">
        <f>(1+1+1+1+1+1+1+1)/D58</f>
        <v>0.44444444444444442</v>
      </c>
      <c r="Q58" s="228">
        <f>INDEX(Исходник!$O:$O,MATCH(Модель!B58,Исходник!$B:$B,0))</f>
        <v>-0.10555555555555562</v>
      </c>
      <c r="R58" s="216">
        <f>(-INDEX([1]Databook_Dealogic!$P:$P,MATCH(Модель!B58,[1]Databook_Dealogic!$D:$D,0))+INDEX([1]Databook_Dealogic!$AF:$AF,MATCH(Модель!B58,[1]Databook_Dealogic!$D:$D,0)))/INDEX([1]Databook_Dealogic!$P:$P,MATCH(Модель!B58,[1]Databook_Dealogic!$D:$D,0))</f>
        <v>-0.26948966049382733</v>
      </c>
      <c r="S58" s="158">
        <f>INDEX(Исходник!Z:Z,MATCH(Модель!B58,Исходник!$B:$B,0))</f>
        <v>597099.29989759019</v>
      </c>
      <c r="T58" s="89">
        <f>(INDEX(Исходник!AA:AA,MATCH(Модель!B58,Исходник!B:B,0)))/Модель!S58</f>
        <v>0.81303895021870443</v>
      </c>
      <c r="U58" s="89">
        <f>INDEX(Исходник!Y:Y,MATCH(Модель!B58,Исходник!B:B,0))</f>
        <v>10</v>
      </c>
      <c r="V58" s="99">
        <f>YEAR(A58)</f>
        <v>2010</v>
      </c>
      <c r="W58" s="89" t="str">
        <f>INDEX(Исходник!E:E,MATCH(Модель!B58,Исходник!B:B,0))</f>
        <v>Metal &amp; Steel</v>
      </c>
      <c r="X58" s="90">
        <f>INDEX(Исходник!AP:AP,MATCH(Модель!B58,Исходник!B:B,0))</f>
        <v>0</v>
      </c>
      <c r="Y58" s="89">
        <f>INDEX(Исходник!F:F,MATCH(Модель!B58,Исходник!B:B,0))</f>
        <v>54836.916300000004</v>
      </c>
      <c r="Z58" s="89" t="str">
        <f>INDEX(Исходник!W:W,MATCH(Модель!B58,Исходник!B:B,0))</f>
        <v>Hong Kong Exchange-Main Board; Paris</v>
      </c>
      <c r="AA58" s="99">
        <f>INDEX(Исходник!AO:AO,MATCH(Модель!B58,Исходник!B:B,0))</f>
        <v>3.7351106069200228</v>
      </c>
      <c r="AB58">
        <f>INDEX(Исходник!AR:AR,MATCH(Модель!B58,Исходник!B:B,0))</f>
        <v>0.27286421347105655</v>
      </c>
      <c r="AC58" s="179">
        <f>INDEX(Исходник!AM:AM,MATCH(Модель!B58,Исходник!B:B,0))</f>
        <v>0.22480076506216129</v>
      </c>
    </row>
    <row r="59" spans="1:29" x14ac:dyDescent="0.25">
      <c r="A59" s="143">
        <v>40148</v>
      </c>
      <c r="B59" s="119" t="s">
        <v>207</v>
      </c>
      <c r="C59" s="119" t="s">
        <v>403</v>
      </c>
      <c r="D59" s="147">
        <v>5</v>
      </c>
      <c r="E59" s="132"/>
      <c r="F59" s="117"/>
      <c r="G59" s="140">
        <f>(2009*D59-(1971+1970+1959+1958+1968))/D59</f>
        <v>43.8</v>
      </c>
      <c r="H59" s="130"/>
      <c r="I59" s="160">
        <v>0</v>
      </c>
      <c r="J59" s="117"/>
      <c r="K59" s="119">
        <v>1</v>
      </c>
      <c r="L59" s="119">
        <v>0</v>
      </c>
      <c r="M59" s="131"/>
      <c r="N59" s="117"/>
      <c r="O59" s="132"/>
      <c r="P59" s="204">
        <v>0</v>
      </c>
      <c r="Q59" s="228">
        <f>INDEX(Исходник!$O:$O,MATCH(Модель!B59,Исходник!$B:$B,0))</f>
        <v>0</v>
      </c>
      <c r="R59" s="216">
        <f>(-INDEX([1]Databook_Dealogic!$P:$P,MATCH(Модель!B59,[1]Databook_Dealogic!$D:$D,0))+INDEX([1]Databook_Dealogic!$AF:$AF,MATCH(Модель!B59,[1]Databook_Dealogic!$D:$D,0)))/INDEX([1]Databook_Dealogic!$P:$P,MATCH(Модель!B59,[1]Databook_Dealogic!$D:$D,0))</f>
        <v>0.93473684210526309</v>
      </c>
      <c r="S59" s="158">
        <f>INDEX(Исходник!Z:Z,MATCH(Модель!B59,Исходник!$B:$B,0))</f>
        <v>252.667</v>
      </c>
      <c r="T59" s="89">
        <f>(INDEX(Исходник!AA:AA,MATCH(Модель!B59,Исходник!B:B,0)))/Модель!S59</f>
        <v>0.30554840956674201</v>
      </c>
      <c r="U59" s="89">
        <f>INDEX(Исходник!Y:Y,MATCH(Модель!B59,Исходник!B:B,0))</f>
        <v>6</v>
      </c>
      <c r="V59" s="99">
        <f>YEAR(A59)</f>
        <v>2009</v>
      </c>
      <c r="W59" s="89" t="str">
        <f>INDEX(Исходник!E:E,MATCH(Модель!B59,Исходник!B:B,0))</f>
        <v>Healthcare</v>
      </c>
      <c r="X59" s="90">
        <f>INDEX(Исходник!AP:AP,MATCH(Модель!B59,Исходник!B:B,0))</f>
        <v>0</v>
      </c>
      <c r="Y59" s="89">
        <f>INDEX(Исходник!F:F,MATCH(Модель!B59,Исходник!B:B,0))</f>
        <v>123.42349999999999</v>
      </c>
      <c r="Z59" s="89" t="str">
        <f>INDEX(Исходник!W:W,MATCH(Модель!B59,Исходник!B:B,0))</f>
        <v>Moscow Interbank Currency Exchange (MICEX)</v>
      </c>
      <c r="AA59" s="99">
        <f>INDEX(Исходник!AO:AO,MATCH(Модель!B59,Исходник!B:B,0))</f>
        <v>0</v>
      </c>
      <c r="AB59">
        <f>INDEX(Исходник!AR:AR,MATCH(Модель!B59,Исходник!B:B,0))</f>
        <v>2.5603870366052695</v>
      </c>
      <c r="AC59" s="179">
        <f>INDEX(Исходник!AM:AM,MATCH(Модель!B59,Исходник!B:B,0))</f>
        <v>0</v>
      </c>
    </row>
    <row r="60" spans="1:29" x14ac:dyDescent="0.25">
      <c r="A60" s="88">
        <v>39568</v>
      </c>
      <c r="B60" s="89" t="s">
        <v>209</v>
      </c>
      <c r="C60" s="89" t="s">
        <v>404</v>
      </c>
      <c r="D60" s="89">
        <v>7</v>
      </c>
      <c r="E60" s="90">
        <f>2/D60</f>
        <v>0.2857142857142857</v>
      </c>
      <c r="F60" s="89">
        <v>1</v>
      </c>
      <c r="G60" s="91"/>
      <c r="H60" s="103">
        <f>4/D60</f>
        <v>0.5714285714285714</v>
      </c>
      <c r="I60" s="160">
        <v>0.14285714285714285</v>
      </c>
      <c r="J60" s="89">
        <v>0</v>
      </c>
      <c r="K60" s="89">
        <v>1</v>
      </c>
      <c r="L60" s="89">
        <f>3</f>
        <v>3</v>
      </c>
      <c r="M60" s="99">
        <f>9/D60</f>
        <v>1.2857142857142858</v>
      </c>
      <c r="N60" s="89">
        <v>3</v>
      </c>
      <c r="O60" s="90">
        <f>1/D60</f>
        <v>0.14285714285714285</v>
      </c>
      <c r="P60" s="203">
        <f>3/D60</f>
        <v>0.42857142857142855</v>
      </c>
      <c r="Q60" s="228">
        <f>INDEX(Исходник!$O:$O,MATCH(Модель!B60,Исходник!$B:$B,0))</f>
        <v>-9.8113207547170234E-3</v>
      </c>
      <c r="R60" s="216">
        <f>(-INDEX([1]Databook_Dealogic!$P:$P,MATCH(Модель!B60,[1]Databook_Dealogic!$D:$D,0))+INDEX([1]Databook_Dealogic!$AF:$AF,MATCH(Модель!B60,[1]Databook_Dealogic!$D:$D,0)))/INDEX([1]Databook_Dealogic!$P:$P,MATCH(Модель!B60,[1]Databook_Dealogic!$D:$D,0))</f>
        <v>0.5278348304387398</v>
      </c>
      <c r="S60" s="158">
        <f>INDEX(Исходник!Z:Z,MATCH(Модель!B60,Исходник!$B:$B,0))</f>
        <v>19879.193646660649</v>
      </c>
      <c r="T60" s="89">
        <f>(INDEX(Исходник!AA:AA,MATCH(Модель!B60,Исходник!B:B,0)))/Модель!S60</f>
        <v>0.71380830151040542</v>
      </c>
      <c r="U60" s="89">
        <f>INDEX(Исходник!Y:Y,MATCH(Модель!B60,Исходник!B:B,0))</f>
        <v>4</v>
      </c>
      <c r="V60" s="99">
        <f>YEAR(A60)</f>
        <v>2008</v>
      </c>
      <c r="W60" s="89" t="str">
        <f>INDEX(Исходник!E:E,MATCH(Модель!B60,Исходник!B:B,0))</f>
        <v>Transportation</v>
      </c>
      <c r="X60" s="90">
        <f>INDEX(Исходник!AP:AP,MATCH(Модель!B60,Исходник!B:B,0))</f>
        <v>0.10582102366478578</v>
      </c>
      <c r="Y60" s="89">
        <f>INDEX(Исходник!F:F,MATCH(Модель!B60,Исходник!B:B,0))</f>
        <v>11601.808999999999</v>
      </c>
      <c r="Z60" s="89" t="str">
        <f>INDEX(Исходник!W:W,MATCH(Модель!B60,Исходник!B:B,0))</f>
        <v>London Stock Exchange</v>
      </c>
      <c r="AA60" s="99">
        <f>INDEX(Исходник!AO:AO,MATCH(Модель!B60,Исходник!B:B,0))</f>
        <v>2.3574406949923956</v>
      </c>
      <c r="AB60">
        <f>INDEX(Исходник!AR:AR,MATCH(Модель!B60,Исходник!B:B,0))</f>
        <v>0.67225172262577226</v>
      </c>
      <c r="AC60" s="179">
        <f>INDEX(Исходник!AM:AM,MATCH(Модель!B60,Исходник!B:B,0))</f>
        <v>0.32464641054091031</v>
      </c>
    </row>
    <row r="61" spans="1:29" x14ac:dyDescent="0.25">
      <c r="A61" s="143">
        <v>39545</v>
      </c>
      <c r="B61" s="119" t="s">
        <v>211</v>
      </c>
      <c r="C61" s="119" t="s">
        <v>405</v>
      </c>
      <c r="D61" s="119">
        <v>11</v>
      </c>
      <c r="E61" s="128">
        <v>0</v>
      </c>
      <c r="F61" s="119">
        <v>0</v>
      </c>
      <c r="G61" s="125">
        <f>(2008*D61-(1955+1955+1980+1980+1965+1976+1960+1959+1965+1974+1972))/D61</f>
        <v>40.636363636363633</v>
      </c>
      <c r="H61" s="141">
        <f>4/D61</f>
        <v>0.36363636363636365</v>
      </c>
      <c r="I61" s="160">
        <v>0.18181818181818182</v>
      </c>
      <c r="J61" s="119">
        <v>0</v>
      </c>
      <c r="K61" s="117"/>
      <c r="L61" s="117"/>
      <c r="M61" s="142">
        <f>13/D61</f>
        <v>1.1818181818181819</v>
      </c>
      <c r="N61" s="119">
        <v>0</v>
      </c>
      <c r="O61" s="128">
        <f>4/D61</f>
        <v>0.36363636363636365</v>
      </c>
      <c r="P61" s="204">
        <v>0</v>
      </c>
      <c r="Q61" s="228">
        <f>INDEX(Исходник!$O:$O,MATCH(Модель!B61,Исходник!$B:$B,0))</f>
        <v>0</v>
      </c>
      <c r="R61" s="216">
        <f>(-INDEX([1]Databook_Dealogic!$P:$P,MATCH(Модель!B61,[1]Databook_Dealogic!$D:$D,0))+INDEX([1]Databook_Dealogic!$AF:$AF,MATCH(Модель!B61,[1]Databook_Dealogic!$D:$D,0)))/INDEX([1]Databook_Dealogic!$P:$P,MATCH(Модель!B61,[1]Databook_Dealogic!$D:$D,0))</f>
        <v>-0.95238095238095233</v>
      </c>
      <c r="S61" s="158">
        <f>INDEX(Исходник!Z:Z,MATCH(Модель!B61,Исходник!$B:$B,0))</f>
        <v>33241.531000000003</v>
      </c>
      <c r="T61" s="89">
        <f>(INDEX(Исходник!AA:AA,MATCH(Модель!B61,Исходник!B:B,0)))/Модель!S61</f>
        <v>0.21455804788293298</v>
      </c>
      <c r="U61" s="89">
        <f>INDEX(Исходник!Y:Y,MATCH(Модель!B61,Исходник!B:B,0))</f>
        <v>3</v>
      </c>
      <c r="V61" s="99">
        <f>YEAR(A61)</f>
        <v>2008</v>
      </c>
      <c r="W61" s="89" t="str">
        <f>INDEX(Исходник!E:E,MATCH(Модель!B61,Исходник!B:B,0))</f>
        <v>Utility &amp; Energy</v>
      </c>
      <c r="X61" s="90">
        <f>INDEX(Исходник!AP:AP,MATCH(Модель!B61,Исходник!B:B,0))</f>
        <v>0</v>
      </c>
      <c r="Y61" s="89">
        <f>INDEX(Исходник!F:F,MATCH(Модель!B61,Исходник!B:B,0))</f>
        <v>11140.5216</v>
      </c>
      <c r="Z61" s="89" t="str">
        <f>INDEX(Исходник!W:W,MATCH(Модель!B61,Исходник!B:B,0))</f>
        <v>Moscow Exchange</v>
      </c>
      <c r="AA61" s="99">
        <f>INDEX(Исходник!AO:AO,MATCH(Модель!B61,Исходник!B:B,0))</f>
        <v>2.8439643577136029</v>
      </c>
      <c r="AB61">
        <f>INDEX(Исходник!AR:AR,MATCH(Модель!B61,Исходник!B:B,0))</f>
        <v>0.67742124309146101</v>
      </c>
      <c r="AC61" s="179">
        <f>INDEX(Исходник!AM:AM,MATCH(Модель!B61,Исходник!B:B,0))</f>
        <v>3.2328338812814911E-2</v>
      </c>
    </row>
    <row r="62" spans="1:29" x14ac:dyDescent="0.25">
      <c r="A62" s="88">
        <v>39401</v>
      </c>
      <c r="B62" s="89" t="s">
        <v>214</v>
      </c>
      <c r="C62" s="89" t="s">
        <v>407</v>
      </c>
      <c r="D62" s="89">
        <v>7</v>
      </c>
      <c r="E62" s="90">
        <f>4/D62</f>
        <v>0.5714285714285714</v>
      </c>
      <c r="F62" s="93"/>
      <c r="G62" s="102">
        <f>(2007*D62-(1958+1975+1975+1976+1973+1938+1949))/D62</f>
        <v>43.571428571428569</v>
      </c>
      <c r="H62" s="103">
        <f>(1+1+1+1)/D62</f>
        <v>0.5714285714285714</v>
      </c>
      <c r="I62" s="160">
        <v>0</v>
      </c>
      <c r="J62" s="89">
        <v>1</v>
      </c>
      <c r="K62" s="89">
        <f>3+1</f>
        <v>4</v>
      </c>
      <c r="L62" s="89">
        <v>0</v>
      </c>
      <c r="M62" s="99">
        <f>(2+2+1+1+1+1+2+2)/D62</f>
        <v>1.7142857142857142</v>
      </c>
      <c r="N62" s="93"/>
      <c r="O62" s="90">
        <f>5/D62</f>
        <v>0.7142857142857143</v>
      </c>
      <c r="P62" s="203">
        <f>3/D62</f>
        <v>0.42857142857142855</v>
      </c>
      <c r="Q62" s="228">
        <f>INDEX(Исходник!$O:$O,MATCH(Модель!B62,Исходник!$B:$B,0))</f>
        <v>-5.0000000000000044E-2</v>
      </c>
      <c r="R62" s="216">
        <f>(-INDEX([1]Databook_Dealogic!$P:$P,MATCH(Модель!B62,[1]Databook_Dealogic!$D:$D,0))+INDEX([1]Databook_Dealogic!$AF:$AF,MATCH(Модель!B62,[1]Databook_Dealogic!$D:$D,0)))/INDEX([1]Databook_Dealogic!$P:$P,MATCH(Модель!B62,[1]Databook_Dealogic!$D:$D,0))</f>
        <v>3.4075042332125278E-2</v>
      </c>
      <c r="S62" s="158">
        <f>INDEX(Исходник!Z:Z,MATCH(Модель!B62,Исходник!$B:$B,0))</f>
        <v>7592.2860000000001</v>
      </c>
      <c r="T62" s="89">
        <f>(INDEX(Исходник!AA:AA,MATCH(Модель!B62,Исходник!B:B,0)))/Модель!S62</f>
        <v>0.71635710245899598</v>
      </c>
      <c r="U62" s="89">
        <f>INDEX(Исходник!Y:Y,MATCH(Модель!B62,Исходник!B:B,0))</f>
        <v>9</v>
      </c>
      <c r="V62" s="99">
        <f>YEAR(A62)</f>
        <v>2007</v>
      </c>
      <c r="W62" s="89" t="str">
        <f>INDEX(Исходник!E:E,MATCH(Модель!B62,Исходник!B:B,0))</f>
        <v>Food &amp; Beverage</v>
      </c>
      <c r="X62" s="90">
        <f>INDEX(Исходник!AP:AP,MATCH(Модель!B62,Исходник!B:B,0))</f>
        <v>0.11324172520792691</v>
      </c>
      <c r="Y62" s="89">
        <f>INDEX(Исходник!F:F,MATCH(Модель!B62,Исходник!B:B,0))</f>
        <v>4948.835</v>
      </c>
      <c r="Z62" s="89" t="str">
        <f>INDEX(Исходник!W:W,MATCH(Модель!B62,Исходник!B:B,0))</f>
        <v>Moscow Interbank Currency Exchange (MICEX); Russian Trading System</v>
      </c>
      <c r="AA62" s="99">
        <f>INDEX(Исходник!AO:AO,MATCH(Модель!B62,Исходник!B:B,0))</f>
        <v>3.1938200310099845</v>
      </c>
      <c r="AB62">
        <f>INDEX(Исходник!AR:AR,MATCH(Модель!B62,Исходник!B:B,0))</f>
        <v>1.1039126355210069</v>
      </c>
      <c r="AC62" s="179">
        <f>INDEX(Исходник!AM:AM,MATCH(Модель!B62,Исходник!B:B,0))</f>
        <v>0.15888609362490083</v>
      </c>
    </row>
    <row r="63" spans="1:29" x14ac:dyDescent="0.25">
      <c r="A63" s="88">
        <v>39394</v>
      </c>
      <c r="B63" s="89" t="s">
        <v>216</v>
      </c>
      <c r="C63" s="89" t="s">
        <v>408</v>
      </c>
      <c r="D63" s="89">
        <v>5</v>
      </c>
      <c r="E63" s="90">
        <f>2/D63</f>
        <v>0.4</v>
      </c>
      <c r="F63" s="93"/>
      <c r="G63" s="102">
        <f>(2007*D63-(1970+1971+1946+1957+1972))/D63</f>
        <v>43.8</v>
      </c>
      <c r="H63" s="103">
        <f>2/D63</f>
        <v>0.4</v>
      </c>
      <c r="I63" s="160">
        <v>0</v>
      </c>
      <c r="J63" s="93"/>
      <c r="K63" s="93"/>
      <c r="L63" s="93"/>
      <c r="M63" s="99">
        <f>8/D63</f>
        <v>1.6</v>
      </c>
      <c r="N63" s="93"/>
      <c r="O63" s="90">
        <f>2/D63</f>
        <v>0.4</v>
      </c>
      <c r="P63" s="203">
        <f>1/D63</f>
        <v>0.2</v>
      </c>
      <c r="Q63" s="228">
        <f>INDEX(Исходник!$O:$O,MATCH(Модель!B63,Исходник!$B:$B,0))</f>
        <v>3.4482758620689789E-3</v>
      </c>
      <c r="R63" s="216">
        <f>(-INDEX([1]Databook_Dealogic!$P:$P,MATCH(Модель!B63,[1]Databook_Dealogic!$D:$D,0))+INDEX([1]Databook_Dealogic!$AF:$AF,MATCH(Модель!B63,[1]Databook_Dealogic!$D:$D,0)))/INDEX([1]Databook_Dealogic!$P:$P,MATCH(Модель!B63,[1]Databook_Dealogic!$D:$D,0))</f>
        <v>7.3973848737727083E-2</v>
      </c>
      <c r="S63" s="158">
        <f>INDEX(Исходник!Z:Z,MATCH(Модель!B63,Исходник!$B:$B,0))</f>
        <v>38741.328999999998</v>
      </c>
      <c r="T63" s="89">
        <f>(INDEX(Исходник!AA:AA,MATCH(Модель!B63,Исходник!B:B,0)))/Модель!S63</f>
        <v>0.86733322958538672</v>
      </c>
      <c r="U63" s="89">
        <f>INDEX(Исходник!Y:Y,MATCH(Модель!B63,Исходник!B:B,0))</f>
        <v>14</v>
      </c>
      <c r="V63" s="99">
        <f>YEAR(A63)</f>
        <v>2007</v>
      </c>
      <c r="W63" s="89" t="str">
        <f>INDEX(Исходник!E:E,MATCH(Модель!B63,Исходник!B:B,0))</f>
        <v>Real Estate/Property</v>
      </c>
      <c r="X63" s="90">
        <f>INDEX(Исходник!AP:AP,MATCH(Модель!B63,Исходник!B:B,0))</f>
        <v>5.0798002196096724E-2</v>
      </c>
      <c r="Y63" s="89">
        <f>INDEX(Исходник!F:F,MATCH(Модель!B63,Исходник!B:B,0))</f>
        <v>19998.119599999998</v>
      </c>
      <c r="Z63" s="89" t="str">
        <f>INDEX(Исходник!W:W,MATCH(Модель!B63,Исходник!B:B,0))</f>
        <v>London Stock Exchange; Moscow Interbank Currency Exchange (MICEX); Russian Trading System</v>
      </c>
      <c r="AA63" s="99">
        <f>INDEX(Исходник!AO:AO,MATCH(Модель!B63,Исходник!B:B,0))</f>
        <v>3.5498313578424394</v>
      </c>
      <c r="AB63">
        <f>INDEX(Исходник!AR:AR,MATCH(Модель!B63,Исходник!B:B,0))</f>
        <v>1.0583881351425697</v>
      </c>
      <c r="AC63" s="179">
        <f>INDEX(Исходник!AM:AM,MATCH(Модель!B63,Исходник!B:B,0))</f>
        <v>0.17173372941587914</v>
      </c>
    </row>
    <row r="64" spans="1:29" x14ac:dyDescent="0.25">
      <c r="A64" s="88">
        <v>39388</v>
      </c>
      <c r="B64" s="89" t="s">
        <v>218</v>
      </c>
      <c r="C64" s="89" t="s">
        <v>409</v>
      </c>
      <c r="D64" s="89">
        <v>7</v>
      </c>
      <c r="E64" s="90">
        <f>5/D64</f>
        <v>0.7142857142857143</v>
      </c>
      <c r="F64" s="89">
        <v>1</v>
      </c>
      <c r="G64" s="91"/>
      <c r="H64" s="103">
        <f>2/D64</f>
        <v>0.2857142857142857</v>
      </c>
      <c r="I64" s="160">
        <v>0</v>
      </c>
      <c r="J64" s="89">
        <v>0</v>
      </c>
      <c r="K64" s="89">
        <v>0</v>
      </c>
      <c r="L64" s="89">
        <v>0</v>
      </c>
      <c r="M64" s="99">
        <f>11/D64</f>
        <v>1.5714285714285714</v>
      </c>
      <c r="N64" s="89">
        <v>2</v>
      </c>
      <c r="O64" s="90">
        <f>2/D64</f>
        <v>0.2857142857142857</v>
      </c>
      <c r="P64" s="203">
        <f>0</f>
        <v>0</v>
      </c>
      <c r="Q64" s="228">
        <f>INDEX(Исходник!$O:$O,MATCH(Модель!B64,Исходник!$B:$B,0))</f>
        <v>8.3333333333333481E-2</v>
      </c>
      <c r="R64" s="216">
        <f>(-INDEX([1]Databook_Dealogic!$P:$P,MATCH(Модель!B64,[1]Databook_Dealogic!$D:$D,0))+INDEX([1]Databook_Dealogic!$AF:$AF,MATCH(Модель!B64,[1]Databook_Dealogic!$D:$D,0)))/INDEX([1]Databook_Dealogic!$P:$P,MATCH(Модель!B64,[1]Databook_Dealogic!$D:$D,0))</f>
        <v>4.3253924748933602E-2</v>
      </c>
      <c r="S64" s="158">
        <f>INDEX(Исходник!Z:Z,MATCH(Модель!B64,Исходник!$B:$B,0))</f>
        <v>17069.783320458886</v>
      </c>
      <c r="T64" s="89">
        <f>(INDEX(Исходник!AA:AA,MATCH(Модель!B64,Исходник!B:B,0)))/Модель!S64</f>
        <v>0.74248956376041642</v>
      </c>
      <c r="U64" s="89">
        <f>INDEX(Исходник!Y:Y,MATCH(Модель!B64,Исходник!B:B,0))</f>
        <v>15</v>
      </c>
      <c r="V64" s="99">
        <f>YEAR(A64)</f>
        <v>2007</v>
      </c>
      <c r="W64" s="89" t="str">
        <f>INDEX(Исходник!E:E,MATCH(Модель!B64,Исходник!B:B,0))</f>
        <v>Transportation</v>
      </c>
      <c r="X64" s="90">
        <f>INDEX(Исходник!AP:AP,MATCH(Модель!B64,Исходник!B:B,0))</f>
        <v>0.18266967610924559</v>
      </c>
      <c r="Y64" s="89">
        <f>INDEX(Исходник!F:F,MATCH(Модель!B64,Исходник!B:B,0))</f>
        <v>24737.460499999997</v>
      </c>
      <c r="Z64" s="89" t="str">
        <f>INDEX(Исходник!W:W,MATCH(Модель!B64,Исходник!B:B,0))</f>
        <v>London Stock Exchange; Moscow Interbank Currency Exchange (MICEX)</v>
      </c>
      <c r="AA64" s="99">
        <f>INDEX(Исходник!AO:AO,MATCH(Модель!B64,Исходник!B:B,0))</f>
        <v>1.4967920333989988</v>
      </c>
      <c r="AB64">
        <f>INDEX(Исходник!AR:AR,MATCH(Модель!B64,Исходник!B:B,0))</f>
        <v>1.4218172410143433</v>
      </c>
      <c r="AC64" s="179">
        <f>INDEX(Исходник!AM:AM,MATCH(Модель!B64,Исходник!B:B,0))</f>
        <v>0.15262713641027906</v>
      </c>
    </row>
    <row r="65" spans="1:29" x14ac:dyDescent="0.25">
      <c r="A65" s="133">
        <v>39388</v>
      </c>
      <c r="B65" s="134" t="s">
        <v>220</v>
      </c>
      <c r="C65" s="134" t="s">
        <v>410</v>
      </c>
      <c r="D65" s="96">
        <v>7</v>
      </c>
      <c r="E65" s="104">
        <f>4/D65</f>
        <v>0.5714285714285714</v>
      </c>
      <c r="F65" s="96"/>
      <c r="G65" s="135">
        <f>(46+52+60+66+60+68+56)/D65</f>
        <v>58.285714285714285</v>
      </c>
      <c r="H65" s="136">
        <f>2/D65</f>
        <v>0.2857142857142857</v>
      </c>
      <c r="I65" s="160">
        <v>0.14285714285714285</v>
      </c>
      <c r="J65" s="96">
        <f>1</f>
        <v>1</v>
      </c>
      <c r="K65" s="96">
        <f>2+11+1</f>
        <v>14</v>
      </c>
      <c r="L65" s="96">
        <f>1+1+1+1</f>
        <v>4</v>
      </c>
      <c r="M65" s="137">
        <f>(1+2+1+1+1+2+2)/D65</f>
        <v>1.4285714285714286</v>
      </c>
      <c r="N65" s="96">
        <v>3</v>
      </c>
      <c r="O65" s="104">
        <f>(1+1+1)/D65</f>
        <v>0.42857142857142855</v>
      </c>
      <c r="P65" s="199">
        <f>(1+1+1+1)/D65</f>
        <v>0.5714285714285714</v>
      </c>
      <c r="Q65" s="228">
        <f>INDEX(Исходник!$O:$O,MATCH(Модель!B65,Исходник!$B:$B,0))</f>
        <v>6.5957446808510678E-2</v>
      </c>
      <c r="R65" s="216">
        <f>(-INDEX([1]Databook_Dealogic!$P:$P,MATCH(Модель!B65,[1]Databook_Dealogic!$D:$D,0))+INDEX([1]Databook_Dealogic!$AF:$AF,MATCH(Модель!B65,[1]Databook_Dealogic!$D:$D,0)))/INDEX([1]Databook_Dealogic!$P:$P,MATCH(Модель!B65,[1]Databook_Dealogic!$D:$D,0))</f>
        <v>8.7233366796505452E-2</v>
      </c>
      <c r="S65" s="158">
        <f>INDEX(Исходник!Z:Z,MATCH(Модель!B65,Исходник!$B:$B,0))</f>
        <v>35191.391657160508</v>
      </c>
      <c r="T65" s="89">
        <f>(INDEX(Исходник!AA:AA,MATCH(Модель!B65,Исходник!B:B,0)))/Модель!S65</f>
        <v>0.49597649123510457</v>
      </c>
      <c r="U65" s="89">
        <f>INDEX(Исходник!Y:Y,MATCH(Модель!B65,Исходник!B:B,0))</f>
        <v>3</v>
      </c>
      <c r="V65" s="99">
        <f>YEAR(A65)</f>
        <v>2007</v>
      </c>
      <c r="W65" s="89" t="str">
        <f>INDEX(Исходник!E:E,MATCH(Модель!B65,Исходник!B:B,0))</f>
        <v>Oil &amp; Gas</v>
      </c>
      <c r="X65" s="90">
        <f>INDEX(Исходник!AP:AP,MATCH(Модель!B65,Исходник!B:B,0))</f>
        <v>4.6744731821331195E-2</v>
      </c>
      <c r="Y65" s="89">
        <f>INDEX(Исходник!F:F,MATCH(Модель!B65,Исходник!B:B,0))</f>
        <v>20207.194200000002</v>
      </c>
      <c r="Z65" s="89" t="str">
        <f>INDEX(Исходник!W:W,MATCH(Модель!B65,Исходник!B:B,0))</f>
        <v>London Stock Exchange</v>
      </c>
      <c r="AA65" s="99">
        <f>INDEX(Исходник!AO:AO,MATCH(Модель!B65,Исходник!B:B,0))</f>
        <v>4.2465672895234094</v>
      </c>
      <c r="AB65">
        <f>INDEX(Исходник!AR:AR,MATCH(Модель!B65,Исходник!B:B,0))</f>
        <v>1.5337678755755555</v>
      </c>
      <c r="AC65" s="179">
        <f>INDEX(Исходник!AM:AM,MATCH(Модель!B65,Исходник!B:B,0))</f>
        <v>0.42944420200737893</v>
      </c>
    </row>
    <row r="66" spans="1:29" x14ac:dyDescent="0.25">
      <c r="A66" s="105">
        <v>39387</v>
      </c>
      <c r="B66" s="87" t="s">
        <v>223</v>
      </c>
      <c r="C66" s="87" t="s">
        <v>411</v>
      </c>
      <c r="D66" s="89">
        <v>9</v>
      </c>
      <c r="E66" s="90">
        <f>4/D66</f>
        <v>0.44444444444444442</v>
      </c>
      <c r="F66" s="89">
        <v>1</v>
      </c>
      <c r="G66" s="102">
        <f>(2007*D66-(1967+1967+1967+1971+1959+1951+1942+1968+1963))/D66</f>
        <v>45.333333333333336</v>
      </c>
      <c r="H66" s="103">
        <f>1/D66</f>
        <v>0.1111111111111111</v>
      </c>
      <c r="I66" s="160">
        <v>0</v>
      </c>
      <c r="J66" s="89">
        <v>1</v>
      </c>
      <c r="K66" s="89">
        <v>0</v>
      </c>
      <c r="L66" s="89">
        <v>0</v>
      </c>
      <c r="M66" s="99">
        <f>8/D66</f>
        <v>0.88888888888888884</v>
      </c>
      <c r="N66" s="89">
        <v>2</v>
      </c>
      <c r="O66" s="90">
        <f>4/D66</f>
        <v>0.44444444444444442</v>
      </c>
      <c r="P66" s="203">
        <f>5/D66</f>
        <v>0.55555555555555558</v>
      </c>
      <c r="Q66" s="228">
        <f>INDEX(Исходник!$O:$O,MATCH(Модель!B66,Исходник!$B:$B,0))</f>
        <v>1.1510791366906581E-2</v>
      </c>
      <c r="R66" s="216">
        <f>(-INDEX([1]Databook_Dealogic!$P:$P,MATCH(Модель!B66,[1]Databook_Dealogic!$D:$D,0))+INDEX([1]Databook_Dealogic!$AF:$AF,MATCH(Модель!B66,[1]Databook_Dealogic!$D:$D,0)))/INDEX([1]Databook_Dealogic!$P:$P,MATCH(Модель!B66,[1]Databook_Dealogic!$D:$D,0))</f>
        <v>-0.145623822920879</v>
      </c>
      <c r="S66" s="158">
        <f>INDEX(Исходник!Z:Z,MATCH(Модель!B66,Исходник!$B:$B,0))</f>
        <v>15616</v>
      </c>
      <c r="T66" s="89">
        <f>(INDEX(Исходник!AA:AA,MATCH(Модель!B66,Исходник!B:B,0)))/Модель!S66</f>
        <v>0.92987961065573765</v>
      </c>
      <c r="U66" s="89">
        <f>INDEX(Исходник!Y:Y,MATCH(Модель!B66,Исходник!B:B,0))</f>
        <v>14</v>
      </c>
      <c r="V66" s="99">
        <f>YEAR(A66)</f>
        <v>2007</v>
      </c>
      <c r="W66" s="89" t="str">
        <f>INDEX(Исходник!E:E,MATCH(Модель!B66,Исходник!B:B,0))</f>
        <v>Retail</v>
      </c>
      <c r="X66" s="90">
        <f>INDEX(Исходник!AP:AP,MATCH(Модель!B66,Исходник!B:B,0))</f>
        <v>3.3009869785187031E-2</v>
      </c>
      <c r="Y66" s="89">
        <f>INDEX(Исходник!F:F,MATCH(Модель!B66,Исходник!B:B,0))</f>
        <v>9401.0859999999993</v>
      </c>
      <c r="Z66" s="89" t="str">
        <f>INDEX(Исходник!W:W,MATCH(Модель!B66,Исходник!B:B,0))</f>
        <v>Moscow Interbank Currency Exchange (MICEX); Russian Trading System</v>
      </c>
      <c r="AA66" s="99">
        <f>INDEX(Исходник!AO:AO,MATCH(Модель!B66,Исходник!B:B,0))</f>
        <v>4.2226832641770402</v>
      </c>
      <c r="AB66">
        <f>INDEX(Исходник!AR:AR,MATCH(Модель!B66,Исходник!B:B,0))</f>
        <v>0.98143948937599734</v>
      </c>
      <c r="AC66" s="179">
        <f>INDEX(Исходник!AM:AM,MATCH(Модель!B66,Исходник!B:B,0))</f>
        <v>4.6048022418954206E-2</v>
      </c>
    </row>
    <row r="67" spans="1:29" x14ac:dyDescent="0.25">
      <c r="A67" s="88">
        <v>39367</v>
      </c>
      <c r="B67" s="89" t="s">
        <v>224</v>
      </c>
      <c r="C67" s="89" t="s">
        <v>412</v>
      </c>
      <c r="D67" s="89">
        <v>9</v>
      </c>
      <c r="E67" s="95"/>
      <c r="F67" s="89">
        <v>1</v>
      </c>
      <c r="G67" s="102">
        <f>(2007*D67-(1966+1974+1972+1960+1969+1957+1973+1962+1951))/D67</f>
        <v>42.111111111111114</v>
      </c>
      <c r="H67" s="103">
        <f>(1+1+1+1)/D67</f>
        <v>0.44444444444444442</v>
      </c>
      <c r="I67" s="160">
        <v>0</v>
      </c>
      <c r="J67" s="93"/>
      <c r="K67" s="89">
        <f>2+1+4+1+1+1+3</f>
        <v>13</v>
      </c>
      <c r="L67" s="89">
        <f>1</f>
        <v>1</v>
      </c>
      <c r="M67" s="99">
        <f>(1+1+2+2+1+1+1+1+2)/D67</f>
        <v>1.3333333333333333</v>
      </c>
      <c r="N67" s="89">
        <v>2</v>
      </c>
      <c r="O67" s="90">
        <f>(1)/D67</f>
        <v>0.1111111111111111</v>
      </c>
      <c r="P67" s="203">
        <f>1/D67</f>
        <v>0.1111111111111111</v>
      </c>
      <c r="Q67" s="228">
        <f>INDEX(Исходник!$O:$O,MATCH(Модель!B67,Исходник!$B:$B,0))</f>
        <v>0.23428571428571443</v>
      </c>
      <c r="R67" s="216">
        <f>(-INDEX([1]Databook_Dealogic!$P:$P,MATCH(Модель!B67,[1]Databook_Dealogic!$D:$D,0))+INDEX([1]Databook_Dealogic!$AF:$AF,MATCH(Модель!B67,[1]Databook_Dealogic!$D:$D,0)))/INDEX([1]Databook_Dealogic!$P:$P,MATCH(Модель!B67,[1]Databook_Dealogic!$D:$D,0))</f>
        <v>0.35580820348647374</v>
      </c>
      <c r="S67" s="158">
        <f>INDEX(Исходник!Z:Z,MATCH(Модель!B67,Исходник!$B:$B,0))</f>
        <v>33038</v>
      </c>
      <c r="T67" s="89">
        <f>(INDEX(Исходник!AA:AA,MATCH(Модель!B67,Исходник!B:B,0)))/Модель!S67</f>
        <v>0.4657666928990859</v>
      </c>
      <c r="U67" s="89">
        <f>INDEX(Исходник!Y:Y,MATCH(Модель!B67,Исходник!B:B,0))</f>
        <v>15</v>
      </c>
      <c r="V67" s="99">
        <f>YEAR(A67)</f>
        <v>2007</v>
      </c>
      <c r="W67" s="89" t="str">
        <f>INDEX(Исходник!E:E,MATCH(Модель!B67,Исходник!B:B,0))</f>
        <v>Chemicals-Fertilizers</v>
      </c>
      <c r="X67" s="90">
        <f>INDEX(Исходник!AP:AP,MATCH(Модель!B67,Исходник!B:B,0))</f>
        <v>0.11061512647608193</v>
      </c>
      <c r="Y67" s="89">
        <f>INDEX(Исходник!F:F,MATCH(Модель!B67,Исходник!B:B,0))</f>
        <v>31165.3053</v>
      </c>
      <c r="Z67" s="89" t="str">
        <f>INDEX(Исходник!W:W,MATCH(Модель!B67,Исходник!B:B,0))</f>
        <v>London Stock Exchange; Moscow</v>
      </c>
      <c r="AA67" s="99">
        <f>INDEX(Исходник!AO:AO,MATCH(Модель!B67,Исходник!B:B,0))</f>
        <v>1.3458473797119215</v>
      </c>
      <c r="AB67">
        <f>INDEX(Исходник!AR:AR,MATCH(Модель!B67,Исходник!B:B,0))</f>
        <v>0.87149380300065227</v>
      </c>
      <c r="AC67" s="179">
        <f>INDEX(Исходник!AM:AM,MATCH(Модель!B67,Исходник!B:B,0))</f>
        <v>0.29277703005832212</v>
      </c>
    </row>
    <row r="68" spans="1:29" x14ac:dyDescent="0.25">
      <c r="A68" s="144">
        <v>39297</v>
      </c>
      <c r="B68" s="96" t="s">
        <v>231</v>
      </c>
      <c r="C68" s="96" t="s">
        <v>413</v>
      </c>
      <c r="D68" s="96">
        <v>9</v>
      </c>
      <c r="E68" s="104">
        <f>6/D68</f>
        <v>0.66666666666666663</v>
      </c>
      <c r="F68" s="96">
        <v>1</v>
      </c>
      <c r="G68" s="135">
        <f>(2007*D68-(1965+1968+1969+1947+1966+1968+1963+1950+1957))/D68</f>
        <v>45.555555555555557</v>
      </c>
      <c r="H68" s="136">
        <f>4/D68</f>
        <v>0.44444444444444442</v>
      </c>
      <c r="I68" s="160">
        <v>0</v>
      </c>
      <c r="J68" s="96">
        <v>1</v>
      </c>
      <c r="K68" s="96">
        <f>3+3+3+4+2+4+2+1</f>
        <v>22</v>
      </c>
      <c r="L68" s="96">
        <v>0</v>
      </c>
      <c r="M68" s="137">
        <f>12/D68</f>
        <v>1.3333333333333333</v>
      </c>
      <c r="N68" s="96">
        <v>4</v>
      </c>
      <c r="O68" s="104">
        <f>4/D68</f>
        <v>0.44444444444444442</v>
      </c>
      <c r="P68" s="199">
        <f>1/D68</f>
        <v>0.1111111111111111</v>
      </c>
      <c r="Q68" s="228">
        <f>INDEX(Исходник!$O:$O,MATCH(Модель!B68,Исходник!$B:$B,0))</f>
        <v>0.17468805704099832</v>
      </c>
      <c r="R68" s="216">
        <f>(-INDEX([1]Databook_Dealogic!$P:$P,MATCH(Модель!B68,[1]Databook_Dealogic!$D:$D,0))+INDEX([1]Databook_Dealogic!$AF:$AF,MATCH(Модель!B68,[1]Databook_Dealogic!$D:$D,0)))/INDEX([1]Databook_Dealogic!$P:$P,MATCH(Модель!B68,[1]Databook_Dealogic!$D:$D,0))</f>
        <v>0.12515175282234117</v>
      </c>
      <c r="S68" s="158">
        <f>INDEX(Исходник!Z:Z,MATCH(Модель!B68,Исходник!$B:$B,0))</f>
        <v>44509.443659999997</v>
      </c>
      <c r="T68" s="89">
        <f>(INDEX(Исходник!AA:AA,MATCH(Модель!B68,Исходник!B:B,0)))/Модель!S68</f>
        <v>0.59937247460980736</v>
      </c>
      <c r="U68" s="89">
        <f>INDEX(Исходник!Y:Y,MATCH(Модель!B68,Исходник!B:B,0))</f>
        <v>15</v>
      </c>
      <c r="V68" s="99">
        <f>YEAR(A68)</f>
        <v>2007</v>
      </c>
      <c r="W68" s="89" t="str">
        <f>INDEX(Исходник!E:E,MATCH(Модель!B68,Исходник!B:B,0))</f>
        <v>Transportation</v>
      </c>
      <c r="X68" s="90">
        <f>INDEX(Исходник!AP:AP,MATCH(Модель!B68,Исходник!B:B,0))</f>
        <v>3.8711787169527612E-2</v>
      </c>
      <c r="Y68" s="89">
        <f>INDEX(Исходник!F:F,MATCH(Модель!B68,Исходник!B:B,0))</f>
        <v>5256.2028</v>
      </c>
      <c r="Z68" s="89" t="str">
        <f>INDEX(Исходник!W:W,MATCH(Модель!B68,Исходник!B:B,0))</f>
        <v>Moscow</v>
      </c>
      <c r="AA68" s="99">
        <f>INDEX(Исходник!AO:AO,MATCH(Модель!B68,Исходник!B:B,0))</f>
        <v>4.5093330553142383</v>
      </c>
      <c r="AB68">
        <f>INDEX(Исходник!AR:AR,MATCH(Модель!B68,Исходник!B:B,0))</f>
        <v>0.59007266804003133</v>
      </c>
      <c r="AC68" s="179">
        <f>INDEX(Исходник!AM:AM,MATCH(Модель!B68,Исходник!B:B,0))</f>
        <v>0.38423015415974293</v>
      </c>
    </row>
    <row r="69" spans="1:29" x14ac:dyDescent="0.25">
      <c r="A69" s="88">
        <v>39234</v>
      </c>
      <c r="B69" s="89" t="s">
        <v>232</v>
      </c>
      <c r="C69" s="89" t="s">
        <v>414</v>
      </c>
      <c r="D69" s="89">
        <v>7</v>
      </c>
      <c r="E69" s="90">
        <f>5/D69</f>
        <v>0.7142857142857143</v>
      </c>
      <c r="F69" s="89">
        <v>1</v>
      </c>
      <c r="G69" s="102">
        <f>(2007*D69-(1958+1957+1977+1956+1935+1958+1946))/D69</f>
        <v>51.714285714285715</v>
      </c>
      <c r="H69" s="92"/>
      <c r="I69" s="160">
        <v>0.14285714285714285</v>
      </c>
      <c r="J69" s="93"/>
      <c r="K69" s="93"/>
      <c r="L69" s="93"/>
      <c r="M69" s="99">
        <v>1</v>
      </c>
      <c r="N69" s="89">
        <v>2</v>
      </c>
      <c r="O69" s="95"/>
      <c r="P69" s="203">
        <f>5/D69</f>
        <v>0.7142857142857143</v>
      </c>
      <c r="Q69" s="228">
        <f>INDEX(Исходник!$O:$O,MATCH(Модель!B69,Исходник!$B:$B,0))</f>
        <v>0.140625</v>
      </c>
      <c r="R69" s="216">
        <f>(-INDEX([1]Databook_Dealogic!$P:$P,MATCH(Модель!B69,[1]Databook_Dealogic!$D:$D,0))+INDEX([1]Databook_Dealogic!$AF:$AF,MATCH(Модель!B69,[1]Databook_Dealogic!$D:$D,0)))/INDEX([1]Databook_Dealogic!$P:$P,MATCH(Модель!B69,[1]Databook_Dealogic!$D:$D,0))</f>
        <v>0.15231761715236466</v>
      </c>
      <c r="S69" s="158">
        <f>INDEX(Исходник!Z:Z,MATCH(Модель!B69,Исходник!$B:$B,0))</f>
        <v>2709.0423268040345</v>
      </c>
      <c r="T69" s="89">
        <f>(INDEX(Исходник!AA:AA,MATCH(Модель!B69,Исходник!B:B,0)))/Модель!S69</f>
        <v>1.2388765350481798</v>
      </c>
      <c r="U69" s="89">
        <f>INDEX(Исходник!Y:Y,MATCH(Модель!B69,Исходник!B:B,0))</f>
        <v>16</v>
      </c>
      <c r="V69" s="99">
        <f>YEAR(A69)</f>
        <v>2007</v>
      </c>
      <c r="W69" s="89" t="str">
        <f>INDEX(Исходник!E:E,MATCH(Модель!B69,Исходник!B:B,0))</f>
        <v>Dining &amp; Lodging</v>
      </c>
      <c r="X69" s="90">
        <f>INDEX(Исходник!AP:AP,MATCH(Модель!B69,Исходник!B:B,0))</f>
        <v>1.8120842993712136E-4</v>
      </c>
      <c r="Y69" s="89">
        <f>INDEX(Исходник!F:F,MATCH(Модель!B69,Исходник!B:B,0))</f>
        <v>2652.88</v>
      </c>
      <c r="Z69" s="89" t="str">
        <f>INDEX(Исходник!W:W,MATCH(Модель!B69,Исходник!B:B,0))</f>
        <v>Russian Trading System</v>
      </c>
      <c r="AA69" s="99">
        <f>INDEX(Исходник!AO:AO,MATCH(Модель!B69,Исходник!B:B,0))</f>
        <v>3.0990977951464274</v>
      </c>
      <c r="AB69">
        <f>INDEX(Исходник!AR:AR,MATCH(Модель!B69,Исходник!B:B,0))</f>
        <v>0.36910014911293026</v>
      </c>
      <c r="AC69" s="179">
        <f>INDEX(Исходник!AM:AM,MATCH(Модель!B69,Исходник!B:B,0))</f>
        <v>9.4805741311646374E-2</v>
      </c>
    </row>
    <row r="70" spans="1:29" x14ac:dyDescent="0.25">
      <c r="A70" s="105">
        <v>39233</v>
      </c>
      <c r="B70" s="87" t="s">
        <v>234</v>
      </c>
      <c r="C70" s="87" t="s">
        <v>415</v>
      </c>
      <c r="D70" s="89">
        <v>10</v>
      </c>
      <c r="E70" s="90">
        <f>3/D70</f>
        <v>0.3</v>
      </c>
      <c r="F70" s="89">
        <v>1</v>
      </c>
      <c r="G70" s="102">
        <f>(2007*D70-(1969+1969+1969+1960+1975+1973+1969+1969+1961+1969))/D70</f>
        <v>38.700000000000003</v>
      </c>
      <c r="H70" s="103">
        <f>(1+1+1+1+1+1+1+1)/D70</f>
        <v>0.8</v>
      </c>
      <c r="I70" s="160">
        <v>0.1</v>
      </c>
      <c r="J70" s="89">
        <v>0</v>
      </c>
      <c r="K70" s="89">
        <f>4+1+5+3+5+2</f>
        <v>20</v>
      </c>
      <c r="L70" s="89">
        <f>1</f>
        <v>1</v>
      </c>
      <c r="M70" s="99">
        <f>(1+2+2+1+1+1+1+1+1+1)/D70</f>
        <v>1.2</v>
      </c>
      <c r="N70" s="89">
        <v>3</v>
      </c>
      <c r="O70" s="90">
        <f>(1+1+1+1+1+1+1+1)/D70</f>
        <v>0.8</v>
      </c>
      <c r="P70" s="203">
        <f>3/D70</f>
        <v>0.3</v>
      </c>
      <c r="Q70" s="228">
        <f>INDEX(Исходник!$O:$O,MATCH(Модель!B70,Исходник!$B:$B,0))</f>
        <v>0</v>
      </c>
      <c r="R70" s="216">
        <f>(-INDEX([1]Databook_Dealogic!$P:$P,MATCH(Модель!B70,[1]Databook_Dealogic!$D:$D,0))+INDEX([1]Databook_Dealogic!$AF:$AF,MATCH(Модель!B70,[1]Databook_Dealogic!$D:$D,0)))/INDEX([1]Databook_Dealogic!$P:$P,MATCH(Модель!B70,[1]Databook_Dealogic!$D:$D,0))</f>
        <v>-1.3179889665707736E-4</v>
      </c>
      <c r="S70" s="158">
        <f>INDEX(Исходник!Z:Z,MATCH(Модель!B70,Исходник!$B:$B,0))</f>
        <v>65653.951000000001</v>
      </c>
      <c r="T70" s="89">
        <f>(INDEX(Исходник!AA:AA,MATCH(Модель!B70,Исходник!B:B,0)))/Модель!S70</f>
        <v>0.84873845596893316</v>
      </c>
      <c r="U70" s="89">
        <f>INDEX(Исходник!Y:Y,MATCH(Модель!B70,Исходник!B:B,0))</f>
        <v>13</v>
      </c>
      <c r="V70" s="99">
        <f>YEAR(A70)</f>
        <v>2007</v>
      </c>
      <c r="W70" s="89" t="str">
        <f>INDEX(Исходник!E:E,MATCH(Модель!B70,Исходник!B:B,0))</f>
        <v>Real Estate/Property</v>
      </c>
      <c r="X70" s="90">
        <f>INDEX(Исходник!AP:AP,MATCH(Модель!B70,Исходник!B:B,0))</f>
        <v>0.14737413594370738</v>
      </c>
      <c r="Y70" s="89">
        <f>INDEX(Исходник!F:F,MATCH(Модель!B70,Исходник!B:B,0))</f>
        <v>51174.055200000003</v>
      </c>
      <c r="Z70" s="89" t="str">
        <f>INDEX(Исходник!W:W,MATCH(Модель!B70,Исходник!B:B,0))</f>
        <v>London Stock Exchange; Moscow Interbank Currency Exchange (MICEX)</v>
      </c>
      <c r="AA70" s="99">
        <f>INDEX(Исходник!AO:AO,MATCH(Модель!B70,Исходник!B:B,0))</f>
        <v>1.7317555550831176</v>
      </c>
      <c r="AB70">
        <f>INDEX(Исходник!AR:AR,MATCH(Модель!B70,Исходник!B:B,0))</f>
        <v>1.2173610086363567</v>
      </c>
      <c r="AC70" s="179">
        <f>INDEX(Исходник!AM:AM,MATCH(Модель!B70,Исходник!B:B,0))</f>
        <v>0.31436001302106775</v>
      </c>
    </row>
    <row r="71" spans="1:29" ht="16.5" customHeight="1" x14ac:dyDescent="0.25">
      <c r="A71" s="88">
        <v>39220</v>
      </c>
      <c r="B71" s="89" t="s">
        <v>236</v>
      </c>
      <c r="C71" s="89" t="s">
        <v>416</v>
      </c>
      <c r="D71" s="89">
        <v>7</v>
      </c>
      <c r="E71" s="90">
        <f>2/D71</f>
        <v>0.2857142857142857</v>
      </c>
      <c r="F71" s="89">
        <v>1</v>
      </c>
      <c r="G71" s="102">
        <f>(2007*D71-(1969+1977+1969+1968+1975+1959+1965))/D71</f>
        <v>38.142857142857146</v>
      </c>
      <c r="H71" s="92"/>
      <c r="I71" s="160">
        <v>0</v>
      </c>
      <c r="J71" s="89">
        <v>0</v>
      </c>
      <c r="K71" s="89">
        <f>2+2</f>
        <v>4</v>
      </c>
      <c r="L71" s="89">
        <f>1</f>
        <v>1</v>
      </c>
      <c r="M71" s="94"/>
      <c r="N71" s="89">
        <v>2</v>
      </c>
      <c r="O71" s="95"/>
      <c r="P71" s="203">
        <f>3/D71</f>
        <v>0.42857142857142855</v>
      </c>
      <c r="Q71" s="228">
        <f>INDEX(Исходник!$O:$O,MATCH(Модель!B71,Исходник!$B:$B,0))</f>
        <v>1.0416666666666741E-2</v>
      </c>
      <c r="R71" s="216">
        <f>(-INDEX([1]Databook_Dealogic!$P:$P,MATCH(Модель!B71,[1]Databook_Dealogic!$D:$D,0))+INDEX([1]Databook_Dealogic!$AF:$AF,MATCH(Модель!B71,[1]Databook_Dealogic!$D:$D,0)))/INDEX([1]Databook_Dealogic!$P:$P,MATCH(Модель!B71,[1]Databook_Dealogic!$D:$D,0))</f>
        <v>-1.9305294002667717E-2</v>
      </c>
      <c r="S71" s="158">
        <f>INDEX(Исходник!Z:Z,MATCH(Модель!B71,Исходник!$B:$B,0))</f>
        <v>12798.159</v>
      </c>
      <c r="T71" s="89">
        <f>(INDEX(Исходник!AA:AA,MATCH(Модель!B71,Исходник!B:B,0)))/Модель!S71</f>
        <v>0.86716651980960702</v>
      </c>
      <c r="U71" s="89">
        <f>INDEX(Исходник!Y:Y,MATCH(Модель!B71,Исходник!B:B,0))</f>
        <v>4</v>
      </c>
      <c r="V71" s="99">
        <f>YEAR(A71)</f>
        <v>2007</v>
      </c>
      <c r="W71" s="89" t="str">
        <f>INDEX(Исходник!E:E,MATCH(Модель!B71,Исходник!B:B,0))</f>
        <v>Retail</v>
      </c>
      <c r="X71" s="90">
        <f>INDEX(Исходник!AP:AP,MATCH(Модель!B71,Исходник!B:B,0))</f>
        <v>2.2745771780256774E-2</v>
      </c>
      <c r="Y71" s="89">
        <f>INDEX(Исходник!F:F,MATCH(Модель!B71,Исходник!B:B,0))</f>
        <v>9427.7880000000005</v>
      </c>
      <c r="Z71" s="89" t="str">
        <f>INDEX(Исходник!W:W,MATCH(Модель!B71,Исходник!B:B,0))</f>
        <v>Moscow Interbank Currency Exchange (MICEX)</v>
      </c>
      <c r="AA71" s="99">
        <f>INDEX(Исходник!AO:AO,MATCH(Модель!B71,Исходник!B:B,0))</f>
        <v>4.8602307375360523</v>
      </c>
      <c r="AB71">
        <f>INDEX(Исходник!AR:AR,MATCH(Модель!B71,Исходник!B:B,0))</f>
        <v>0.50431649669482836</v>
      </c>
      <c r="AC71" s="179">
        <f>INDEX(Исходник!AM:AM,MATCH(Модель!B71,Исходник!B:B,0))</f>
        <v>4.4230530912165861E-2</v>
      </c>
    </row>
    <row r="72" spans="1:29" x14ac:dyDescent="0.25">
      <c r="A72" s="105">
        <v>39205</v>
      </c>
      <c r="B72" s="87" t="s">
        <v>238</v>
      </c>
      <c r="C72" s="87" t="s">
        <v>417</v>
      </c>
      <c r="D72" s="89">
        <v>9</v>
      </c>
      <c r="E72" s="90">
        <f>1/D72</f>
        <v>0.1111111111111111</v>
      </c>
      <c r="F72" s="89">
        <v>1</v>
      </c>
      <c r="G72" s="102">
        <f>(2007*D72-(1972+1964+1971+1972+1969+1973+1974+1968+1973))/D72</f>
        <v>36.333333333333336</v>
      </c>
      <c r="H72" s="103">
        <f>3/D72</f>
        <v>0.33333333333333331</v>
      </c>
      <c r="I72" s="160">
        <v>0.33333333333333331</v>
      </c>
      <c r="J72" s="89">
        <v>0</v>
      </c>
      <c r="K72" s="89">
        <f>1+2+1</f>
        <v>4</v>
      </c>
      <c r="L72" s="89">
        <v>0</v>
      </c>
      <c r="M72" s="99">
        <f>1</f>
        <v>1</v>
      </c>
      <c r="N72" s="89">
        <v>2</v>
      </c>
      <c r="O72" s="90">
        <f>1/D72</f>
        <v>0.1111111111111111</v>
      </c>
      <c r="P72" s="203">
        <v>0</v>
      </c>
      <c r="Q72" s="228">
        <f>INDEX(Исходник!$O:$O,MATCH(Модель!B72,Исходник!$B:$B,0))</f>
        <v>0.17525773195876293</v>
      </c>
      <c r="R72" s="216">
        <f>(-INDEX([1]Databook_Dealogic!$P:$P,MATCH(Модель!B72,[1]Databook_Dealogic!$D:$D,0))+INDEX([1]Databook_Dealogic!$AF:$AF,MATCH(Модель!B72,[1]Databook_Dealogic!$D:$D,0)))/INDEX([1]Databook_Dealogic!$P:$P,MATCH(Модель!B72,[1]Databook_Dealogic!$D:$D,0))</f>
        <v>0.16100044076723907</v>
      </c>
      <c r="S72" s="158">
        <f>INDEX(Исходник!Z:Z,MATCH(Модель!B72,Исходник!$B:$B,0))</f>
        <v>13769.8</v>
      </c>
      <c r="T72" s="89">
        <f>(INDEX(Исходник!AA:AA,MATCH(Модель!B72,Исходник!B:B,0)))/Модель!S72</f>
        <v>0.53955032026608962</v>
      </c>
      <c r="U72" s="89">
        <f>INDEX(Исходник!Y:Y,MATCH(Модель!B72,Исходник!B:B,0))</f>
        <v>1</v>
      </c>
      <c r="V72" s="99">
        <f>YEAR(A72)</f>
        <v>2007</v>
      </c>
      <c r="W72" s="89" t="str">
        <f>INDEX(Исходник!E:E,MATCH(Модель!B72,Исходник!B:B,0))</f>
        <v>Healthcare</v>
      </c>
      <c r="X72" s="90">
        <f>INDEX(Исходник!AP:AP,MATCH(Модель!B72,Исходник!B:B,0))</f>
        <v>0.18440212957421559</v>
      </c>
      <c r="Y72" s="89">
        <f>INDEX(Исходник!F:F,MATCH(Модель!B72,Исходник!B:B,0))</f>
        <v>25422.588800000001</v>
      </c>
      <c r="Z72" s="89" t="str">
        <f>INDEX(Исходник!W:W,MATCH(Модель!B72,Исходник!B:B,0))</f>
        <v>London Stock Exchange; Moscow Interbank Currency Exchange (MICEX)</v>
      </c>
      <c r="AA72" s="99">
        <f>INDEX(Исходник!AO:AO,MATCH(Модель!B72,Исходник!B:B,0))</f>
        <v>1.1322590166958766</v>
      </c>
      <c r="AB72">
        <f>INDEX(Исходник!AR:AR,MATCH(Модель!B72,Исходник!B:B,0))</f>
        <v>1.9699780330584464</v>
      </c>
      <c r="AC72" s="179">
        <f>INDEX(Исходник!AM:AM,MATCH(Модель!B72,Исходник!B:B,0))</f>
        <v>0.38160083916280835</v>
      </c>
    </row>
    <row r="73" spans="1:29" x14ac:dyDescent="0.25">
      <c r="A73" s="88">
        <v>39196</v>
      </c>
      <c r="B73" s="89" t="s">
        <v>243</v>
      </c>
      <c r="C73" s="89" t="s">
        <v>418</v>
      </c>
      <c r="D73" s="89">
        <v>10</v>
      </c>
      <c r="E73" s="90">
        <f>5/D73</f>
        <v>0.5</v>
      </c>
      <c r="F73" s="89">
        <v>1</v>
      </c>
      <c r="G73" s="102">
        <f>(2007*D73-(1948+1951+1956+1968+1961+1970+1952+1958+1954+1943))/D73</f>
        <v>50.9</v>
      </c>
      <c r="H73" s="103">
        <f>(1+1+1+1+1+1)/D73</f>
        <v>0.6</v>
      </c>
      <c r="I73" s="160">
        <v>0.1</v>
      </c>
      <c r="J73" s="89">
        <v>0</v>
      </c>
      <c r="K73" s="89">
        <f>2+1+2+1+1+2+2</f>
        <v>11</v>
      </c>
      <c r="L73" s="93"/>
      <c r="M73" s="99">
        <f>(2+1+2+1+2+1+2+2+2+1)/D73</f>
        <v>1.6</v>
      </c>
      <c r="N73" s="89">
        <v>3</v>
      </c>
      <c r="O73" s="90">
        <f>(1+1+1+1+1)/D73</f>
        <v>0.5</v>
      </c>
      <c r="P73" s="203">
        <f>2/D73</f>
        <v>0.2</v>
      </c>
      <c r="Q73" s="228">
        <f>INDEX(Исходник!$O:$O,MATCH(Модель!B73,Исходник!$B:$B,0))</f>
        <v>-1.7600000000000171E-2</v>
      </c>
      <c r="R73" s="216">
        <f>(-INDEX([1]Databook_Dealogic!$P:$P,MATCH(Модель!B73,[1]Databook_Dealogic!$D:$D,0))+INDEX([1]Databook_Dealogic!$AF:$AF,MATCH(Модель!B73,[1]Databook_Dealogic!$D:$D,0)))/INDEX([1]Databook_Dealogic!$P:$P,MATCH(Модель!B73,[1]Databook_Dealogic!$D:$D,0))</f>
        <v>-2.1702849308535877E-2</v>
      </c>
      <c r="S73" s="158">
        <f>INDEX(Исходник!Z:Z,MATCH(Модель!B73,Исходник!$B:$B,0))</f>
        <v>154373.67827782271</v>
      </c>
      <c r="T73" s="89">
        <f>(INDEX(Исходник!AA:AA,MATCH(Модель!B73,Исходник!B:B,0)))/Модель!S73</f>
        <v>0.29003339778519949</v>
      </c>
      <c r="U73" s="89">
        <f>INDEX(Исходник!Y:Y,MATCH(Модель!B73,Исходник!B:B,0))</f>
        <v>15</v>
      </c>
      <c r="V73" s="99">
        <f>YEAR(A73)</f>
        <v>2007</v>
      </c>
      <c r="W73" s="89" t="str">
        <f>INDEX(Исходник!E:E,MATCH(Модель!B73,Исходник!B:B,0))</f>
        <v>Metal &amp; Steel</v>
      </c>
      <c r="X73" s="90">
        <f>INDEX(Исходник!AP:AP,MATCH(Модель!B73,Исходник!B:B,0))</f>
        <v>0.2705112396850991</v>
      </c>
      <c r="Y73" s="89">
        <f>INDEX(Исходник!F:F,MATCH(Модель!B73,Исходник!B:B,0))</f>
        <v>37340.881170113855</v>
      </c>
      <c r="Z73" s="89" t="str">
        <f>INDEX(Исходник!W:W,MATCH(Модель!B73,Исходник!B:B,0))</f>
        <v>London Stock Exchange; Moscow Interbank Currency Exchange (MICEX); Russian Trading System</v>
      </c>
      <c r="AA73" s="99">
        <f>INDEX(Исходник!AO:AO,MATCH(Модель!B73,Исходник!B:B,0))</f>
        <v>0.63198458574181116</v>
      </c>
      <c r="AB73">
        <f>INDEX(Исходник!AR:AR,MATCH(Модель!B73,Исходник!B:B,0))</f>
        <v>2.5726141078838176</v>
      </c>
      <c r="AC73" s="179">
        <f>INDEX(Исходник!AM:AM,MATCH(Модель!B73,Исходник!B:B,0))</f>
        <v>0.3231631382316314</v>
      </c>
    </row>
    <row r="74" spans="1:29" x14ac:dyDescent="0.25">
      <c r="A74" s="144">
        <v>39192</v>
      </c>
      <c r="B74" s="96" t="s">
        <v>246</v>
      </c>
      <c r="C74" s="96" t="s">
        <v>419</v>
      </c>
      <c r="D74" s="96">
        <v>7</v>
      </c>
      <c r="E74" s="104">
        <v>0</v>
      </c>
      <c r="F74" s="96">
        <v>1</v>
      </c>
      <c r="G74" s="135">
        <f>(39+50+39+47+37+40+67)/D74</f>
        <v>45.571428571428569</v>
      </c>
      <c r="H74" s="136">
        <f>(1+1+1)/D74</f>
        <v>0.42857142857142855</v>
      </c>
      <c r="I74" s="160">
        <v>0</v>
      </c>
      <c r="J74" s="96">
        <v>0</v>
      </c>
      <c r="K74" s="96">
        <f>3+3</f>
        <v>6</v>
      </c>
      <c r="L74" s="93"/>
      <c r="M74" s="137">
        <f>(1+1+2+1+1+2+2)/D74</f>
        <v>1.4285714285714286</v>
      </c>
      <c r="N74" s="96">
        <v>3</v>
      </c>
      <c r="O74" s="104">
        <f>(1+1+1)/D74</f>
        <v>0.42857142857142855</v>
      </c>
      <c r="P74" s="199">
        <f>4/D74</f>
        <v>0.5714285714285714</v>
      </c>
      <c r="Q74" s="228">
        <f>INDEX(Исходник!$O:$O,MATCH(Модель!B74,Исходник!$B:$B,0))</f>
        <v>5.0000000000000044E-2</v>
      </c>
      <c r="R74" s="220"/>
      <c r="S74" s="158">
        <f>INDEX(Исходник!Z:Z,MATCH(Модель!B74,Исходник!$B:$B,0))</f>
        <v>818.94842862096834</v>
      </c>
      <c r="T74" s="89">
        <f>(INDEX(Исходник!AA:AA,MATCH(Модель!B74,Исходник!B:B,0)))/Модель!S74</f>
        <v>0.48286944996686554</v>
      </c>
      <c r="U74" s="89">
        <f>INDEX(Исходник!Y:Y,MATCH(Модель!B74,Исходник!B:B,0))</f>
        <v>1</v>
      </c>
      <c r="V74" s="99">
        <f>YEAR(A74)</f>
        <v>2007</v>
      </c>
      <c r="W74" s="89" t="str">
        <f>INDEX(Исходник!E:E,MATCH(Модель!B74,Исходник!B:B,0))</f>
        <v>Oil &amp; Gas</v>
      </c>
      <c r="X74" s="90">
        <f>INDEX(Исходник!AP:AP,MATCH(Модель!B74,Исходник!B:B,0))</f>
        <v>0</v>
      </c>
      <c r="Y74" s="89">
        <f>INDEX(Исходник!F:F,MATCH(Модель!B74,Исходник!B:B,0))</f>
        <v>3608.0504999999998</v>
      </c>
      <c r="Z74" s="89" t="str">
        <f>INDEX(Исходник!W:W,MATCH(Модель!B74,Исходник!B:B,0))</f>
        <v>London Stock Exchange-AIM</v>
      </c>
      <c r="AA74" s="99">
        <f>INDEX(Исходник!AO:AO,MATCH(Модель!B74,Исходник!B:B,0))</f>
        <v>0</v>
      </c>
      <c r="AB74">
        <f>INDEX(Исходник!AR:AR,MATCH(Модель!B74,Исходник!B:B,0))</f>
        <v>2.8174247277386288</v>
      </c>
      <c r="AC74" s="179">
        <f>INDEX(Исходник!AM:AM,MATCH(Модель!B74,Исходник!B:B,0))</f>
        <v>0</v>
      </c>
    </row>
    <row r="75" spans="1:29" x14ac:dyDescent="0.25">
      <c r="A75" s="105">
        <v>39135</v>
      </c>
      <c r="B75" s="87" t="s">
        <v>250</v>
      </c>
      <c r="C75" s="87" t="s">
        <v>420</v>
      </c>
      <c r="D75" s="89">
        <v>5</v>
      </c>
      <c r="E75" s="90">
        <v>0</v>
      </c>
      <c r="F75" s="89">
        <v>1</v>
      </c>
      <c r="G75" s="102">
        <f>(37+33+55+58+56)/D75</f>
        <v>47.8</v>
      </c>
      <c r="H75" s="103">
        <f>(1+1+1+1)/D75</f>
        <v>0.8</v>
      </c>
      <c r="I75" s="160">
        <v>0</v>
      </c>
      <c r="J75" s="89">
        <v>0</v>
      </c>
      <c r="K75" s="89">
        <f>1+1+2</f>
        <v>4</v>
      </c>
      <c r="L75" s="89">
        <f>1</f>
        <v>1</v>
      </c>
      <c r="M75" s="99">
        <f>7/D75</f>
        <v>1.4</v>
      </c>
      <c r="N75" s="89">
        <v>7</v>
      </c>
      <c r="O75" s="90">
        <v>0</v>
      </c>
      <c r="P75" s="203">
        <v>0</v>
      </c>
      <c r="Q75" s="228">
        <f>INDEX(Исходник!$O:$O,MATCH(Модель!B75,Исходник!$B:$B,0))</f>
        <v>0.13134328358208958</v>
      </c>
      <c r="R75" s="216">
        <f>(-INDEX([1]Databook_Dealogic!$P:$P,MATCH(Модель!B75,[1]Databook_Dealogic!$D:$D,0))+INDEX([1]Databook_Dealogic!$AF:$AF,MATCH(Модель!B75,[1]Databook_Dealogic!$D:$D,0)))/INDEX([1]Databook_Dealogic!$P:$P,MATCH(Модель!B75,[1]Databook_Dealogic!$D:$D,0))</f>
        <v>0.13102538322446788</v>
      </c>
      <c r="S75" s="158">
        <f>INDEX(Исходник!Z:Z,MATCH(Модель!B75,Исходник!$B:$B,0))</f>
        <v>8401.9528104483816</v>
      </c>
      <c r="T75" s="89">
        <f>(INDEX(Исходник!AA:AA,MATCH(Модель!B75,Исходник!B:B,0)))/Модель!S75</f>
        <v>0.72021526827657323</v>
      </c>
      <c r="U75" s="89">
        <f>INDEX(Исходник!Y:Y,MATCH(Модель!B75,Исходник!B:B,0))</f>
        <v>3</v>
      </c>
      <c r="V75" s="99">
        <f>YEAR(A75)</f>
        <v>2007</v>
      </c>
      <c r="W75" s="89" t="str">
        <f>INDEX(Исходник!E:E,MATCH(Модель!B75,Исходник!B:B,0))</f>
        <v>Oil &amp; Gas</v>
      </c>
      <c r="X75" s="90">
        <f>INDEX(Исходник!AP:AP,MATCH(Модель!B75,Исходник!B:B,0))</f>
        <v>2.0200253332529106E-2</v>
      </c>
      <c r="Y75" s="89">
        <f>INDEX(Исходник!F:F,MATCH(Модель!B75,Исходник!B:B,0))</f>
        <v>20668.569599999999</v>
      </c>
      <c r="Z75" s="89" t="str">
        <f>INDEX(Исходник!W:W,MATCH(Модель!B75,Исходник!B:B,0))</f>
        <v>London Stock Exchange</v>
      </c>
      <c r="AA75" s="99">
        <f>INDEX(Исходник!AO:AO,MATCH(Модель!B75,Исходник!B:B,0))</f>
        <v>4.6748790340480317</v>
      </c>
      <c r="AB75">
        <f>INDEX(Исходник!AR:AR,MATCH(Модель!B75,Исходник!B:B,0))</f>
        <v>1.4073990972203894</v>
      </c>
      <c r="AC75" s="179">
        <f>INDEX(Исходник!AM:AM,MATCH(Модель!B75,Исходник!B:B,0))</f>
        <v>0.23005279766342254</v>
      </c>
    </row>
    <row r="76" spans="1:29" x14ac:dyDescent="0.25">
      <c r="A76" s="88">
        <v>39119</v>
      </c>
      <c r="B76" s="89" t="s">
        <v>252</v>
      </c>
      <c r="C76" s="89" t="s">
        <v>421</v>
      </c>
      <c r="D76" s="89">
        <v>10</v>
      </c>
      <c r="E76" s="90">
        <f>2/D76</f>
        <v>0.2</v>
      </c>
      <c r="F76" s="89">
        <v>1</v>
      </c>
      <c r="G76" s="91"/>
      <c r="H76" s="103">
        <f>(5)/D76</f>
        <v>0.5</v>
      </c>
      <c r="I76" s="160">
        <v>0</v>
      </c>
      <c r="J76" s="89">
        <v>0</v>
      </c>
      <c r="K76" s="89">
        <f>4+3+5+6</f>
        <v>18</v>
      </c>
      <c r="L76" s="89">
        <f>1+1</f>
        <v>2</v>
      </c>
      <c r="M76" s="99">
        <f>12/D76</f>
        <v>1.2</v>
      </c>
      <c r="N76" s="89">
        <v>3</v>
      </c>
      <c r="O76" s="90">
        <f>9/D76</f>
        <v>0.9</v>
      </c>
      <c r="P76" s="203">
        <f>3/D76</f>
        <v>0.3</v>
      </c>
      <c r="Q76" s="228">
        <f>INDEX(Исходник!$O:$O,MATCH(Модель!B76,Исходник!$B:$B,0))</f>
        <v>-8.333333333333337E-2</v>
      </c>
      <c r="R76" s="216">
        <f>(-INDEX([1]Databook_Dealogic!$P:$P,MATCH(Модель!B76,[1]Databook_Dealogic!$D:$D,0))+INDEX([1]Databook_Dealogic!$AF:$AF,MATCH(Модель!B76,[1]Databook_Dealogic!$D:$D,0)))/INDEX([1]Databook_Dealogic!$P:$P,MATCH(Модель!B76,[1]Databook_Dealogic!$D:$D,0))</f>
        <v>-0.11820160228380731</v>
      </c>
      <c r="S76" s="158">
        <f>INDEX(Исходник!Z:Z,MATCH(Модель!B76,Исходник!$B:$B,0))</f>
        <v>16028.05586753225</v>
      </c>
      <c r="T76" s="89">
        <f>(INDEX(Исходник!AA:AA,MATCH(Модель!B76,Исходник!B:B,0)))/Модель!S76</f>
        <v>0.66128177498277652</v>
      </c>
      <c r="U76" s="89">
        <f>INDEX(Исходник!Y:Y,MATCH(Модель!B76,Исходник!B:B,0))</f>
        <v>3</v>
      </c>
      <c r="V76" s="99">
        <f>YEAR(A76)</f>
        <v>2007</v>
      </c>
      <c r="W76" s="89" t="str">
        <f>INDEX(Исходник!E:E,MATCH(Модель!B76,Исходник!B:B,0))</f>
        <v>Computers &amp; Electronics</v>
      </c>
      <c r="X76" s="90">
        <f>INDEX(Исходник!AP:AP,MATCH(Модель!B76,Исходник!B:B,0))</f>
        <v>0.1596687013410861</v>
      </c>
      <c r="Y76" s="89">
        <f>INDEX(Исходник!F:F,MATCH(Модель!B76,Исходник!B:B,0))</f>
        <v>10821.397800000001</v>
      </c>
      <c r="Z76" s="89" t="str">
        <f>INDEX(Исходник!W:W,MATCH(Модель!B76,Исходник!B:B,0))</f>
        <v>London Stock Exchange; Moscow Interbank Currency Exchange (MICEX)</v>
      </c>
      <c r="AA76" s="99">
        <f>INDEX(Исходник!AO:AO,MATCH(Модель!B76,Исходник!B:B,0))</f>
        <v>0.19749279520157173</v>
      </c>
      <c r="AB76">
        <f>INDEX(Исходник!AR:AR,MATCH(Модель!B76,Исходник!B:B,0))</f>
        <v>1.200748727583741</v>
      </c>
      <c r="AC76" s="179">
        <f>INDEX(Исходник!AM:AM,MATCH(Модель!B76,Исходник!B:B,0))</f>
        <v>0.16137098729855792</v>
      </c>
    </row>
    <row r="77" spans="1:29" x14ac:dyDescent="0.25">
      <c r="A77" s="129">
        <v>39119</v>
      </c>
      <c r="B77" s="121" t="s">
        <v>254</v>
      </c>
      <c r="C77" s="121" t="s">
        <v>422</v>
      </c>
      <c r="D77" s="124">
        <v>7</v>
      </c>
      <c r="E77" s="123">
        <f>2/D77</f>
        <v>0.2857142857142857</v>
      </c>
      <c r="F77" s="124">
        <v>1</v>
      </c>
      <c r="G77" s="125">
        <f>(2007*D77-(1961+1974+1976+1968+1973+1948+1945))/D77</f>
        <v>43.428571428571431</v>
      </c>
      <c r="H77" s="126">
        <f>(4)/D77</f>
        <v>0.5714285714285714</v>
      </c>
      <c r="I77" s="160">
        <v>0</v>
      </c>
      <c r="J77" s="124">
        <v>0</v>
      </c>
      <c r="K77" s="124">
        <v>1</v>
      </c>
      <c r="L77" s="124">
        <v>0</v>
      </c>
      <c r="M77" s="127">
        <f>(9)/D77</f>
        <v>1.2857142857142858</v>
      </c>
      <c r="N77" s="124">
        <v>2</v>
      </c>
      <c r="O77" s="123">
        <f>2/D77</f>
        <v>0.2857142857142857</v>
      </c>
      <c r="P77" s="206">
        <f>2/D77</f>
        <v>0.2857142857142857</v>
      </c>
      <c r="Q77" s="228">
        <f>INDEX(Исходник!$O:$O,MATCH(Модель!B77,Исходник!$B:$B,0))</f>
        <v>-2.5806451612903292E-2</v>
      </c>
      <c r="R77" s="216">
        <f>(-INDEX([1]Databook_Dealogic!$P:$P,MATCH(Модель!B77,[1]Databook_Dealogic!$D:$D,0))+INDEX([1]Databook_Dealogic!$AF:$AF,MATCH(Модель!B77,[1]Databook_Dealogic!$D:$D,0)))/INDEX([1]Databook_Dealogic!$P:$P,MATCH(Модель!B77,[1]Databook_Dealogic!$D:$D,0))</f>
        <v>-0.10677039001314211</v>
      </c>
      <c r="S77" s="158">
        <f>INDEX(Исходник!Z:Z,MATCH(Модель!B77,Исходник!$B:$B,0))</f>
        <v>13870.294542399204</v>
      </c>
      <c r="T77" s="89">
        <f>(INDEX(Исходник!AA:AA,MATCH(Модель!B77,Исходник!B:B,0)))/Модель!S77</f>
        <v>0.74031497603443219</v>
      </c>
      <c r="U77" s="89">
        <f>INDEX(Исходник!Y:Y,MATCH(Модель!B77,Исходник!B:B,0))</f>
        <v>9</v>
      </c>
      <c r="V77" s="99">
        <f>YEAR(A77)</f>
        <v>2007</v>
      </c>
      <c r="W77" s="89" t="str">
        <f>INDEX(Исходник!E:E,MATCH(Модель!B77,Исходник!B:B,0))</f>
        <v>Mining</v>
      </c>
      <c r="X77" s="90">
        <f>INDEX(Исходник!AP:AP,MATCH(Модель!B77,Исходник!B:B,0))</f>
        <v>3.2999909057583425E-2</v>
      </c>
      <c r="Y77" s="89">
        <f>INDEX(Исходник!F:F,MATCH(Модель!B77,Исходник!B:B,0))</f>
        <v>16325.320000000002</v>
      </c>
      <c r="Z77" s="89" t="str">
        <f>INDEX(Исходник!W:W,MATCH(Модель!B77,Исходник!B:B,0))</f>
        <v>London Stock Exchange; Moscow Interbank Currency Exchange (MICEX)</v>
      </c>
      <c r="AA77" s="99">
        <f>INDEX(Исходник!AO:AO,MATCH(Модель!B77,Исходник!B:B,0))</f>
        <v>3.6601348073633417</v>
      </c>
      <c r="AB77">
        <f>INDEX(Исходник!AR:AR,MATCH(Модель!B77,Исходник!B:B,0))</f>
        <v>0.69487985878901648</v>
      </c>
      <c r="AC77" s="179">
        <f>INDEX(Исходник!AM:AM,MATCH(Модель!B77,Исходник!B:B,0))</f>
        <v>0.32779435333698786</v>
      </c>
    </row>
    <row r="78" spans="1:29" x14ac:dyDescent="0.25">
      <c r="A78" s="148">
        <v>39063</v>
      </c>
      <c r="B78" s="149" t="s">
        <v>256</v>
      </c>
      <c r="C78" s="149" t="s">
        <v>423</v>
      </c>
      <c r="D78" s="149">
        <v>9</v>
      </c>
      <c r="E78" s="150">
        <f>5/D78</f>
        <v>0.55555555555555558</v>
      </c>
      <c r="F78" s="149">
        <v>1</v>
      </c>
      <c r="G78" s="151">
        <f>(52+61+39+44+36+55+63+37+67)/D78</f>
        <v>50.444444444444443</v>
      </c>
      <c r="H78" s="92"/>
      <c r="I78" s="160">
        <v>0.1111111111111111</v>
      </c>
      <c r="J78" s="149">
        <f>1</f>
        <v>1</v>
      </c>
      <c r="K78" s="149">
        <f>1+1+1</f>
        <v>3</v>
      </c>
      <c r="L78" s="149">
        <f>1</f>
        <v>1</v>
      </c>
      <c r="M78" s="94"/>
      <c r="N78" s="149">
        <v>4</v>
      </c>
      <c r="O78" s="95"/>
      <c r="P78" s="207">
        <f>8/D78</f>
        <v>0.88888888888888884</v>
      </c>
      <c r="Q78" s="228">
        <f>INDEX(Исходник!$O:$O,MATCH(Модель!B78,Исходник!$B:$B,0))</f>
        <v>1.882845188284521E-2</v>
      </c>
      <c r="R78" s="216">
        <f>(-INDEX([1]Databook_Dealogic!$P:$P,MATCH(Модель!B78,[1]Databook_Dealogic!$D:$D,0))+INDEX([1]Databook_Dealogic!$AF:$AF,MATCH(Модель!B78,[1]Databook_Dealogic!$D:$D,0)))/INDEX([1]Databook_Dealogic!$P:$P,MATCH(Модель!B78,[1]Databook_Dealogic!$D:$D,0))</f>
        <v>-3.289364192026357E-3</v>
      </c>
      <c r="S78" s="158">
        <f>INDEX(Исходник!Z:Z,MATCH(Модель!B78,Исходник!$B:$B,0))</f>
        <v>1389.094400037096</v>
      </c>
      <c r="T78" s="89">
        <f>(INDEX(Исходник!AA:AA,MATCH(Модель!B78,Исходник!B:B,0)))/Модель!S78</f>
        <v>0.88206518415849655</v>
      </c>
      <c r="U78" s="89">
        <f>INDEX(Исходник!Y:Y,MATCH(Модель!B78,Исходник!B:B,0))</f>
        <v>2</v>
      </c>
      <c r="V78" s="99">
        <f>YEAR(A78)</f>
        <v>2006</v>
      </c>
      <c r="W78" s="89" t="str">
        <f>INDEX(Исходник!E:E,MATCH(Модель!B78,Исходник!B:B,0))</f>
        <v>Real Estate/Property</v>
      </c>
      <c r="X78" s="90">
        <f>INDEX(Исходник!AP:AP,MATCH(Модель!B78,Исходник!B:B,0))</f>
        <v>0</v>
      </c>
      <c r="Y78" s="89">
        <f>INDEX(Исходник!F:F,MATCH(Модель!B78,Исходник!B:B,0))</f>
        <v>8394.8310000000001</v>
      </c>
      <c r="Z78" s="89" t="str">
        <f>INDEX(Исходник!W:W,MATCH(Модель!B78,Исходник!B:B,0))</f>
        <v>London Stock Exchange-AIM</v>
      </c>
      <c r="AA78" s="99">
        <f>INDEX(Исходник!AO:AO,MATCH(Модель!B78,Исходник!B:B,0))</f>
        <v>0</v>
      </c>
      <c r="AB78">
        <f>INDEX(Исходник!AR:AR,MATCH(Модель!B78,Исходник!B:B,0))</f>
        <v>2.0057770075101095E-2</v>
      </c>
      <c r="AC78" s="179">
        <f>INDEX(Исходник!AM:AM,MATCH(Модель!B78,Исходник!B:B,0))</f>
        <v>0</v>
      </c>
    </row>
    <row r="79" spans="1:29" x14ac:dyDescent="0.25">
      <c r="A79" s="144">
        <v>39057</v>
      </c>
      <c r="B79" s="96" t="s">
        <v>258</v>
      </c>
      <c r="C79" s="96" t="s">
        <v>424</v>
      </c>
      <c r="D79" s="96">
        <v>7</v>
      </c>
      <c r="E79" s="95"/>
      <c r="F79" s="93"/>
      <c r="G79" s="135">
        <f>(2006*D79-(1943+1940+1955+1944+1928+1950+1942))/D79</f>
        <v>62.857142857142854</v>
      </c>
      <c r="H79" s="92"/>
      <c r="I79" s="160">
        <v>0</v>
      </c>
      <c r="J79" s="93"/>
      <c r="K79" s="96">
        <v>0</v>
      </c>
      <c r="L79" s="96">
        <v>0</v>
      </c>
      <c r="M79" s="137">
        <v>1</v>
      </c>
      <c r="N79" s="93"/>
      <c r="O79" s="95"/>
      <c r="P79" s="199">
        <v>0</v>
      </c>
      <c r="Q79" s="228">
        <f>INDEX(Исходник!$O:$O,MATCH(Модель!B79,Исходник!$B:$B,0))</f>
        <v>7.4074074074073959E-2</v>
      </c>
      <c r="R79" s="216">
        <f>(-INDEX([1]Databook_Dealogic!$P:$P,MATCH(Модель!B79,[1]Databook_Dealogic!$D:$D,0))+INDEX([1]Databook_Dealogic!$AF:$AF,MATCH(Модель!B79,[1]Databook_Dealogic!$D:$D,0)))/INDEX([1]Databook_Dealogic!$P:$P,MATCH(Модель!B79,[1]Databook_Dealogic!$D:$D,0))</f>
        <v>5.6179346165596677E-3</v>
      </c>
      <c r="S79" s="158">
        <f>INDEX(Исходник!Z:Z,MATCH(Модель!B79,Исходник!$B:$B,0))</f>
        <v>17528.960744032247</v>
      </c>
      <c r="T79" s="89">
        <f>(INDEX(Исходник!AA:AA,MATCH(Модель!B79,Исходник!B:B,0)))/Модель!S79</f>
        <v>0.19722177354223877</v>
      </c>
      <c r="U79" s="89">
        <f>INDEX(Исходник!Y:Y,MATCH(Модель!B79,Исходник!B:B,0))</f>
        <v>14</v>
      </c>
      <c r="V79" s="99">
        <f>YEAR(A79)</f>
        <v>2006</v>
      </c>
      <c r="W79" s="89" t="str">
        <f>INDEX(Исходник!E:E,MATCH(Модель!B79,Исходник!B:B,0))</f>
        <v>Real Estate/Property</v>
      </c>
      <c r="X79" s="90">
        <f>INDEX(Исходник!AP:AP,MATCH(Модель!B79,Исходник!B:B,0))</f>
        <v>0.14564292192841696</v>
      </c>
      <c r="Y79" s="89">
        <f>INDEX(Исходник!F:F,MATCH(Модель!B79,Исходник!B:B,0))</f>
        <v>2880.4755</v>
      </c>
      <c r="Z79" s="89" t="str">
        <f>INDEX(Исходник!W:W,MATCH(Модель!B79,Исходник!B:B,0))</f>
        <v>Russian Trading System</v>
      </c>
      <c r="AA79" s="99">
        <f>INDEX(Исходник!AO:AO,MATCH(Модель!B79,Исходник!B:B,0))</f>
        <v>0</v>
      </c>
      <c r="AB79">
        <f>INDEX(Исходник!AR:AR,MATCH(Модель!B79,Исходник!B:B,0))</f>
        <v>4.2326993865030671</v>
      </c>
      <c r="AC79" s="179">
        <f>INDEX(Исходник!AM:AM,MATCH(Модель!B79,Исходник!B:B,0))</f>
        <v>0</v>
      </c>
    </row>
    <row r="80" spans="1:29" x14ac:dyDescent="0.25">
      <c r="A80" s="144">
        <v>39030</v>
      </c>
      <c r="B80" s="96" t="s">
        <v>260</v>
      </c>
      <c r="C80" s="96" t="s">
        <v>425</v>
      </c>
      <c r="D80" s="96">
        <v>7</v>
      </c>
      <c r="E80" s="95"/>
      <c r="F80" s="96">
        <v>1</v>
      </c>
      <c r="G80" s="135">
        <f>(2006*D80-(1959+1959+1951+1972+1949+1964+1953))/D80</f>
        <v>47.857142857142854</v>
      </c>
      <c r="H80" s="92"/>
      <c r="I80" s="160">
        <v>0</v>
      </c>
      <c r="J80" s="93"/>
      <c r="K80" s="96">
        <f>4+9+10+1+13</f>
        <v>37</v>
      </c>
      <c r="L80" s="96">
        <f>2+2</f>
        <v>4</v>
      </c>
      <c r="M80" s="94"/>
      <c r="N80" s="93"/>
      <c r="O80" s="95"/>
      <c r="P80" s="199">
        <f>2/D80</f>
        <v>0.2857142857142857</v>
      </c>
      <c r="Q80" s="228">
        <f>INDEX(Исходник!$O:$O,MATCH(Модель!B80,Исходник!$B:$B,0))</f>
        <v>-4.8888888888888871E-2</v>
      </c>
      <c r="R80" s="216">
        <f>(-INDEX([1]Databook_Dealogic!$P:$P,MATCH(Модель!B80,[1]Databook_Dealogic!$D:$D,0))+INDEX([1]Databook_Dealogic!$AF:$AF,MATCH(Модель!B80,[1]Databook_Dealogic!$D:$D,0)))/INDEX([1]Databook_Dealogic!$P:$P,MATCH(Модель!B80,[1]Databook_Dealogic!$D:$D,0))</f>
        <v>-0.15728064788324511</v>
      </c>
      <c r="S80" s="158">
        <f>INDEX(Исходник!Z:Z,MATCH(Модель!B80,Исходник!$B:$B,0))</f>
        <v>11906.131083043541</v>
      </c>
      <c r="T80" s="89">
        <f>(INDEX(Исходник!AA:AA,MATCH(Модель!B80,Исходник!B:B,0)))/Модель!S80</f>
        <v>1.0133362187254018</v>
      </c>
      <c r="U80" s="89">
        <f>INDEX(Исходник!Y:Y,MATCH(Модель!B80,Исходник!B:B,0))</f>
        <v>15</v>
      </c>
      <c r="V80" s="99">
        <f>YEAR(A80)</f>
        <v>2006</v>
      </c>
      <c r="W80" s="89" t="str">
        <f>INDEX(Исходник!E:E,MATCH(Модель!B80,Исходник!B:B,0))</f>
        <v>Mining</v>
      </c>
      <c r="X80" s="90">
        <f>INDEX(Исходник!AP:AP,MATCH(Модель!B80,Исходник!B:B,0))</f>
        <v>0.34248685727863343</v>
      </c>
      <c r="Y80" s="89">
        <f>INDEX(Исходник!F:F,MATCH(Модель!B80,Исходник!B:B,0))</f>
        <v>8802.4560000000001</v>
      </c>
      <c r="Z80" s="89" t="str">
        <f>INDEX(Исходник!W:W,MATCH(Модель!B80,Исходник!B:B,0))</f>
        <v>Moscow</v>
      </c>
      <c r="AA80" s="99">
        <f>INDEX(Исходник!AO:AO,MATCH(Модель!B80,Исходник!B:B,0))</f>
        <v>0.1142140888997959</v>
      </c>
      <c r="AB80">
        <f>INDEX(Исходник!AR:AR,MATCH(Модель!B80,Исходник!B:B,0))</f>
        <v>0.33177761676254525</v>
      </c>
      <c r="AC80" s="179">
        <f>INDEX(Исходник!AM:AM,MATCH(Модель!B80,Исходник!B:B,0))</f>
        <v>0.60250500195586298</v>
      </c>
    </row>
    <row r="81" spans="1:29" x14ac:dyDescent="0.25">
      <c r="A81" s="152">
        <v>39029</v>
      </c>
      <c r="B81" s="153" t="s">
        <v>262</v>
      </c>
      <c r="C81" s="153" t="s">
        <v>426</v>
      </c>
      <c r="D81" s="149">
        <v>10</v>
      </c>
      <c r="E81" s="150">
        <f>5/D81</f>
        <v>0.5</v>
      </c>
      <c r="F81" s="149">
        <v>1</v>
      </c>
      <c r="G81" s="151">
        <f>(67+34+43+66+39+64+41+56+67+46)/D81</f>
        <v>52.3</v>
      </c>
      <c r="H81" s="154">
        <f>(8)/D81</f>
        <v>0.8</v>
      </c>
      <c r="I81" s="160">
        <v>0</v>
      </c>
      <c r="J81" s="149">
        <v>1</v>
      </c>
      <c r="K81" s="149">
        <f>1+1+1+1</f>
        <v>4</v>
      </c>
      <c r="L81" s="149">
        <v>0</v>
      </c>
      <c r="M81" s="155">
        <f>15/D81</f>
        <v>1.5</v>
      </c>
      <c r="N81" s="149">
        <v>2</v>
      </c>
      <c r="O81" s="150">
        <f>4/D81</f>
        <v>0.4</v>
      </c>
      <c r="P81" s="207">
        <f>5/D81</f>
        <v>0.5</v>
      </c>
      <c r="Q81" s="228">
        <f>INDEX(Исходник!$O:$O,MATCH(Модель!B81,Исходник!$B:$B,0))</f>
        <v>-6.7999999999999949E-2</v>
      </c>
      <c r="R81" s="216">
        <f>(-INDEX([1]Databook_Dealogic!$P:$P,MATCH(Модель!B81,[1]Databook_Dealogic!$D:$D,0))+INDEX([1]Databook_Dealogic!$AF:$AF,MATCH(Модель!B81,[1]Databook_Dealogic!$D:$D,0)))/INDEX([1]Databook_Dealogic!$P:$P,MATCH(Модель!B81,[1]Databook_Dealogic!$D:$D,0))</f>
        <v>-0.16231100005205887</v>
      </c>
      <c r="S81" s="158">
        <f>INDEX(Исходник!Z:Z,MATCH(Модель!B81,Исходник!$B:$B,0))</f>
        <v>356545.97005634493</v>
      </c>
      <c r="T81" s="89">
        <f>(INDEX(Исходник!AA:AA,MATCH(Модель!B81,Исходник!B:B,0)))/Модель!S81</f>
        <v>0.35665381110922817</v>
      </c>
      <c r="U81" s="89">
        <f>INDEX(Исходник!Y:Y,MATCH(Модель!B81,Исходник!B:B,0))</f>
        <v>13</v>
      </c>
      <c r="V81" s="99">
        <f>YEAR(A81)</f>
        <v>2006</v>
      </c>
      <c r="W81" s="89" t="str">
        <f>INDEX(Исходник!E:E,MATCH(Модель!B81,Исходник!B:B,0))</f>
        <v>Metal &amp; Steel-Processing</v>
      </c>
      <c r="X81" s="90">
        <f>INDEX(Исходник!AP:AP,MATCH(Модель!B81,Исходник!B:B,0))</f>
        <v>0.1805385786977946</v>
      </c>
      <c r="Y81" s="89">
        <f>INDEX(Исходник!F:F,MATCH(Модель!B81,Исходник!B:B,0))</f>
        <v>38281.475079227886</v>
      </c>
      <c r="Z81" s="89" t="str">
        <f>INDEX(Исходник!W:W,MATCH(Модель!B81,Исходник!B:B,0))</f>
        <v>London Stock Exchange; Moscow</v>
      </c>
      <c r="AA81" s="99">
        <f>INDEX(Исходник!AO:AO,MATCH(Модель!B81,Исходник!B:B,0))</f>
        <v>0.27633846660665279</v>
      </c>
      <c r="AB81">
        <f>INDEX(Исходник!AR:AR,MATCH(Модель!B81,Исходник!B:B,0))</f>
        <v>2.7555441742698963</v>
      </c>
      <c r="AC81" s="179">
        <f>INDEX(Исходник!AM:AM,MATCH(Модель!B81,Исходник!B:B,0))</f>
        <v>0.2638450441287305</v>
      </c>
    </row>
    <row r="82" spans="1:29" x14ac:dyDescent="0.25">
      <c r="A82" s="105">
        <v>39028</v>
      </c>
      <c r="B82" s="87" t="s">
        <v>265</v>
      </c>
      <c r="C82" s="87" t="s">
        <v>427</v>
      </c>
      <c r="D82" s="89">
        <v>7</v>
      </c>
      <c r="E82" s="90">
        <f>2/D82</f>
        <v>0.2857142857142857</v>
      </c>
      <c r="F82" s="89">
        <v>1</v>
      </c>
      <c r="G82" s="102">
        <f>(37+60+47+55+60+28+38)/D82</f>
        <v>46.428571428571431</v>
      </c>
      <c r="H82" s="103">
        <f>2/D82</f>
        <v>0.2857142857142857</v>
      </c>
      <c r="I82" s="160">
        <v>0</v>
      </c>
      <c r="J82" s="89">
        <v>0</v>
      </c>
      <c r="K82" s="89">
        <f>2+1+1+1+1</f>
        <v>6</v>
      </c>
      <c r="L82" s="89">
        <v>2</v>
      </c>
      <c r="M82" s="99">
        <f>8/D82</f>
        <v>1.1428571428571428</v>
      </c>
      <c r="N82" s="89">
        <v>1</v>
      </c>
      <c r="O82" s="90">
        <f>4/D82</f>
        <v>0.5714285714285714</v>
      </c>
      <c r="P82" s="203">
        <v>0</v>
      </c>
      <c r="Q82" s="228">
        <f>INDEX(Исходник!$O:$O,MATCH(Модель!B82,Исходник!$B:$B,0))</f>
        <v>5.8507462686567147E-2</v>
      </c>
      <c r="R82" s="216">
        <f>(-INDEX([1]Databook_Dealogic!$P:$P,MATCH(Модель!B82,[1]Databook_Dealogic!$D:$D,0))+INDEX([1]Databook_Dealogic!$AF:$AF,MATCH(Модель!B82,[1]Databook_Dealogic!$D:$D,0)))/INDEX([1]Databook_Dealogic!$P:$P,MATCH(Модель!B82,[1]Databook_Dealogic!$D:$D,0))</f>
        <v>1.3290277089820997E-4</v>
      </c>
      <c r="S82" s="158">
        <f>INDEX(Исходник!Z:Z,MATCH(Модель!B82,Исходник!$B:$B,0))</f>
        <v>5673.7</v>
      </c>
      <c r="T82" s="89">
        <f>(INDEX(Исходник!AA:AA,MATCH(Модель!B82,Исходник!B:B,0)))/Модель!S82</f>
        <v>0.2318592805400356</v>
      </c>
      <c r="U82" s="89">
        <f>INDEX(Исходник!Y:Y,MATCH(Модель!B82,Исходник!B:B,0))</f>
        <v>13</v>
      </c>
      <c r="V82" s="99">
        <f>YEAR(A82)</f>
        <v>2006</v>
      </c>
      <c r="W82" s="89" t="str">
        <f>INDEX(Исходник!E:E,MATCH(Модель!B82,Исходник!B:B,0))</f>
        <v>Mining</v>
      </c>
      <c r="X82" s="90">
        <f>INDEX(Исходник!AP:AP,MATCH(Модель!B82,Исходник!B:B,0))</f>
        <v>2.7504548901107314E-2</v>
      </c>
      <c r="Y82" s="89">
        <f>INDEX(Исходник!F:F,MATCH(Модель!B82,Исходник!B:B,0))</f>
        <v>10390.4432</v>
      </c>
      <c r="Z82" s="89" t="str">
        <f>INDEX(Исходник!W:W,MATCH(Модель!B82,Исходник!B:B,0))</f>
        <v>London Stock Exchange</v>
      </c>
      <c r="AA82" s="99">
        <f>INDEX(Исходник!AO:AO,MATCH(Модель!B82,Исходник!B:B,0))</f>
        <v>0.20975091130012155</v>
      </c>
      <c r="AB82">
        <f>INDEX(Исходник!AR:AR,MATCH(Модель!B82,Исходник!B:B,0))</f>
        <v>2.0548058857188707</v>
      </c>
      <c r="AC82" s="179">
        <f>INDEX(Исходник!AM:AM,MATCH(Модель!B82,Исходник!B:B,0))</f>
        <v>0.1374186007680748</v>
      </c>
    </row>
    <row r="83" spans="1:29" x14ac:dyDescent="0.25">
      <c r="A83" s="152">
        <v>39023</v>
      </c>
      <c r="B83" s="153" t="s">
        <v>267</v>
      </c>
      <c r="C83" s="153" t="s">
        <v>428</v>
      </c>
      <c r="D83" s="149">
        <v>9</v>
      </c>
      <c r="E83" s="150">
        <f>3/D83</f>
        <v>0.33333333333333331</v>
      </c>
      <c r="F83" s="149">
        <v>1</v>
      </c>
      <c r="G83" s="151">
        <f>(2006*D83-(1954+1961+1939+1943+1949+1969+1956+1970+1978))/D83</f>
        <v>48.333333333333336</v>
      </c>
      <c r="H83" s="154">
        <f>5/D83</f>
        <v>0.55555555555555558</v>
      </c>
      <c r="I83" s="160">
        <v>0</v>
      </c>
      <c r="J83" s="149">
        <v>0</v>
      </c>
      <c r="K83" s="149">
        <f>1+3+4</f>
        <v>8</v>
      </c>
      <c r="L83" s="149">
        <f>1+1</f>
        <v>2</v>
      </c>
      <c r="M83" s="155">
        <f>13/D83</f>
        <v>1.4444444444444444</v>
      </c>
      <c r="N83" s="149">
        <v>4</v>
      </c>
      <c r="O83" s="150">
        <f>6/D83</f>
        <v>0.66666666666666663</v>
      </c>
      <c r="P83" s="207">
        <f>3/D83</f>
        <v>0.33333333333333331</v>
      </c>
      <c r="Q83" s="228">
        <f>INDEX(Исходник!$O:$O,MATCH(Модель!B83,Исходник!$B:$B,0))</f>
        <v>4.20560747663552E-2</v>
      </c>
      <c r="R83" s="216">
        <f>(-INDEX([1]Databook_Dealogic!$P:$P,MATCH(Модель!B83,[1]Databook_Dealogic!$D:$D,0))+INDEX([1]Databook_Dealogic!$AF:$AF,MATCH(Модель!B83,[1]Databook_Dealogic!$D:$D,0)))/INDEX([1]Databook_Dealogic!$P:$P,MATCH(Модель!B83,[1]Databook_Dealogic!$D:$D,0))</f>
        <v>0.1728971962616826</v>
      </c>
      <c r="S83" s="158">
        <f>INDEX(Исходник!Z:Z,MATCH(Модель!B83,Исходник!$B:$B,0))</f>
        <v>9202.9167427499942</v>
      </c>
      <c r="T83" s="89">
        <f>(INDEX(Исходник!AA:AA,MATCH(Модель!B83,Исходник!B:B,0)))/Модель!S83</f>
        <v>0.8659959696648053</v>
      </c>
      <c r="U83" s="89">
        <f>INDEX(Исходник!Y:Y,MATCH(Модель!B83,Исходник!B:B,0))</f>
        <v>12</v>
      </c>
      <c r="V83" s="99">
        <f>YEAR(A83)</f>
        <v>2006</v>
      </c>
      <c r="W83" s="89" t="str">
        <f>INDEX(Исходник!E:E,MATCH(Модель!B83,Исходник!B:B,0))</f>
        <v>Real Estate/Property</v>
      </c>
      <c r="X83" s="90">
        <f>INDEX(Исходник!AP:AP,MATCH(Модель!B83,Исходник!B:B,0))</f>
        <v>2.4345227026989799E-3</v>
      </c>
      <c r="Y83" s="89">
        <f>INDEX(Исходник!F:F,MATCH(Модель!B83,Исходник!B:B,0))</f>
        <v>12447.432000000001</v>
      </c>
      <c r="Z83" s="89" t="str">
        <f>INDEX(Исходник!W:W,MATCH(Модель!B83,Исходник!B:B,0))</f>
        <v>London Stock Exchange</v>
      </c>
      <c r="AA83" s="99">
        <f>INDEX(Исходник!AO:AO,MATCH(Модель!B83,Исходник!B:B,0))</f>
        <v>14.234083690098053</v>
      </c>
      <c r="AB83">
        <f>INDEX(Исходник!AR:AR,MATCH(Модель!B83,Исходник!B:B,0))</f>
        <v>1.0106475360124203</v>
      </c>
      <c r="AC83" s="179">
        <f>INDEX(Исходник!AM:AM,MATCH(Модель!B83,Исходник!B:B,0))</f>
        <v>0.1555130793350801</v>
      </c>
    </row>
    <row r="84" spans="1:29" x14ac:dyDescent="0.25">
      <c r="A84" s="144">
        <v>39020</v>
      </c>
      <c r="B84" s="96" t="s">
        <v>269</v>
      </c>
      <c r="C84" s="96" t="s">
        <v>429</v>
      </c>
      <c r="D84" s="96">
        <v>10</v>
      </c>
      <c r="E84" s="104">
        <f>4/D84</f>
        <v>0.4</v>
      </c>
      <c r="F84" s="96">
        <v>1</v>
      </c>
      <c r="G84" s="135">
        <f>(2006*D84-(1964+1955+1960+1949+1949+1955+1949+1972+1952+1951))/D84</f>
        <v>50.4</v>
      </c>
      <c r="H84" s="136">
        <f>6/D84</f>
        <v>0.6</v>
      </c>
      <c r="I84" s="160">
        <v>0</v>
      </c>
      <c r="J84" s="96">
        <v>0</v>
      </c>
      <c r="K84" s="96">
        <f>2+1+2</f>
        <v>5</v>
      </c>
      <c r="L84" s="96">
        <f>1</f>
        <v>1</v>
      </c>
      <c r="M84" s="137">
        <f>14/D84</f>
        <v>1.4</v>
      </c>
      <c r="N84" s="96">
        <v>3</v>
      </c>
      <c r="O84" s="104">
        <f>2/D84</f>
        <v>0.2</v>
      </c>
      <c r="P84" s="199">
        <f>3/D84</f>
        <v>0.3</v>
      </c>
      <c r="Q84" s="228">
        <f>INDEX(Исходник!$O:$O,MATCH(Модель!B84,Исходник!$B:$B,0))</f>
        <v>0.186574074074074</v>
      </c>
      <c r="R84" s="216">
        <f>(-INDEX([1]Databook_Dealogic!$P:$P,MATCH(Модель!B84,[1]Databook_Dealogic!$D:$D,0))+INDEX([1]Databook_Dealogic!$AF:$AF,MATCH(Модель!B84,[1]Databook_Dealogic!$D:$D,0)))/INDEX([1]Databook_Dealogic!$P:$P,MATCH(Модель!B84,[1]Databook_Dealogic!$D:$D,0))</f>
        <v>0.32655579882005309</v>
      </c>
      <c r="S84" s="158">
        <f>INDEX(Исходник!Z:Z,MATCH(Модель!B84,Исходник!$B:$B,0))</f>
        <v>69453.304320967698</v>
      </c>
      <c r="T84" s="89">
        <f>(INDEX(Исходник!AA:AA,MATCH(Модель!B84,Исходник!B:B,0)))/Модель!S84</f>
        <v>0.48931920097839382</v>
      </c>
      <c r="U84" s="89">
        <f>INDEX(Исходник!Y:Y,MATCH(Модель!B84,Исходник!B:B,0))</f>
        <v>5</v>
      </c>
      <c r="V84" s="99">
        <f>YEAR(A84)</f>
        <v>2006</v>
      </c>
      <c r="W84" s="89" t="str">
        <f>INDEX(Исходник!E:E,MATCH(Модель!B84,Исходник!B:B,0))</f>
        <v>Metal &amp; Steel</v>
      </c>
      <c r="X84" s="90">
        <f>INDEX(Исходник!AP:AP,MATCH(Модель!B84,Исходник!B:B,0))</f>
        <v>0.1027624170917104</v>
      </c>
      <c r="Y84" s="89">
        <f>INDEX(Исходник!F:F,MATCH(Модель!B84,Исходник!B:B,0))</f>
        <v>31178.36</v>
      </c>
      <c r="Z84" s="89" t="str">
        <f>INDEX(Исходник!W:W,MATCH(Модель!B84,Исходник!B:B,0))</f>
        <v>London Stock Exchange</v>
      </c>
      <c r="AA84" s="99">
        <f>INDEX(Исходник!AO:AO,MATCH(Модель!B84,Исходник!B:B,0))</f>
        <v>1.0813756812629205</v>
      </c>
      <c r="AB84">
        <f>INDEX(Исходник!AR:AR,MATCH(Модель!B84,Исходник!B:B,0))</f>
        <v>1.0521408983796634</v>
      </c>
      <c r="AC84" s="179">
        <f>INDEX(Исходник!AM:AM,MATCH(Модель!B84,Исходник!B:B,0))</f>
        <v>0.18109727043768295</v>
      </c>
    </row>
    <row r="85" spans="1:29" x14ac:dyDescent="0.25">
      <c r="A85" s="144">
        <v>39020</v>
      </c>
      <c r="B85" s="96" t="s">
        <v>271</v>
      </c>
      <c r="C85" s="96" t="s">
        <v>430</v>
      </c>
      <c r="D85" s="96">
        <v>11</v>
      </c>
      <c r="E85" s="90">
        <f>1/D85</f>
        <v>9.0909090909090912E-2</v>
      </c>
      <c r="F85" s="96">
        <v>1</v>
      </c>
      <c r="G85" s="135">
        <f>(2006*D85-(1971+1976+1975+1956+1956+1968+1965+1975+1975+1980+1969))/D85</f>
        <v>36.363636363636367</v>
      </c>
      <c r="H85" s="136">
        <f>5/D85</f>
        <v>0.45454545454545453</v>
      </c>
      <c r="I85" s="160">
        <v>9.0909090909090912E-2</v>
      </c>
      <c r="J85" s="96">
        <v>0</v>
      </c>
      <c r="K85" s="93"/>
      <c r="L85" s="93"/>
      <c r="M85" s="137">
        <f>14/D85</f>
        <v>1.2727272727272727</v>
      </c>
      <c r="N85" s="96">
        <v>4</v>
      </c>
      <c r="O85" s="104">
        <f>2/D85</f>
        <v>0.18181818181818182</v>
      </c>
      <c r="P85" s="199">
        <f>1/D85</f>
        <v>9.0909090909090912E-2</v>
      </c>
      <c r="Q85" s="228">
        <f>INDEX(Исходник!$O:$O,MATCH(Модель!B85,Исходник!$B:$B,0))</f>
        <v>0.11111111111111116</v>
      </c>
      <c r="R85" s="216">
        <f>(-INDEX([1]Databook_Dealogic!$P:$P,MATCH(Модель!B85,[1]Databook_Dealogic!$D:$D,0))+INDEX([1]Databook_Dealogic!$AF:$AF,MATCH(Модель!B85,[1]Databook_Dealogic!$D:$D,0)))/INDEX([1]Databook_Dealogic!$P:$P,MATCH(Модель!B85,[1]Databook_Dealogic!$D:$D,0))</f>
        <v>0.31352353037208203</v>
      </c>
      <c r="S85" s="158">
        <f>INDEX(Исходник!Z:Z,MATCH(Модель!B85,Исходник!$B:$B,0))</f>
        <v>22086</v>
      </c>
      <c r="T85" s="89">
        <f>(INDEX(Исходник!AA:AA,MATCH(Модель!B85,Исходник!B:B,0)))/Модель!S85</f>
        <v>0.27718916960970752</v>
      </c>
      <c r="U85" s="89">
        <f>INDEX(Исходник!Y:Y,MATCH(Модель!B85,Исходник!B:B,0))</f>
        <v>2</v>
      </c>
      <c r="V85" s="99">
        <f>YEAR(A85)</f>
        <v>2006</v>
      </c>
      <c r="W85" s="89" t="str">
        <f>INDEX(Исходник!E:E,MATCH(Модель!B85,Исходник!B:B,0))</f>
        <v>Utility &amp; Energy</v>
      </c>
      <c r="X85" s="90">
        <f>INDEX(Исходник!AP:AP,MATCH(Модель!B85,Исходник!B:B,0))</f>
        <v>0.22231151910984837</v>
      </c>
      <c r="Y85" s="89">
        <f>INDEX(Исходник!F:F,MATCH(Модель!B85,Исходник!B:B,0))</f>
        <v>13164.900299999999</v>
      </c>
      <c r="Z85" s="89" t="str">
        <f>INDEX(Исходник!W:W,MATCH(Модель!B85,Исходник!B:B,0))</f>
        <v>Moscow</v>
      </c>
      <c r="AA85" s="99">
        <f>INDEX(Исходник!AO:AO,MATCH(Модель!B85,Исходник!B:B,0))</f>
        <v>0.49733659730722157</v>
      </c>
      <c r="AB85">
        <f>INDEX(Исходник!AR:AR,MATCH(Модель!B85,Исходник!B:B,0))</f>
        <v>1.1891069012178619</v>
      </c>
      <c r="AC85" s="179">
        <f>INDEX(Исходник!AM:AM,MATCH(Модель!B85,Исходник!B:B,0))</f>
        <v>0.16178217821782179</v>
      </c>
    </row>
    <row r="86" spans="1:29" ht="15.75" customHeight="1" x14ac:dyDescent="0.25">
      <c r="A86" s="88">
        <v>38987</v>
      </c>
      <c r="B86" s="162" t="s">
        <v>273</v>
      </c>
      <c r="C86" s="89" t="s">
        <v>431</v>
      </c>
      <c r="D86" s="89">
        <v>6</v>
      </c>
      <c r="E86" s="90">
        <v>0</v>
      </c>
      <c r="F86" s="89">
        <v>1</v>
      </c>
      <c r="G86" s="91"/>
      <c r="H86" s="92"/>
      <c r="I86" s="160">
        <v>0</v>
      </c>
      <c r="J86" s="89">
        <v>0</v>
      </c>
      <c r="K86" s="93"/>
      <c r="L86" s="93"/>
      <c r="M86" s="94"/>
      <c r="N86" s="89">
        <v>3</v>
      </c>
      <c r="O86" s="95"/>
      <c r="P86" s="203">
        <f>5/D86</f>
        <v>0.83333333333333337</v>
      </c>
      <c r="Q86" s="228">
        <f>INDEX(Исходник!$O:$O,MATCH(Модель!B86,Исходник!$B:$B,0))</f>
        <v>9.9999999999999867E-2</v>
      </c>
      <c r="R86" s="220"/>
      <c r="S86" s="158">
        <f>INDEX(Исходник!Z:Z,MATCH(Модель!B86,Исходник!$B:$B,0))</f>
        <v>197.35254875000001</v>
      </c>
      <c r="T86" s="89">
        <f>(INDEX(Исходник!AA:AA,MATCH(Модель!B86,Исходник!B:B,0)))/Модель!S86</f>
        <v>0.18897939715612613</v>
      </c>
      <c r="U86" s="89">
        <f>INDEX(Исходник!Y:Y,MATCH(Модель!B86,Исходник!B:B,0))</f>
        <v>1</v>
      </c>
      <c r="V86" s="99">
        <f>YEAR(A86)</f>
        <v>2006</v>
      </c>
      <c r="W86" s="89" t="str">
        <f>INDEX(Исходник!E:E,MATCH(Модель!B86,Исходник!B:B,0))</f>
        <v>Oil &amp; Gas</v>
      </c>
      <c r="X86" s="90">
        <f>INDEX(Исходник!AP:AP,MATCH(Модель!B86,Исходник!B:B,0))</f>
        <v>0</v>
      </c>
      <c r="Y86" s="89">
        <f>INDEX(Исходник!F:F,MATCH(Модель!B86,Исходник!B:B,0))</f>
        <v>425.649</v>
      </c>
      <c r="Z86" s="89" t="str">
        <f>INDEX(Исходник!W:W,MATCH(Модель!B86,Исходник!B:B,0))</f>
        <v>Irish Stock Exchange-All Market; London Stock Exchange-AIM</v>
      </c>
      <c r="AA86" s="99">
        <f>INDEX(Исходник!AO:AO,MATCH(Модель!B86,Исходник!B:B,0))</f>
        <v>1.0616456236455325</v>
      </c>
      <c r="AB86">
        <f>INDEX(Исходник!AR:AR,MATCH(Модель!B86,Исходник!B:B,0))</f>
        <v>0.53706659865386275</v>
      </c>
      <c r="AC86" s="179">
        <f>INDEX(Исходник!AM:AM,MATCH(Модель!B86,Исходник!B:B,0))</f>
        <v>0</v>
      </c>
    </row>
    <row r="87" spans="1:29" ht="15.75" customHeight="1" x14ac:dyDescent="0.25">
      <c r="A87" s="105">
        <v>38912</v>
      </c>
      <c r="B87" s="87" t="s">
        <v>278</v>
      </c>
      <c r="C87" s="87" t="s">
        <v>432</v>
      </c>
      <c r="D87" s="89">
        <v>9</v>
      </c>
      <c r="E87" s="90">
        <f>3/D87</f>
        <v>0.33333333333333331</v>
      </c>
      <c r="F87" s="89">
        <v>1</v>
      </c>
      <c r="G87" s="102">
        <f>(2006*D87-(1960+1957+1940+1956+1951+1972+1954+1977+1960))/D87</f>
        <v>47.444444444444443</v>
      </c>
      <c r="H87" s="103">
        <f>(8)/D87</f>
        <v>0.88888888888888884</v>
      </c>
      <c r="I87" s="160">
        <v>0</v>
      </c>
      <c r="J87" s="89">
        <v>0</v>
      </c>
      <c r="K87" s="89">
        <f>1</f>
        <v>1</v>
      </c>
      <c r="L87" s="89">
        <v>0</v>
      </c>
      <c r="M87" s="99">
        <f>15/D87</f>
        <v>1.6666666666666667</v>
      </c>
      <c r="N87" s="89">
        <v>3</v>
      </c>
      <c r="O87" s="90">
        <f>2/D87</f>
        <v>0.22222222222222221</v>
      </c>
      <c r="P87" s="203">
        <f>1/D87</f>
        <v>0.1111111111111111</v>
      </c>
      <c r="Q87" s="228">
        <f>INDEX(Исходник!$O:$O,MATCH(Модель!B87,Исходник!$B:$B,0))</f>
        <v>-2.6490066225165476E-3</v>
      </c>
      <c r="R87" s="216">
        <f>(-INDEX([1]Databook_Dealogic!$P:$P,MATCH(Модель!B87,[1]Databook_Dealogic!$D:$D,0))+INDEX([1]Databook_Dealogic!$AF:$AF,MATCH(Модель!B87,[1]Databook_Dealogic!$D:$D,0)))/INDEX([1]Databook_Dealogic!$P:$P,MATCH(Модель!B87,[1]Databook_Dealogic!$D:$D,0))</f>
        <v>-1.3905171479139224E-2</v>
      </c>
      <c r="S87" s="158">
        <f>INDEX(Исходник!Z:Z,MATCH(Модель!B87,Исходник!$B:$B,0))</f>
        <v>849861.550141935</v>
      </c>
      <c r="T87" s="89">
        <f>(INDEX(Исходник!AA:AA,MATCH(Модель!B87,Исходник!B:B,0)))/Модель!S87</f>
        <v>0.69039845415778245</v>
      </c>
      <c r="U87" s="89">
        <f>INDEX(Исходник!Y:Y,MATCH(Модель!B87,Исходник!B:B,0))</f>
        <v>13</v>
      </c>
      <c r="V87" s="99">
        <f>YEAR(A87)</f>
        <v>2006</v>
      </c>
      <c r="W87" s="89" t="str">
        <f>INDEX(Исходник!E:E,MATCH(Модель!B87,Исходник!B:B,0))</f>
        <v>Oil &amp; Gas</v>
      </c>
      <c r="X87" s="90">
        <f>INDEX(Исходник!AP:AP,MATCH(Модель!B87,Исходник!B:B,0))</f>
        <v>0.22790914321725073</v>
      </c>
      <c r="Y87" s="89">
        <f>INDEX(Исходник!F:F,MATCH(Модель!B87,Исходник!B:B,0))</f>
        <v>295250.05440000002</v>
      </c>
      <c r="Z87" s="89" t="str">
        <f>INDEX(Исходник!W:W,MATCH(Модель!B87,Исходник!B:B,0))</f>
        <v>London Stock Exchange; Moscow</v>
      </c>
      <c r="AA87" s="99">
        <f>INDEX(Исходник!AO:AO,MATCH(Модель!B87,Исходник!B:B,0))</f>
        <v>1.5689900426742531</v>
      </c>
      <c r="AB87">
        <f>INDEX(Исходник!AR:AR,MATCH(Модель!B87,Исходник!B:B,0))</f>
        <v>0.7250454821103699</v>
      </c>
      <c r="AC87" s="179">
        <f>INDEX(Исходник!AM:AM,MATCH(Модель!B87,Исходник!B:B,0))</f>
        <v>0.43389704974694482</v>
      </c>
    </row>
    <row r="88" spans="1:29" ht="15.75" customHeight="1" x14ac:dyDescent="0.25">
      <c r="A88" s="88">
        <v>38868</v>
      </c>
      <c r="B88" s="89" t="s">
        <v>280</v>
      </c>
      <c r="C88" s="89" t="s">
        <v>433</v>
      </c>
      <c r="D88" s="96">
        <v>12</v>
      </c>
      <c r="E88" s="95"/>
      <c r="F88" s="96">
        <v>1</v>
      </c>
      <c r="G88" s="91"/>
      <c r="H88" s="92"/>
      <c r="I88" s="160">
        <v>8.3333333333333329E-2</v>
      </c>
      <c r="J88" s="93"/>
      <c r="K88" s="93"/>
      <c r="L88" s="93"/>
      <c r="M88" s="94"/>
      <c r="N88" s="96">
        <v>2</v>
      </c>
      <c r="O88" s="95"/>
      <c r="P88" s="199">
        <f>9/D88</f>
        <v>0.75</v>
      </c>
      <c r="Q88" s="228">
        <f>INDEX(Исходник!$O:$O,MATCH(Модель!B88,Исходник!$B:$B,0))</f>
        <v>0.21428571428571419</v>
      </c>
      <c r="R88" s="216">
        <f>(-INDEX([1]Databook_Dealogic!$P:$P,MATCH(Модель!B88,[1]Databook_Dealogic!$D:$D,0))+INDEX([1]Databook_Dealogic!$AF:$AF,MATCH(Модель!B88,[1]Databook_Dealogic!$D:$D,0)))/INDEX([1]Databook_Dealogic!$P:$P,MATCH(Модель!B88,[1]Databook_Dealogic!$D:$D,0))</f>
        <v>0.3088727552835544</v>
      </c>
      <c r="S88" s="158">
        <f>INDEX(Исходник!Z:Z,MATCH(Модель!B88,Исходник!$B:$B,0))</f>
        <v>7749.3522351145111</v>
      </c>
      <c r="T88" s="89">
        <f>(INDEX(Исходник!AA:AA,MATCH(Модель!B88,Исходник!B:B,0)))/Модель!S88</f>
        <v>0.34563404056310443</v>
      </c>
      <c r="U88" s="89">
        <f>INDEX(Исходник!Y:Y,MATCH(Модель!B88,Исходник!B:B,0))</f>
        <v>17</v>
      </c>
      <c r="V88" s="99">
        <f>YEAR(A88)</f>
        <v>2006</v>
      </c>
      <c r="W88" s="89" t="str">
        <f>INDEX(Исходник!E:E,MATCH(Модель!B88,Исходник!B:B,0))</f>
        <v>Telecommunications</v>
      </c>
      <c r="X88" s="90">
        <f>INDEX(Исходник!AP:AP,MATCH(Модель!B88,Исходник!B:B,0))</f>
        <v>0.20212799734705902</v>
      </c>
      <c r="Y88" s="89">
        <f>INDEX(Исходник!F:F,MATCH(Модель!B88,Исходник!B:B,0))</f>
        <v>10463.6697</v>
      </c>
      <c r="Z88" s="89" t="str">
        <f>INDEX(Исходник!W:W,MATCH(Модель!B88,Исходник!B:B,0))</f>
        <v>NASDAQ-US</v>
      </c>
      <c r="AA88" s="99">
        <f>INDEX(Исходник!AO:AO,MATCH(Модель!B88,Исходник!B:B,0))</f>
        <v>0.24932041073126687</v>
      </c>
      <c r="AB88">
        <f>INDEX(Исходник!AR:AR,MATCH(Модель!B88,Исходник!B:B,0))</f>
        <v>2.060443115642919</v>
      </c>
      <c r="AC88" s="179">
        <f>INDEX(Исходник!AM:AM,MATCH(Модель!B88,Исходник!B:B,0))</f>
        <v>0.44794544124607377</v>
      </c>
    </row>
    <row r="89" spans="1:29" ht="15.75" customHeight="1" x14ac:dyDescent="0.25">
      <c r="A89" s="105">
        <v>38847</v>
      </c>
      <c r="B89" s="87" t="s">
        <v>283</v>
      </c>
      <c r="C89" s="87" t="s">
        <v>434</v>
      </c>
      <c r="D89" s="89">
        <v>7</v>
      </c>
      <c r="E89" s="90">
        <f>2/D89</f>
        <v>0.2857142857142857</v>
      </c>
      <c r="F89" s="89">
        <v>1</v>
      </c>
      <c r="G89" s="102">
        <f>(57+39+24+28+52+62+47)/D89</f>
        <v>44.142857142857146</v>
      </c>
      <c r="H89" s="103">
        <f>2/D87</f>
        <v>0.22222222222222221</v>
      </c>
      <c r="I89" s="160">
        <v>0</v>
      </c>
      <c r="J89" s="89">
        <v>0</v>
      </c>
      <c r="K89" s="89">
        <v>0</v>
      </c>
      <c r="L89" s="89">
        <v>0</v>
      </c>
      <c r="M89" s="99">
        <f>9/D89</f>
        <v>1.2857142857142858</v>
      </c>
      <c r="N89" s="89">
        <v>1</v>
      </c>
      <c r="O89" s="90">
        <f>3/D89</f>
        <v>0.42857142857142855</v>
      </c>
      <c r="P89" s="203">
        <f>3/D89</f>
        <v>0.42857142857142855</v>
      </c>
      <c r="Q89" s="228">
        <f>INDEX(Исходник!$O:$O,MATCH(Модель!B89,Исходник!$B:$B,0))</f>
        <v>1.3114754098360715E-2</v>
      </c>
      <c r="R89" s="216">
        <f>(-INDEX([1]Databook_Dealogic!$P:$P,MATCH(Модель!B89,[1]Databook_Dealogic!$D:$D,0))+INDEX([1]Databook_Dealogic!$AF:$AF,MATCH(Модель!B89,[1]Databook_Dealogic!$D:$D,0)))/INDEX([1]Databook_Dealogic!$P:$P,MATCH(Модель!B89,[1]Databook_Dealogic!$D:$D,0))</f>
        <v>-3.9930234899367582E-2</v>
      </c>
      <c r="S89" s="158">
        <f>INDEX(Исходник!Z:Z,MATCH(Модель!B89,Исходник!$B:$B,0))</f>
        <v>11999.679276062896</v>
      </c>
      <c r="T89" s="89">
        <f>(INDEX(Исходник!AA:AA,MATCH(Модель!B89,Исходник!B:B,0)))/Модель!S89</f>
        <v>0.85251042322911286</v>
      </c>
      <c r="U89" s="89">
        <f>INDEX(Исходник!Y:Y,MATCH(Модель!B89,Исходник!B:B,0))</f>
        <v>32</v>
      </c>
      <c r="V89" s="99">
        <f>YEAR(A89)</f>
        <v>2006</v>
      </c>
      <c r="W89" s="89" t="str">
        <f>INDEX(Исходник!E:E,MATCH(Модель!B89,Исходник!B:B,0))</f>
        <v>Food &amp; Beverage</v>
      </c>
      <c r="X89" s="90">
        <f>INDEX(Исходник!AP:AP,MATCH(Модель!B89,Исходник!B:B,0))</f>
        <v>4.4171969579388487E-2</v>
      </c>
      <c r="Y89" s="89">
        <f>INDEX(Исходник!F:F,MATCH(Модель!B89,Исходник!B:B,0))</f>
        <v>6893.3886999999995</v>
      </c>
      <c r="Z89" s="89" t="str">
        <f>INDEX(Исходник!W:W,MATCH(Модель!B89,Исходник!B:B,0))</f>
        <v>London Stock Exchange; Moscow</v>
      </c>
      <c r="AA89" s="99">
        <f>INDEX(Исходник!AO:AO,MATCH(Модель!B89,Исходник!B:B,0))</f>
        <v>3.4820618307217623</v>
      </c>
      <c r="AB89">
        <f>INDEX(Исходник!AR:AR,MATCH(Модель!B89,Исходник!B:B,0))</f>
        <v>0.77841630507988036</v>
      </c>
      <c r="AC89" s="179">
        <f>INDEX(Исходник!AM:AM,MATCH(Модель!B89,Исходник!B:B,0))</f>
        <v>0.12105144631541558</v>
      </c>
    </row>
    <row r="90" spans="1:29" ht="15.75" customHeight="1" x14ac:dyDescent="0.25">
      <c r="A90" s="105">
        <v>38834</v>
      </c>
      <c r="B90" s="87" t="s">
        <v>284</v>
      </c>
      <c r="C90" s="87" t="s">
        <v>435</v>
      </c>
      <c r="D90" s="89">
        <v>7</v>
      </c>
      <c r="E90" s="90">
        <f>1/D90</f>
        <v>0.14285714285714285</v>
      </c>
      <c r="F90" s="89">
        <v>1</v>
      </c>
      <c r="G90" s="102">
        <f>(2006*D90-(1969+1967+1961+1972+1978+1965+1966))/D90</f>
        <v>37.714285714285715</v>
      </c>
      <c r="H90" s="103">
        <f>3/D90</f>
        <v>0.42857142857142855</v>
      </c>
      <c r="I90" s="160">
        <v>0</v>
      </c>
      <c r="J90" s="89">
        <v>0</v>
      </c>
      <c r="K90" s="89">
        <f>1+2+1+1</f>
        <v>5</v>
      </c>
      <c r="L90" s="89">
        <f>1+1+1+1+1</f>
        <v>5</v>
      </c>
      <c r="M90" s="99">
        <f>9/D90</f>
        <v>1.2857142857142858</v>
      </c>
      <c r="N90" s="89">
        <v>2</v>
      </c>
      <c r="O90" s="90">
        <f>3/D90</f>
        <v>0.42857142857142855</v>
      </c>
      <c r="P90" s="203">
        <f>1/D90</f>
        <v>0.14285714285714285</v>
      </c>
      <c r="Q90" s="228">
        <f>INDEX(Исходник!$O:$O,MATCH(Модель!B90,Исходник!$B:$B,0))</f>
        <v>3.7037037037036979E-2</v>
      </c>
      <c r="R90" s="216">
        <f>(-INDEX([1]Databook_Dealogic!$P:$P,MATCH(Модель!B90,[1]Databook_Dealogic!$D:$D,0))+INDEX([1]Databook_Dealogic!$AF:$AF,MATCH(Модель!B90,[1]Databook_Dealogic!$D:$D,0)))/INDEX([1]Databook_Dealogic!$P:$P,MATCH(Модель!B90,[1]Databook_Dealogic!$D:$D,0))</f>
        <v>-8.797608853701662E-2</v>
      </c>
      <c r="S90" s="158">
        <f>INDEX(Исходник!Z:Z,MATCH(Модель!B90,Исходник!$B:$B,0))</f>
        <v>11539.384792432251</v>
      </c>
      <c r="T90" s="89">
        <f>(INDEX(Исходник!AA:AA,MATCH(Модель!B90,Исходник!B:B,0)))/Модель!S90</f>
        <v>0.87930983717575018</v>
      </c>
      <c r="U90" s="89">
        <f>INDEX(Исходник!Y:Y,MATCH(Модель!B90,Исходник!B:B,0))</f>
        <v>12</v>
      </c>
      <c r="V90" s="99">
        <f>YEAR(A90)</f>
        <v>2006</v>
      </c>
      <c r="W90" s="89" t="str">
        <f>INDEX(Исходник!E:E,MATCH(Модель!B90,Исходник!B:B,0))</f>
        <v>Retail</v>
      </c>
      <c r="X90" s="90">
        <f>INDEX(Исходник!AP:AP,MATCH(Модель!B90,Исходник!B:B,0))</f>
        <v>0.11739600913490884</v>
      </c>
      <c r="Y90" s="89">
        <f>INDEX(Исходник!F:F,MATCH(Модель!B90,Исходник!B:B,0))</f>
        <v>10551.222400000001</v>
      </c>
      <c r="Z90" s="89" t="str">
        <f>INDEX(Исходник!W:W,MATCH(Модель!B90,Исходник!B:B,0))</f>
        <v>Moscow</v>
      </c>
      <c r="AA90" s="99">
        <f>INDEX(Исходник!AO:AO,MATCH(Модель!B90,Исходник!B:B,0))</f>
        <v>1.49902511608815</v>
      </c>
      <c r="AB90">
        <f>INDEX(Исходник!AR:AR,MATCH(Модель!B90,Исходник!B:B,0))</f>
        <v>0.93395017632184707</v>
      </c>
      <c r="AC90" s="179">
        <f>INDEX(Исходник!AM:AM,MATCH(Модель!B90,Исходник!B:B,0))</f>
        <v>4.9413312779842705E-2</v>
      </c>
    </row>
    <row r="91" spans="1:29" ht="15.75" customHeight="1" x14ac:dyDescent="0.25">
      <c r="A91" s="144">
        <v>38782</v>
      </c>
      <c r="B91" s="96" t="s">
        <v>287</v>
      </c>
      <c r="C91" s="96" t="s">
        <v>436</v>
      </c>
      <c r="D91" s="96">
        <v>5</v>
      </c>
      <c r="E91" s="95"/>
      <c r="F91" s="93"/>
      <c r="G91" s="135">
        <f>(2006*D91-(1961+1966+1973+1957+1976))/D91</f>
        <v>39.4</v>
      </c>
      <c r="H91" s="92"/>
      <c r="I91" s="160">
        <v>0</v>
      </c>
      <c r="J91" s="93"/>
      <c r="K91" s="96">
        <f>2+2+5+2</f>
        <v>11</v>
      </c>
      <c r="L91" s="96">
        <f>1+1+2</f>
        <v>4</v>
      </c>
      <c r="M91" s="137">
        <v>1</v>
      </c>
      <c r="N91" s="93"/>
      <c r="O91" s="95"/>
      <c r="P91" s="199">
        <v>0</v>
      </c>
      <c r="Q91" s="228">
        <f>INDEX(Исходник!$O:$O,MATCH(Модель!B91,Исходник!$B:$B,0))</f>
        <v>0.19791666666666674</v>
      </c>
      <c r="R91" s="216">
        <f>(-INDEX([1]Databook_Dealogic!$P:$P,MATCH(Модель!B91,[1]Databook_Dealogic!$D:$D,0))+INDEX([1]Databook_Dealogic!$AF:$AF,MATCH(Модель!B91,[1]Databook_Dealogic!$D:$D,0)))/INDEX([1]Databook_Dealogic!$P:$P,MATCH(Модель!B91,[1]Databook_Dealogic!$D:$D,0))</f>
        <v>0.16971066065254978</v>
      </c>
      <c r="S91" s="158">
        <f>INDEX(Исходник!Z:Z,MATCH(Модель!B91,Исходник!$B:$B,0))</f>
        <v>11111</v>
      </c>
      <c r="T91" s="89">
        <f>(INDEX(Исходник!AA:AA,MATCH(Модель!B91,Исходник!B:B,0)))/Модель!S91</f>
        <v>0.34740347403474037</v>
      </c>
      <c r="U91" s="89">
        <f>INDEX(Исходник!Y:Y,MATCH(Модель!B91,Исходник!B:B,0))</f>
        <v>14</v>
      </c>
      <c r="V91" s="99">
        <f>YEAR(A91)</f>
        <v>2006</v>
      </c>
      <c r="W91" s="89" t="str">
        <f>INDEX(Исходник!E:E,MATCH(Модель!B91,Исходник!B:B,0))</f>
        <v>Food &amp; Beverage</v>
      </c>
      <c r="X91" s="90">
        <f>INDEX(Исходник!AP:AP,MATCH(Модель!B91,Исходник!B:B,0))</f>
        <v>0.11533973610986446</v>
      </c>
      <c r="Y91" s="89">
        <f>INDEX(Исходник!F:F,MATCH(Модель!B91,Исходник!B:B,0))</f>
        <v>4103.6976000000004</v>
      </c>
      <c r="Z91" s="89" t="str">
        <f>INDEX(Исходник!W:W,MATCH(Модель!B91,Исходник!B:B,0))</f>
        <v>Moscow</v>
      </c>
      <c r="AA91" s="99">
        <f>INDEX(Исходник!AO:AO,MATCH(Модель!B91,Исходник!B:B,0))</f>
        <v>0.94761857609664313</v>
      </c>
      <c r="AB91">
        <f>INDEX(Исходник!AR:AR,MATCH(Модель!B91,Исходник!B:B,0))</f>
        <v>1.6961550484526415</v>
      </c>
      <c r="AC91" s="179">
        <f>INDEX(Исходник!AM:AM,MATCH(Модель!B91,Исходник!B:B,0))</f>
        <v>0.1</v>
      </c>
    </row>
    <row r="92" spans="1:29" ht="15.75" customHeight="1" x14ac:dyDescent="0.25">
      <c r="A92" s="129">
        <v>38755</v>
      </c>
      <c r="B92" s="124" t="s">
        <v>289</v>
      </c>
      <c r="C92" s="124" t="s">
        <v>437</v>
      </c>
      <c r="D92" s="124">
        <v>7</v>
      </c>
      <c r="E92" s="132"/>
      <c r="F92" s="124">
        <v>1</v>
      </c>
      <c r="G92" s="115"/>
      <c r="H92" s="92"/>
      <c r="I92" s="160">
        <v>0</v>
      </c>
      <c r="J92" s="117"/>
      <c r="K92" s="117"/>
      <c r="L92" s="117"/>
      <c r="M92" s="131"/>
      <c r="N92" s="124">
        <v>5</v>
      </c>
      <c r="O92" s="132"/>
      <c r="P92" s="206">
        <f>1/D92</f>
        <v>0.14285714285714285</v>
      </c>
      <c r="Q92" s="228">
        <f>INDEX(Исходник!$O:$O,MATCH(Модель!B92,Исходник!$B:$B,0))</f>
        <v>-5.2413793103448292E-2</v>
      </c>
      <c r="R92" s="216">
        <f>(-INDEX([1]Databook_Dealogic!$P:$P,MATCH(Модель!B92,[1]Databook_Dealogic!$D:$D,0))+INDEX([1]Databook_Dealogic!$AF:$AF,MATCH(Модель!B92,[1]Databook_Dealogic!$D:$D,0)))/INDEX([1]Databook_Dealogic!$P:$P,MATCH(Модель!B92,[1]Databook_Dealogic!$D:$D,0))</f>
        <v>-1.6764529981909268E-3</v>
      </c>
      <c r="S92" s="158">
        <f>INDEX(Исходник!Z:Z,MATCH(Модель!B92,Исходник!$B:$B,0))</f>
        <v>40862.701974922704</v>
      </c>
      <c r="T92" s="89">
        <f>(INDEX(Исходник!AA:AA,MATCH(Модель!B92,Исходник!B:B,0)))/Модель!S92</f>
        <v>0.41339760075801152</v>
      </c>
      <c r="U92" s="89">
        <f>INDEX(Исходник!Y:Y,MATCH(Модель!B92,Исходник!B:B,0))</f>
        <v>2</v>
      </c>
      <c r="V92" s="99">
        <f>YEAR(A92)</f>
        <v>2006</v>
      </c>
      <c r="W92" s="89" t="str">
        <f>INDEX(Исходник!E:E,MATCH(Модель!B92,Исходник!B:B,0))</f>
        <v>Telecommunications</v>
      </c>
      <c r="X92" s="90">
        <f>INDEX(Исходник!AP:AP,MATCH(Модель!B92,Исходник!B:B,0))</f>
        <v>5.847818473392196E-2</v>
      </c>
      <c r="Y92" s="89">
        <f>INDEX(Исходник!F:F,MATCH(Модель!B92,Исходник!B:B,0))</f>
        <v>30258.079199999996</v>
      </c>
      <c r="Z92" s="89" t="str">
        <f>INDEX(Исходник!W:W,MATCH(Модель!B92,Исходник!B:B,0))</f>
        <v>London Stock Exchange; Moscow</v>
      </c>
      <c r="AA92" s="99">
        <f>INDEX(Исходник!AO:AO,MATCH(Модель!B92,Исходник!B:B,0))</f>
        <v>0.5977859335539929</v>
      </c>
      <c r="AB92">
        <f>INDEX(Исходник!AR:AR,MATCH(Модель!B92,Исходник!B:B,0))</f>
        <v>1.5039051822642442</v>
      </c>
      <c r="AC92" s="179">
        <f>INDEX(Исходник!AM:AM,MATCH(Модель!B92,Исходник!B:B,0))</f>
        <v>0.35943769034127282</v>
      </c>
    </row>
    <row r="93" spans="1:29" ht="15.75" customHeight="1" x14ac:dyDescent="0.25">
      <c r="A93" s="88">
        <v>38695</v>
      </c>
      <c r="B93" s="89" t="s">
        <v>291</v>
      </c>
      <c r="C93" s="89" t="s">
        <v>438</v>
      </c>
      <c r="D93" s="89">
        <v>9</v>
      </c>
      <c r="E93" s="90">
        <f>4/D93</f>
        <v>0.44444444444444442</v>
      </c>
      <c r="F93" s="89">
        <v>1</v>
      </c>
      <c r="G93" s="91"/>
      <c r="H93" s="156"/>
      <c r="I93" s="160">
        <v>0</v>
      </c>
      <c r="J93" s="93"/>
      <c r="K93" s="93"/>
      <c r="L93" s="93"/>
      <c r="M93" s="94"/>
      <c r="N93" s="89">
        <v>3</v>
      </c>
      <c r="O93" s="95"/>
      <c r="P93" s="203">
        <f>1/D93</f>
        <v>0.1111111111111111</v>
      </c>
      <c r="Q93" s="228">
        <f>INDEX(Исходник!$O:$O,MATCH(Модель!B93,Исходник!$B:$B,0))</f>
        <v>0.35379310344827575</v>
      </c>
      <c r="R93" s="216">
        <f>(-INDEX([1]Databook_Dealogic!$P:$P,MATCH(Модель!B93,[1]Databook_Dealogic!$D:$D,0))+INDEX([1]Databook_Dealogic!$AF:$AF,MATCH(Модель!B93,[1]Databook_Dealogic!$D:$D,0)))/INDEX([1]Databook_Dealogic!$P:$P,MATCH(Модель!B93,[1]Databook_Dealogic!$D:$D,0))</f>
        <v>0.29340420569352188</v>
      </c>
      <c r="S93" s="158">
        <f>INDEX(Исходник!Z:Z,MATCH(Модель!B93,Исходник!$B:$B,0))</f>
        <v>148820.04151649878</v>
      </c>
      <c r="T93" s="89">
        <f>(INDEX(Исходник!AA:AA,MATCH(Модель!B93,Исходник!B:B,0)))/Модель!S93</f>
        <v>0.1664065323492171</v>
      </c>
      <c r="U93" s="89">
        <f>INDEX(Исходник!Y:Y,MATCH(Модель!B93,Исходник!B:B,0))</f>
        <v>12</v>
      </c>
      <c r="V93" s="99">
        <f>YEAR(A93)</f>
        <v>2005</v>
      </c>
      <c r="W93" s="89" t="str">
        <f>INDEX(Исходник!E:E,MATCH(Модель!B93,Исходник!B:B,0))</f>
        <v>Metal &amp; Steel-Processing</v>
      </c>
      <c r="X93" s="90">
        <f>INDEX(Исходник!AP:AP,MATCH(Модель!B93,Исходник!B:B,0))</f>
        <v>0.42963544877063736</v>
      </c>
      <c r="Y93" s="89">
        <f>INDEX(Исходник!F:F,MATCH(Модель!B93,Исходник!B:B,0))</f>
        <v>20216.2202</v>
      </c>
      <c r="Z93" s="89" t="str">
        <f>INDEX(Исходник!W:W,MATCH(Модель!B93,Исходник!B:B,0))</f>
        <v>London Stock Exchange</v>
      </c>
      <c r="AA93" s="99">
        <f>INDEX(Исходник!AO:AO,MATCH(Модель!B93,Исходник!B:B,0))</f>
        <v>-0.52266590605095298</v>
      </c>
      <c r="AB93">
        <f>INDEX(Исходник!AR:AR,MATCH(Модель!B93,Исходник!B:B,0))</f>
        <v>4.8462574356822845</v>
      </c>
      <c r="AC93" s="179">
        <f>INDEX(Исходник!AM:AM,MATCH(Модель!B93,Исходник!B:B,0))</f>
        <v>0.56466475098740032</v>
      </c>
    </row>
    <row r="94" spans="1:29" ht="15.75" customHeight="1" x14ac:dyDescent="0.25">
      <c r="A94" s="88">
        <v>38667</v>
      </c>
      <c r="B94" s="89" t="s">
        <v>293</v>
      </c>
      <c r="C94" s="89" t="s">
        <v>439</v>
      </c>
      <c r="D94" s="89">
        <v>4</v>
      </c>
      <c r="E94" s="90">
        <f>1/D94</f>
        <v>0.25</v>
      </c>
      <c r="F94" s="89">
        <v>0</v>
      </c>
      <c r="G94" s="102">
        <f>(2005*D94-(1982+1962+1968+1937))/D94</f>
        <v>42.75</v>
      </c>
      <c r="H94" s="103">
        <f>1/D94</f>
        <v>0.25</v>
      </c>
      <c r="I94" s="160">
        <v>0</v>
      </c>
      <c r="J94" s="89">
        <v>0</v>
      </c>
      <c r="K94" s="93">
        <v>12</v>
      </c>
      <c r="L94" s="93"/>
      <c r="M94" s="99">
        <f>6/D94</f>
        <v>1.5</v>
      </c>
      <c r="N94" s="89">
        <v>1</v>
      </c>
      <c r="O94" s="90">
        <f>3/D94</f>
        <v>0.75</v>
      </c>
      <c r="P94" s="203">
        <f>0/D94</f>
        <v>0</v>
      </c>
      <c r="Q94" s="228">
        <f>INDEX(Исходник!$O:$O,MATCH(Модель!B94,Исходник!$B:$B,0))</f>
        <v>-1.2727272727272809E-2</v>
      </c>
      <c r="R94" s="216">
        <f>(-INDEX([1]Databook_Dealogic!$P:$P,MATCH(Модель!B94,[1]Databook_Dealogic!$D:$D,0))+INDEX([1]Databook_Dealogic!$AF:$AF,MATCH(Модель!B94,[1]Databook_Dealogic!$D:$D,0)))/INDEX([1]Databook_Dealogic!$P:$P,MATCH(Модель!B94,[1]Databook_Dealogic!$D:$D,0))</f>
        <v>-0.12257871546954802</v>
      </c>
      <c r="S94" s="158">
        <f>INDEX(Исходник!Z:Z,MATCH(Модель!B94,Исходник!$B:$B,0))</f>
        <v>14775</v>
      </c>
      <c r="T94" s="89">
        <f>(INDEX(Исходник!AA:AA,MATCH(Модель!B94,Исходник!B:B,0)))/Модель!S94</f>
        <v>0.55458544839255497</v>
      </c>
      <c r="U94" s="89">
        <f>INDEX(Исходник!Y:Y,MATCH(Модель!B94,Исходник!B:B,0))</f>
        <v>18</v>
      </c>
      <c r="V94" s="99">
        <f>YEAR(A94)</f>
        <v>2005</v>
      </c>
      <c r="W94" s="89" t="str">
        <f>INDEX(Исходник!E:E,MATCH(Модель!B94,Исходник!B:B,0))</f>
        <v>Auto/Truck</v>
      </c>
      <c r="X94" s="90">
        <f>INDEX(Исходник!AP:AP,MATCH(Модель!B94,Исходник!B:B,0))</f>
        <v>8.8736027515047295E-3</v>
      </c>
      <c r="Y94" s="89">
        <f>INDEX(Исходник!F:F,MATCH(Модель!B94,Исходник!B:B,0))</f>
        <v>6207.8235999999997</v>
      </c>
      <c r="Z94" s="89" t="str">
        <f>INDEX(Исходник!W:W,MATCH(Модель!B94,Исходник!B:B,0))</f>
        <v>London Stock Exchange</v>
      </c>
      <c r="AA94" s="99">
        <f>INDEX(Исходник!AO:AO,MATCH(Модель!B94,Исходник!B:B,0))</f>
        <v>3.5572519083969465</v>
      </c>
      <c r="AB94">
        <f>INDEX(Исходник!AR:AR,MATCH(Модель!B94,Исходник!B:B,0))</f>
        <v>0.94040887342322754</v>
      </c>
      <c r="AC94" s="179">
        <f>INDEX(Исходник!AM:AM,MATCH(Модель!B94,Исходник!B:B,0))</f>
        <v>0.11350180505415162</v>
      </c>
    </row>
    <row r="95" spans="1:29" ht="15.75" customHeight="1" x14ac:dyDescent="0.25">
      <c r="A95" s="144">
        <v>38568</v>
      </c>
      <c r="B95" s="96" t="s">
        <v>296</v>
      </c>
      <c r="C95" s="96" t="s">
        <v>440</v>
      </c>
      <c r="D95" s="96">
        <v>5</v>
      </c>
      <c r="E95" s="104">
        <v>0</v>
      </c>
      <c r="F95" s="93"/>
      <c r="G95" s="135">
        <f>(42+53+64+47+50)/D95</f>
        <v>51.2</v>
      </c>
      <c r="H95" s="136">
        <f>3/D95</f>
        <v>0.6</v>
      </c>
      <c r="I95" s="160">
        <v>0</v>
      </c>
      <c r="J95" s="96">
        <v>0</v>
      </c>
      <c r="K95" s="96">
        <v>1</v>
      </c>
      <c r="L95" s="96">
        <v>0</v>
      </c>
      <c r="M95" s="137">
        <f>1</f>
        <v>1</v>
      </c>
      <c r="N95" s="93"/>
      <c r="O95" s="104">
        <f>1/D95</f>
        <v>0.2</v>
      </c>
      <c r="P95" s="199">
        <f>4/D95</f>
        <v>0.8</v>
      </c>
      <c r="Q95" s="228">
        <f>INDEX(Исходник!$O:$O,MATCH(Модель!B95,Исходник!$B:$B,0))</f>
        <v>4.5833333333333393E-2</v>
      </c>
      <c r="R95" s="216">
        <f>(-INDEX([1]Databook_Dealogic!$P:$P,MATCH(Модель!B95,[1]Databook_Dealogic!$D:$D,0))+INDEX([1]Databook_Dealogic!$AF:$AF,MATCH(Модель!B95,[1]Databook_Dealogic!$D:$D,0)))/INDEX([1]Databook_Dealogic!$P:$P,MATCH(Модель!B95,[1]Databook_Dealogic!$D:$D,0))</f>
        <v>0.12348754377512197</v>
      </c>
      <c r="S95" s="158">
        <f>INDEX(Исходник!Z:Z,MATCH(Модель!B95,Исходник!$B:$B,0))</f>
        <v>3119.5646731219117</v>
      </c>
      <c r="T95" s="89">
        <f>(INDEX(Исходник!AA:AA,MATCH(Модель!B95,Исходник!B:B,0)))/Модель!S95</f>
        <v>0.72961916371158397</v>
      </c>
      <c r="U95" s="89">
        <f>INDEX(Исходник!Y:Y,MATCH(Модель!B95,Исходник!B:B,0))</f>
        <v>5</v>
      </c>
      <c r="V95" s="99">
        <f>YEAR(A95)</f>
        <v>2005</v>
      </c>
      <c r="W95" s="89" t="str">
        <f>INDEX(Исходник!E:E,MATCH(Модель!B95,Исходник!B:B,0))</f>
        <v>Oil &amp; Gas</v>
      </c>
      <c r="X95" s="90">
        <f>INDEX(Исходник!AP:AP,MATCH(Модель!B95,Исходник!B:B,0))</f>
        <v>0</v>
      </c>
      <c r="Y95" s="89">
        <f>INDEX(Исходник!F:F,MATCH(Модель!B95,Исходник!B:B,0))</f>
        <v>3623.61</v>
      </c>
      <c r="Z95" s="89" t="str">
        <f>INDEX(Исходник!W:W,MATCH(Модель!B95,Исходник!B:B,0))</f>
        <v>London Stock Exchange-AIM</v>
      </c>
      <c r="AA95" s="99">
        <f>INDEX(Исходник!AO:AO,MATCH(Модель!B95,Исходник!B:B,0))</f>
        <v>0</v>
      </c>
      <c r="AB95">
        <f>INDEX(Исходник!AR:AR,MATCH(Модель!B95,Исходник!B:B,0))</f>
        <v>0.12551062091503268</v>
      </c>
      <c r="AC95" s="179">
        <f>INDEX(Исходник!AM:AM,MATCH(Модель!B95,Исходник!B:B,0))</f>
        <v>0</v>
      </c>
    </row>
    <row r="96" spans="1:29" ht="15.75" customHeight="1" x14ac:dyDescent="0.25">
      <c r="A96" s="88">
        <v>38554</v>
      </c>
      <c r="B96" s="89" t="s">
        <v>297</v>
      </c>
      <c r="C96" s="89" t="s">
        <v>442</v>
      </c>
      <c r="D96" s="89">
        <v>8</v>
      </c>
      <c r="E96" s="90">
        <f>4/D96</f>
        <v>0.5</v>
      </c>
      <c r="F96" s="89">
        <v>1</v>
      </c>
      <c r="G96" s="91"/>
      <c r="H96" s="92"/>
      <c r="I96" s="160"/>
      <c r="J96" s="89">
        <v>0</v>
      </c>
      <c r="K96" s="93"/>
      <c r="L96" s="93"/>
      <c r="M96" s="94"/>
      <c r="N96" s="89">
        <v>3</v>
      </c>
      <c r="O96" s="95"/>
      <c r="P96" s="200"/>
      <c r="Q96" s="228">
        <f>INDEX(Исходник!$O:$O,MATCH(Модель!B96,Исходник!$B:$B,0))</f>
        <v>0.13432835820895517</v>
      </c>
      <c r="R96" s="216">
        <f>(-INDEX([1]Databook_Dealogic!$P:$P,MATCH(Модель!B96,[1]Databook_Dealogic!$D:$D,0))+INDEX([1]Databook_Dealogic!$AF:$AF,MATCH(Модель!B96,[1]Databook_Dealogic!$D:$D,0)))/INDEX([1]Databook_Dealogic!$P:$P,MATCH(Модель!B96,[1]Databook_Dealogic!$D:$D,0))</f>
        <v>0.33981228666810193</v>
      </c>
      <c r="S96" s="158">
        <f>INDEX(Исходник!Z:Z,MATCH(Модель!B96,Исходник!$B:$B,0))</f>
        <v>82450</v>
      </c>
      <c r="T96" s="89">
        <f>(INDEX(Исходник!AA:AA,MATCH(Модель!B96,Исходник!B:B,0)))/Модель!S96</f>
        <v>0.45499090357792604</v>
      </c>
      <c r="U96" s="89">
        <f>INDEX(Исходник!Y:Y,MATCH(Модель!B96,Исходник!B:B,0))</f>
        <v>11</v>
      </c>
      <c r="V96" s="99">
        <f>YEAR(A96)</f>
        <v>2005</v>
      </c>
      <c r="W96" s="89" t="str">
        <f>INDEX(Исходник!E:E,MATCH(Модель!B96,Исходник!B:B,0))</f>
        <v>Oil &amp; Gas</v>
      </c>
      <c r="X96" s="90">
        <f>INDEX(Исходник!AP:AP,MATCH(Модель!B96,Исходник!B:B,0))</f>
        <v>0.11536825043055415</v>
      </c>
      <c r="Y96" s="89">
        <f>INDEX(Исходник!F:F,MATCH(Модель!B96,Исходник!B:B,0))</f>
        <v>29929.674600000002</v>
      </c>
      <c r="Z96" s="89" t="str">
        <f>INDEX(Исходник!W:W,MATCH(Модель!B96,Исходник!B:B,0))</f>
        <v>London Stock Exchange; Moscow; Portal</v>
      </c>
      <c r="AA96" s="99">
        <f>INDEX(Исходник!AO:AO,MATCH(Модель!B96,Исходник!B:B,0))</f>
        <v>2.401853122855182</v>
      </c>
      <c r="AB96">
        <f>INDEX(Исходник!AR:AR,MATCH(Модель!B96,Исходник!B:B,0))</f>
        <v>0.5624198375374091</v>
      </c>
      <c r="AC96" s="179">
        <f>INDEX(Исходник!AM:AM,MATCH(Модель!B96,Исходник!B:B,0))</f>
        <v>0.35514929920780014</v>
      </c>
    </row>
    <row r="97" spans="1:29" ht="15.75" customHeight="1" x14ac:dyDescent="0.25">
      <c r="A97" s="133">
        <v>38504</v>
      </c>
      <c r="B97" s="134" t="s">
        <v>300</v>
      </c>
      <c r="C97" s="134" t="s">
        <v>444</v>
      </c>
      <c r="D97" s="96">
        <v>7</v>
      </c>
      <c r="E97" s="104">
        <f>3/D97</f>
        <v>0.42857142857142855</v>
      </c>
      <c r="F97" s="96">
        <v>1</v>
      </c>
      <c r="G97" s="135">
        <f>(2005*D97-(1964+1955+1959+1969+1944+1954+1949))/D97</f>
        <v>48.714285714285715</v>
      </c>
      <c r="H97" s="136">
        <f>3/D97</f>
        <v>0.42857142857142855</v>
      </c>
      <c r="I97" s="160">
        <v>0</v>
      </c>
      <c r="J97" s="96">
        <v>0</v>
      </c>
      <c r="K97" s="96">
        <v>0</v>
      </c>
      <c r="L97" s="96">
        <f>1</f>
        <v>1</v>
      </c>
      <c r="M97" s="137">
        <f>13/D97</f>
        <v>1.8571428571428572</v>
      </c>
      <c r="N97" s="96">
        <v>3</v>
      </c>
      <c r="O97" s="104">
        <f>3/D97</f>
        <v>0.42857142857142855</v>
      </c>
      <c r="P97" s="199">
        <f>4/D97</f>
        <v>0.5714285714285714</v>
      </c>
      <c r="Q97" s="228">
        <f>INDEX(Исходник!$O:$O,MATCH(Модель!B97,Исходник!$B:$B,0))</f>
        <v>0</v>
      </c>
      <c r="R97" s="216">
        <f>(-INDEX([1]Databook_Dealogic!$P:$P,MATCH(Модель!B97,[1]Databook_Dealogic!$D:$D,0))+INDEX([1]Databook_Dealogic!$AF:$AF,MATCH(Модель!B97,[1]Databook_Dealogic!$D:$D,0)))/INDEX([1]Databook_Dealogic!$P:$P,MATCH(Модель!B97,[1]Databook_Dealogic!$D:$D,0))</f>
        <v>-2.138846837141967E-2</v>
      </c>
      <c r="S97" s="158">
        <f>INDEX(Исходник!Z:Z,MATCH(Модель!B97,Исходник!$B:$B,0))</f>
        <v>116224.9291726948</v>
      </c>
      <c r="T97" s="89">
        <f>(INDEX(Исходник!AA:AA,MATCH(Модель!B97,Исходник!B:B,0)))/Модель!S97</f>
        <v>0.61778472569576803</v>
      </c>
      <c r="U97" s="89">
        <f>INDEX(Исходник!Y:Y,MATCH(Модель!B97,Исходник!B:B,0))</f>
        <v>13</v>
      </c>
      <c r="V97" s="99">
        <f>YEAR(A97)</f>
        <v>2005</v>
      </c>
      <c r="W97" s="89" t="str">
        <f>INDEX(Исходник!E:E,MATCH(Модель!B97,Исходник!B:B,0))</f>
        <v>Metal &amp; Steel</v>
      </c>
      <c r="X97" s="90">
        <f>INDEX(Исходник!AP:AP,MATCH(Модель!B97,Исходник!B:B,0))</f>
        <v>0.40359974223812445</v>
      </c>
      <c r="Y97" s="89">
        <f>INDEX(Исходник!F:F,MATCH(Модель!B97,Исходник!B:B,0))</f>
        <v>10800.879000000001</v>
      </c>
      <c r="Z97" s="89" t="str">
        <f>INDEX(Исходник!W:W,MATCH(Модель!B97,Исходник!B:B,0))</f>
        <v>London Stock Exchange</v>
      </c>
      <c r="AA97" s="99">
        <f>INDEX(Исходник!AO:AO,MATCH(Модель!B97,Исходник!B:B,0))</f>
        <v>0.50975569102769858</v>
      </c>
      <c r="AB97">
        <f>INDEX(Исходник!AR:AR,MATCH(Модель!B97,Исходник!B:B,0))</f>
        <v>1.9338021949361761</v>
      </c>
      <c r="AC97" s="179">
        <f>INDEX(Исходник!AM:AM,MATCH(Модель!B97,Исходник!B:B,0))</f>
        <v>0.33822363792751908</v>
      </c>
    </row>
    <row r="98" spans="1:29" ht="15.75" customHeight="1" x14ac:dyDescent="0.25">
      <c r="A98" s="133">
        <v>38477</v>
      </c>
      <c r="B98" s="134" t="s">
        <v>301</v>
      </c>
      <c r="C98" s="134" t="s">
        <v>445</v>
      </c>
      <c r="D98" s="96">
        <v>5</v>
      </c>
      <c r="E98" s="104">
        <f>1/D98</f>
        <v>0.2</v>
      </c>
      <c r="F98" s="135">
        <v>1</v>
      </c>
      <c r="G98" s="96">
        <f>(44+48+45+42+42)/D98</f>
        <v>44.2</v>
      </c>
      <c r="H98" s="136">
        <f>4/D98</f>
        <v>0.8</v>
      </c>
      <c r="I98" s="160">
        <v>0.2</v>
      </c>
      <c r="J98" s="96">
        <v>1</v>
      </c>
      <c r="K98" s="96">
        <v>0</v>
      </c>
      <c r="L98" s="96">
        <v>0</v>
      </c>
      <c r="M98" s="137">
        <f>8/D98</f>
        <v>1.6</v>
      </c>
      <c r="N98" s="96">
        <v>4</v>
      </c>
      <c r="O98" s="104">
        <f>H98</f>
        <v>0.8</v>
      </c>
      <c r="P98" s="199">
        <f>1/D98</f>
        <v>0.2</v>
      </c>
      <c r="Q98" s="228">
        <f>INDEX(Исходник!$O:$O,MATCH(Модель!B98,Исходник!$B:$B,0))</f>
        <v>-3.8461538461538436E-2</v>
      </c>
      <c r="R98" s="216">
        <f>(-INDEX([1]Databook_Dealogic!$P:$P,MATCH(Модель!B98,[1]Databook_Dealogic!$D:$D,0))+INDEX([1]Databook_Dealogic!$AF:$AF,MATCH(Модель!B98,[1]Databook_Dealogic!$D:$D,0)))/INDEX([1]Databook_Dealogic!$P:$P,MATCH(Модель!B98,[1]Databook_Dealogic!$D:$D,0))</f>
        <v>4.0741652660320232E-2</v>
      </c>
      <c r="S98" s="158">
        <f>INDEX(Исходник!Z:Z,MATCH(Модель!B98,Исходник!$B:$B,0))</f>
        <v>11973.974010870117</v>
      </c>
      <c r="T98" s="89">
        <f>(INDEX(Исходник!AA:AA,MATCH(Модель!B98,Исходник!B:B,0)))/Модель!S98</f>
        <v>0.60061783195836849</v>
      </c>
      <c r="U98" s="89">
        <f>INDEX(Исходник!Y:Y,MATCH(Модель!B98,Исходник!B:B,0))</f>
        <v>10</v>
      </c>
      <c r="V98" s="99">
        <f>YEAR(A98)</f>
        <v>2005</v>
      </c>
      <c r="W98" s="89" t="str">
        <f>INDEX(Исходник!E:E,MATCH(Модель!B98,Исходник!B:B,0))</f>
        <v>Retail</v>
      </c>
      <c r="X98" s="90">
        <f>INDEX(Исходник!AP:AP,MATCH(Модель!B98,Исходник!B:B,0))</f>
        <v>0.22477763064718503</v>
      </c>
      <c r="Y98" s="89">
        <f>INDEX(Исходник!F:F,MATCH(Модель!B98,Исходник!B:B,0))</f>
        <v>16418.082600000002</v>
      </c>
      <c r="Z98" s="89" t="str">
        <f>INDEX(Исходник!W:W,MATCH(Модель!B98,Исходник!B:B,0))</f>
        <v>London Stock Exchange</v>
      </c>
      <c r="AA98" s="99">
        <f>INDEX(Исходник!AO:AO,MATCH(Модель!B98,Исходник!B:B,0))</f>
        <v>0</v>
      </c>
      <c r="AB98">
        <f>INDEX(Исходник!AR:AR,MATCH(Модель!B98,Исходник!B:B,0))</f>
        <v>0.8806994891659109</v>
      </c>
      <c r="AC98" s="179">
        <f>INDEX(Исходник!AM:AM,MATCH(Модель!B98,Исходник!B:B,0))</f>
        <v>0</v>
      </c>
    </row>
    <row r="99" spans="1:29" ht="15.75" customHeight="1" x14ac:dyDescent="0.25">
      <c r="A99" s="105">
        <v>38464</v>
      </c>
      <c r="B99" s="87" t="s">
        <v>303</v>
      </c>
      <c r="C99" s="87" t="s">
        <v>446</v>
      </c>
      <c r="D99" s="89">
        <v>9</v>
      </c>
      <c r="E99" s="90">
        <f>2/D99</f>
        <v>0.22222222222222221</v>
      </c>
      <c r="F99" s="89">
        <v>1</v>
      </c>
      <c r="G99" s="102">
        <f>(2005*D99-(1965+1947+1979+1960+1966+1976+1959+1946+1955))/D99</f>
        <v>43.555555555555557</v>
      </c>
      <c r="H99" s="103">
        <f>3/D99</f>
        <v>0.33333333333333331</v>
      </c>
      <c r="I99" s="160">
        <v>0</v>
      </c>
      <c r="J99" s="89">
        <v>0</v>
      </c>
      <c r="K99" s="89">
        <f>7+1+2+3+9+10+3+3+2</f>
        <v>40</v>
      </c>
      <c r="L99" s="89">
        <f>5+1+2+5+2+3</f>
        <v>18</v>
      </c>
      <c r="M99" s="99">
        <f>1</f>
        <v>1</v>
      </c>
      <c r="N99" s="89">
        <v>1</v>
      </c>
      <c r="O99" s="90">
        <f>5/D99</f>
        <v>0.55555555555555558</v>
      </c>
      <c r="P99" s="203">
        <f>2/D99</f>
        <v>0.22222222222222221</v>
      </c>
      <c r="Q99" s="228">
        <f>INDEX(Исходник!$O:$O,MATCH(Модель!B99,Исходник!$B:$B,0))</f>
        <v>1.655629139072845E-2</v>
      </c>
      <c r="R99" s="216">
        <f>(-INDEX([1]Databook_Dealogic!$P:$P,MATCH(Модель!B99,[1]Databook_Dealogic!$D:$D,0))+INDEX([1]Databook_Dealogic!$AF:$AF,MATCH(Модель!B99,[1]Databook_Dealogic!$D:$D,0)))/INDEX([1]Databook_Dealogic!$P:$P,MATCH(Модель!B99,[1]Databook_Dealogic!$D:$D,0))</f>
        <v>-1.0511022780296198E-2</v>
      </c>
      <c r="S99" s="158">
        <f>INDEX(Исходник!Z:Z,MATCH(Модель!B99,Исходник!$B:$B,0))</f>
        <v>18824</v>
      </c>
      <c r="T99" s="89">
        <f>(INDEX(Исходник!AA:AA,MATCH(Модель!B99,Исходник!B:B,0)))/Модель!S99</f>
        <v>0.38721844453888654</v>
      </c>
      <c r="U99" s="89">
        <f>INDEX(Исходник!Y:Y,MATCH(Модель!B99,Исходник!B:B,0))</f>
        <v>3</v>
      </c>
      <c r="V99" s="99">
        <f>YEAR(A99)</f>
        <v>2005</v>
      </c>
      <c r="W99" s="89" t="str">
        <f>INDEX(Исходник!E:E,MATCH(Модель!B99,Исходник!B:B,0))</f>
        <v>Auto/Truck</v>
      </c>
      <c r="X99" s="90">
        <f>INDEX(Исходник!AP:AP,MATCH(Модель!B99,Исходник!B:B,0))</f>
        <v>9.4356659142212196E-2</v>
      </c>
      <c r="Y99" s="89">
        <f>INDEX(Исходник!F:F,MATCH(Модель!B99,Исходник!B:B,0))</f>
        <v>3520.3950000000004</v>
      </c>
      <c r="Z99" s="89" t="str">
        <f>INDEX(Исходник!W:W,MATCH(Модель!B99,Исходник!B:B,0))</f>
        <v>Moscow</v>
      </c>
      <c r="AA99" s="99">
        <f>INDEX(Исходник!AO:AO,MATCH(Модель!B99,Исходник!B:B,0))</f>
        <v>0.48483045806067815</v>
      </c>
      <c r="AB99">
        <f>INDEX(Исходник!AR:AR,MATCH(Модель!B99,Исходник!B:B,0))</f>
        <v>1.7674666666666667</v>
      </c>
      <c r="AC99" s="179">
        <f>INDEX(Исходник!AM:AM,MATCH(Модель!B99,Исходник!B:B,0))</f>
        <v>0.14598983889877981</v>
      </c>
    </row>
    <row r="100" spans="1:29" ht="15.75" customHeight="1" x14ac:dyDescent="0.25">
      <c r="A100" s="143">
        <v>38392</v>
      </c>
      <c r="B100" s="119" t="s">
        <v>306</v>
      </c>
      <c r="C100" s="119" t="s">
        <v>448</v>
      </c>
      <c r="D100" s="119">
        <v>13</v>
      </c>
      <c r="E100" s="128">
        <f>2/D100</f>
        <v>0.15384615384615385</v>
      </c>
      <c r="F100" s="119">
        <v>1</v>
      </c>
      <c r="G100" s="140">
        <f>(2005*D100-(1948+1954+1956+1970+1954+1946+1957+1947+1947+1949+1937+1929+1957))/D100</f>
        <v>54.92307692307692</v>
      </c>
      <c r="H100" s="92"/>
      <c r="I100" s="160">
        <v>0</v>
      </c>
      <c r="J100" s="119">
        <f>0</f>
        <v>0</v>
      </c>
      <c r="K100" s="119">
        <f>1+2+1+12+14+3+7+6+5+4+2+13+6+6+9</f>
        <v>91</v>
      </c>
      <c r="L100" s="119">
        <f>2+20+17+4+4+4+14+21</f>
        <v>86</v>
      </c>
      <c r="M100" s="131"/>
      <c r="N100" s="119">
        <v>3</v>
      </c>
      <c r="O100" s="132"/>
      <c r="P100" s="204">
        <f>0</f>
        <v>0</v>
      </c>
      <c r="Q100" s="228">
        <f>INDEX(Исходник!$O:$O,MATCH(Модель!B100,Исходник!$B:$B,0))</f>
        <v>2.6470588235294024E-2</v>
      </c>
      <c r="R100" s="216">
        <f>(-INDEX([1]Databook_Dealogic!$P:$P,MATCH(Модель!B100,[1]Databook_Dealogic!$D:$D,0))+INDEX([1]Databook_Dealogic!$AF:$AF,MATCH(Модель!B100,[1]Databook_Dealogic!$D:$D,0)))/INDEX([1]Databook_Dealogic!$P:$P,MATCH(Модель!B100,[1]Databook_Dealogic!$D:$D,0))</f>
        <v>9.000000000000008E-2</v>
      </c>
      <c r="S100" s="158">
        <f>INDEX(Исходник!Z:Z,MATCH(Модель!B100,Исходник!$B:$B,0))</f>
        <v>208330.35209982799</v>
      </c>
      <c r="T100" s="89">
        <f>(INDEX(Исходник!AA:AA,MATCH(Модель!B100,Исходник!B:B,0)))/Модель!S100</f>
        <v>0.65462874490410372</v>
      </c>
      <c r="U100" s="89">
        <f>INDEX(Исходник!Y:Y,MATCH(Модель!B100,Исходник!B:B,0))</f>
        <v>12</v>
      </c>
      <c r="V100" s="99">
        <f>YEAR(A100)</f>
        <v>2005</v>
      </c>
      <c r="W100" s="89" t="str">
        <f>INDEX(Исходник!E:E,MATCH(Модель!B100,Исходник!B:B,0))</f>
        <v>Holding Companies</v>
      </c>
      <c r="X100" s="90">
        <f>INDEX(Исходник!AP:AP,MATCH(Модель!B100,Исходник!B:B,0))</f>
        <v>8.4873507232723966E-2</v>
      </c>
      <c r="Y100" s="89">
        <f>INDEX(Исходник!F:F,MATCH(Модель!B100,Исходник!B:B,0))</f>
        <v>43887.470399999998</v>
      </c>
      <c r="Z100" s="89" t="str">
        <f>INDEX(Исходник!W:W,MATCH(Модель!B100,Исходник!B:B,0))</f>
        <v>London Stock Exchange; Moscow; Portal</v>
      </c>
      <c r="AA100" s="99">
        <f>INDEX(Исходник!AO:AO,MATCH(Модель!B100,Исходник!B:B,0))</f>
        <v>1.4767608910942824</v>
      </c>
      <c r="AB100">
        <f>INDEX(Исходник!AR:AR,MATCH(Модель!B100,Исходник!B:B,0))</f>
        <v>0.78419693985348904</v>
      </c>
      <c r="AC100" s="179">
        <f>INDEX(Исходник!AM:AM,MATCH(Модель!B100,Исходник!B:B,0))</f>
        <v>0.43264781251703832</v>
      </c>
    </row>
    <row r="101" spans="1:29" ht="15.75" customHeight="1" x14ac:dyDescent="0.25">
      <c r="A101" s="144">
        <v>38307</v>
      </c>
      <c r="B101" s="96" t="s">
        <v>308</v>
      </c>
      <c r="C101" s="96" t="s">
        <v>449</v>
      </c>
      <c r="D101" s="96">
        <v>7</v>
      </c>
      <c r="E101" s="104">
        <f>4/D101</f>
        <v>0.5714285714285714</v>
      </c>
      <c r="F101" s="93"/>
      <c r="G101" s="135">
        <f>(53+36+32+48+41+43+71)/D101</f>
        <v>46.285714285714285</v>
      </c>
      <c r="H101" s="157"/>
      <c r="I101" s="160">
        <v>0.2857142857142857</v>
      </c>
      <c r="J101" s="96">
        <v>0</v>
      </c>
      <c r="K101" s="93"/>
      <c r="L101" s="93"/>
      <c r="M101" s="94"/>
      <c r="N101" s="93"/>
      <c r="O101" s="95"/>
      <c r="P101" s="199">
        <f>1/D101</f>
        <v>0.14285714285714285</v>
      </c>
      <c r="Q101" s="228">
        <f>INDEX(Исходник!$O:$O,MATCH(Модель!B101,Исходник!$B:$B,0))</f>
        <v>0</v>
      </c>
      <c r="R101" s="216">
        <f>(-INDEX([1]Databook_Dealogic!$P:$P,MATCH(Модель!B101,[1]Databook_Dealogic!$D:$D,0))+INDEX([1]Databook_Dealogic!$AF:$AF,MATCH(Модель!B101,[1]Databook_Dealogic!$D:$D,0)))/INDEX([1]Databook_Dealogic!$P:$P,MATCH(Модель!B101,[1]Databook_Dealogic!$D:$D,0))</f>
        <v>-1</v>
      </c>
      <c r="S101" s="158">
        <f>INDEX(Исходник!Z:Z,MATCH(Модель!B101,Исходник!$B:$B,0))</f>
        <v>3571.0637352208</v>
      </c>
      <c r="T101" s="89">
        <f>(INDEX(Исходник!AA:AA,MATCH(Модель!B101,Исходник!B:B,0)))/Модель!S101</f>
        <v>0.36261036863984614</v>
      </c>
      <c r="U101" s="89">
        <f>INDEX(Исходник!Y:Y,MATCH(Модель!B101,Исходник!B:B,0))</f>
        <v>2</v>
      </c>
      <c r="V101" s="99">
        <f>YEAR(A101)</f>
        <v>2004</v>
      </c>
      <c r="W101" s="89" t="str">
        <f>INDEX(Исходник!E:E,MATCH(Модель!B101,Исходник!B:B,0))</f>
        <v>Real Estate/Property</v>
      </c>
      <c r="X101" s="90">
        <f>INDEX(Исходник!AP:AP,MATCH(Модель!B101,Исходник!B:B,0))</f>
        <v>9.6015079328368572E-2</v>
      </c>
      <c r="Y101" s="89">
        <f>INDEX(Исходник!F:F,MATCH(Модель!B101,Исходник!B:B,0))</f>
        <v>1978.2023999999999</v>
      </c>
      <c r="Z101" s="89" t="str">
        <f>INDEX(Исходник!W:W,MATCH(Модель!B101,Исходник!B:B,0))</f>
        <v>Moscow</v>
      </c>
      <c r="AA101" s="99">
        <f>INDEX(Исходник!AO:AO,MATCH(Модель!B101,Исходник!B:B,0))</f>
        <v>0</v>
      </c>
      <c r="AB101">
        <f>INDEX(Исходник!AR:AR,MATCH(Модель!B101,Исходник!B:B,0))</f>
        <v>4.0222672064777329</v>
      </c>
      <c r="AC101" s="179">
        <f>INDEX(Исходник!AM:AM,MATCH(Модель!B101,Исходник!B:B,0))</f>
        <v>0</v>
      </c>
    </row>
    <row r="102" spans="1:29" ht="15.75" customHeight="1" x14ac:dyDescent="0.25">
      <c r="A102" s="144">
        <v>38302</v>
      </c>
      <c r="B102" s="96" t="s">
        <v>310</v>
      </c>
      <c r="C102" s="96" t="s">
        <v>450</v>
      </c>
      <c r="D102" s="96">
        <v>5</v>
      </c>
      <c r="E102" s="104">
        <f>1/D102</f>
        <v>0.2</v>
      </c>
      <c r="F102" s="96">
        <v>1</v>
      </c>
      <c r="G102" s="135">
        <f>(2004*D102-(1946+1964+1969+1975+1958))/D102</f>
        <v>41.6</v>
      </c>
      <c r="H102" s="92"/>
      <c r="I102" s="160">
        <v>0.6</v>
      </c>
      <c r="J102" s="96">
        <v>0</v>
      </c>
      <c r="K102" s="93"/>
      <c r="L102" s="93"/>
      <c r="M102" s="94"/>
      <c r="N102" s="96">
        <v>1</v>
      </c>
      <c r="O102" s="95"/>
      <c r="P102" s="199">
        <v>0</v>
      </c>
      <c r="Q102" s="228">
        <f>INDEX(Исходник!$O:$O,MATCH(Модель!B102,Исходник!$B:$B,0))</f>
        <v>0</v>
      </c>
      <c r="R102" s="216">
        <f>(-INDEX([1]Databook_Dealogic!$P:$P,MATCH(Модель!B102,[1]Databook_Dealogic!$D:$D,0))+INDEX([1]Databook_Dealogic!$AF:$AF,MATCH(Модель!B102,[1]Databook_Dealogic!$D:$D,0)))/INDEX([1]Databook_Dealogic!$P:$P,MATCH(Модель!B102,[1]Databook_Dealogic!$D:$D,0))</f>
        <v>-0.96327272727272717</v>
      </c>
      <c r="S102" s="158">
        <f>INDEX(Исходник!Z:Z,MATCH(Модель!B102,Исходник!$B:$B,0))</f>
        <v>1842.4</v>
      </c>
      <c r="T102" s="89">
        <f>(INDEX(Исходник!AA:AA,MATCH(Модель!B102,Исходник!B:B,0)))/Модель!S102</f>
        <v>0.80058619192357794</v>
      </c>
      <c r="U102" s="89">
        <f>INDEX(Исходник!Y:Y,MATCH(Модель!B102,Исходник!B:B,0))</f>
        <v>10</v>
      </c>
      <c r="V102" s="99">
        <f>YEAR(A102)</f>
        <v>2004</v>
      </c>
      <c r="W102" s="89" t="str">
        <f>INDEX(Исходник!E:E,MATCH(Модель!B102,Исходник!B:B,0))</f>
        <v>Retail</v>
      </c>
      <c r="X102" s="90">
        <f>INDEX(Исходник!AP:AP,MATCH(Модель!B102,Исходник!B:B,0))</f>
        <v>0.12926995900839353</v>
      </c>
      <c r="Y102" s="89">
        <f>INDEX(Исходник!F:F,MATCH(Модель!B102,Исходник!B:B,0))</f>
        <v>2322.4158000000002</v>
      </c>
      <c r="Z102" s="89" t="str">
        <f>INDEX(Исходник!W:W,MATCH(Модель!B102,Исходник!B:B,0))</f>
        <v>Moscow</v>
      </c>
      <c r="AA102" s="99">
        <f>INDEX(Исходник!AO:AO,MATCH(Модель!B102,Исходник!B:B,0))</f>
        <v>-9.8347107438016515E-2</v>
      </c>
      <c r="AB102">
        <f>INDEX(Исходник!AR:AR,MATCH(Модель!B102,Исходник!B:B,0))</f>
        <v>23.414285714285715</v>
      </c>
      <c r="AC102" s="179">
        <f>INDEX(Исходник!AM:AM,MATCH(Модель!B102,Исходник!B:B,0))</f>
        <v>4.608997067001866E-2</v>
      </c>
    </row>
    <row r="103" spans="1:29" ht="15.75" customHeight="1" x14ac:dyDescent="0.25">
      <c r="A103" s="88">
        <v>38288</v>
      </c>
      <c r="B103" s="89" t="s">
        <v>311</v>
      </c>
      <c r="C103" s="89" t="s">
        <v>451</v>
      </c>
      <c r="D103" s="89">
        <v>9</v>
      </c>
      <c r="E103" s="90">
        <f>2/D103</f>
        <v>0.22222222222222221</v>
      </c>
      <c r="F103" s="89">
        <v>1</v>
      </c>
      <c r="G103" s="91"/>
      <c r="H103" s="103">
        <f>5/D103</f>
        <v>0.55555555555555558</v>
      </c>
      <c r="I103" s="160">
        <v>0</v>
      </c>
      <c r="J103" s="89">
        <f>0</f>
        <v>0</v>
      </c>
      <c r="K103" s="89">
        <f>1+1+1+1+1</f>
        <v>5</v>
      </c>
      <c r="L103" s="89">
        <f>1+1</f>
        <v>2</v>
      </c>
      <c r="M103" s="99">
        <f>12/D103</f>
        <v>1.3333333333333333</v>
      </c>
      <c r="N103" s="89">
        <v>1</v>
      </c>
      <c r="O103" s="90">
        <f>5/D103</f>
        <v>0.55555555555555558</v>
      </c>
      <c r="P103" s="203">
        <f>3/D100</f>
        <v>0.23076923076923078</v>
      </c>
      <c r="Q103" s="228">
        <f>INDEX(Исходник!$O:$O,MATCH(Модель!B103,Исходник!$B:$B,0))</f>
        <v>-2.3809523809523836E-2</v>
      </c>
      <c r="R103" s="216">
        <f>(-INDEX([1]Databook_Dealogic!$P:$P,MATCH(Модель!B103,[1]Databook_Dealogic!$D:$D,0))+INDEX([1]Databook_Dealogic!$AF:$AF,MATCH(Модель!B103,[1]Databook_Dealogic!$D:$D,0)))/INDEX([1]Databook_Dealogic!$P:$P,MATCH(Модель!B103,[1]Databook_Dealogic!$D:$D,0))</f>
        <v>-3.3809045424102985E-2</v>
      </c>
      <c r="S103" s="158">
        <f>INDEX(Исходник!Z:Z,MATCH(Модель!B103,Исходник!$B:$B,0))</f>
        <v>56267.809820972405</v>
      </c>
      <c r="T103" s="89">
        <f>(INDEX(Исходник!AA:AA,MATCH(Модель!B103,Исходник!B:B,0)))/Модель!S103</f>
        <v>0.75534271022927657</v>
      </c>
      <c r="U103" s="89">
        <f>INDEX(Исходник!Y:Y,MATCH(Модель!B103,Исходник!B:B,0))</f>
        <v>1</v>
      </c>
      <c r="V103" s="99">
        <f>YEAR(A103)</f>
        <v>2004</v>
      </c>
      <c r="W103" s="89" t="str">
        <f>INDEX(Исходник!E:E,MATCH(Модель!B103,Исходник!B:B,0))</f>
        <v>Metal &amp; Steel</v>
      </c>
      <c r="X103" s="90">
        <f>INDEX(Исходник!AP:AP,MATCH(Модель!B103,Исходник!B:B,0))</f>
        <v>8.9083198758988152E-2</v>
      </c>
      <c r="Y103" s="89">
        <f>INDEX(Исходник!F:F,MATCH(Модель!B103,Исходник!B:B,0))</f>
        <v>9637.0789999999997</v>
      </c>
      <c r="Z103" s="89" t="str">
        <f>INDEX(Исходник!W:W,MATCH(Модель!B103,Исходник!B:B,0))</f>
        <v>Moscow; New York Stock Exchange-NYSE</v>
      </c>
      <c r="AA103" s="99">
        <f>INDEX(Исходник!AO:AO,MATCH(Модель!B103,Исходник!B:B,0))</f>
        <v>0.41173232128005999</v>
      </c>
      <c r="AB103">
        <f>INDEX(Исходник!AR:AR,MATCH(Модель!B103,Исходник!B:B,0))</f>
        <v>0.82796984089151904</v>
      </c>
      <c r="AC103" s="179">
        <f>INDEX(Исходник!AM:AM,MATCH(Модель!B103,Исходник!B:B,0))</f>
        <v>0.1665704106360312</v>
      </c>
    </row>
    <row r="104" spans="1:29" ht="15.75" customHeight="1" x14ac:dyDescent="0.25">
      <c r="A104" s="144">
        <v>38100</v>
      </c>
      <c r="B104" s="96" t="s">
        <v>314</v>
      </c>
      <c r="C104" s="96" t="s">
        <v>452</v>
      </c>
      <c r="D104" s="96">
        <v>7</v>
      </c>
      <c r="E104" s="104">
        <f>1/D104</f>
        <v>0.14285714285714285</v>
      </c>
      <c r="F104" s="93"/>
      <c r="G104" s="135">
        <f>(2004*D104-(1966+1945+1959+1970+1949+1967+1973))/D104</f>
        <v>42.714285714285715</v>
      </c>
      <c r="H104" s="92"/>
      <c r="I104" s="160">
        <v>0.14285714285714285</v>
      </c>
      <c r="J104" s="96">
        <v>0</v>
      </c>
      <c r="K104" s="96">
        <f>4</f>
        <v>4</v>
      </c>
      <c r="L104" s="96">
        <f>9+1</f>
        <v>10</v>
      </c>
      <c r="M104" s="94"/>
      <c r="N104" s="93"/>
      <c r="O104" s="95"/>
      <c r="P104" s="199">
        <f>3/D104</f>
        <v>0.42857142857142855</v>
      </c>
      <c r="Q104" s="228">
        <f>INDEX(Исходник!$O:$O,MATCH(Модель!B104,Исходник!$B:$B,0))</f>
        <v>7.3684210526315796E-2</v>
      </c>
      <c r="R104" s="216">
        <f>(-INDEX([1]Databook_Dealogic!$P:$P,MATCH(Модель!B104,[1]Databook_Dealogic!$D:$D,0))+INDEX([1]Databook_Dealogic!$AF:$AF,MATCH(Модель!B104,[1]Databook_Dealogic!$D:$D,0)))/INDEX([1]Databook_Dealogic!$P:$P,MATCH(Модель!B104,[1]Databook_Dealogic!$D:$D,0))</f>
        <v>-0.96494860339253941</v>
      </c>
      <c r="S104" s="158">
        <f>INDEX(Исходник!Z:Z,MATCH(Модель!B104,Исходник!$B:$B,0))</f>
        <v>4817.2922251524005</v>
      </c>
      <c r="T104" s="89">
        <f>(INDEX(Исходник!AA:AA,MATCH(Модель!B104,Исходник!B:B,0)))/Модель!S104</f>
        <v>0.77666991385402939</v>
      </c>
      <c r="U104" s="89">
        <f>INDEX(Исходник!Y:Y,MATCH(Модель!B104,Исходник!B:B,0))</f>
        <v>5</v>
      </c>
      <c r="V104" s="99">
        <f>YEAR(A104)</f>
        <v>2004</v>
      </c>
      <c r="W104" s="89" t="str">
        <f>INDEX(Исходник!E:E,MATCH(Модель!B104,Исходник!B:B,0))</f>
        <v>Consumer Products</v>
      </c>
      <c r="X104" s="90">
        <f>INDEX(Исходник!AP:AP,MATCH(Модель!B104,Исходник!B:B,0))</f>
        <v>7.9443673404776177E-2</v>
      </c>
      <c r="Y104" s="89">
        <f>INDEX(Исходник!F:F,MATCH(Модель!B104,Исходник!B:B,0))</f>
        <v>1506.96</v>
      </c>
      <c r="Z104" s="89" t="str">
        <f>INDEX(Исходник!W:W,MATCH(Модель!B104,Исходник!B:B,0))</f>
        <v>Moscow</v>
      </c>
      <c r="AA104" s="99">
        <f>INDEX(Исходник!AO:AO,MATCH(Модель!B104,Исходник!B:B,0))</f>
        <v>0.58048333624149362</v>
      </c>
      <c r="AB104">
        <f>INDEX(Исходник!AR:AR,MATCH(Модель!B104,Исходник!B:B,0))</f>
        <v>1.8247549762554309</v>
      </c>
      <c r="AC104" s="179">
        <f>INDEX(Исходник!AM:AM,MATCH(Модель!B104,Исходник!B:B,0))</f>
        <v>0.14595788843682947</v>
      </c>
    </row>
    <row r="105" spans="1:29" ht="15.75" customHeight="1" x14ac:dyDescent="0.25">
      <c r="A105" s="143">
        <v>38072</v>
      </c>
      <c r="B105" s="119" t="s">
        <v>316</v>
      </c>
      <c r="C105" s="119" t="s">
        <v>453</v>
      </c>
      <c r="D105" s="119">
        <v>11</v>
      </c>
      <c r="E105" s="132"/>
      <c r="F105" s="119">
        <v>1</v>
      </c>
      <c r="G105" s="115"/>
      <c r="H105" s="130"/>
      <c r="I105" s="160">
        <v>9.0909090909090912E-2</v>
      </c>
      <c r="J105" s="117"/>
      <c r="K105" s="119">
        <f>1+2</f>
        <v>3</v>
      </c>
      <c r="L105" s="117"/>
      <c r="M105" s="131"/>
      <c r="N105" s="119">
        <v>4</v>
      </c>
      <c r="O105" s="132"/>
      <c r="P105" s="204">
        <v>0</v>
      </c>
      <c r="Q105" s="228">
        <f>INDEX(Исходник!$O:$O,MATCH(Модель!B105,Исходник!$B:$B,0))</f>
        <v>6.4516129032258229E-2</v>
      </c>
      <c r="R105" s="216">
        <f>(-INDEX([1]Databook_Dealogic!$P:$P,MATCH(Модель!B105,[1]Databook_Dealogic!$D:$D,0))+INDEX([1]Databook_Dealogic!$AF:$AF,MATCH(Модель!B105,[1]Databook_Dealogic!$D:$D,0)))/INDEX([1]Databook_Dealogic!$P:$P,MATCH(Модель!B105,[1]Databook_Dealogic!$D:$D,0))</f>
        <v>1.6464371058920197E-2</v>
      </c>
      <c r="S105" s="158">
        <f>INDEX(Исходник!Z:Z,MATCH(Модель!B105,Исходник!$B:$B,0))</f>
        <v>19886.430780037594</v>
      </c>
      <c r="T105" s="89">
        <f>(INDEX(Исходник!AA:AA,MATCH(Модель!B105,Исходник!B:B,0)))/Модель!S105</f>
        <v>0.95456523864643483</v>
      </c>
      <c r="U105" s="89">
        <f>INDEX(Исходник!Y:Y,MATCH(Модель!B105,Исходник!B:B,0))</f>
        <v>0</v>
      </c>
      <c r="V105" s="99">
        <f>YEAR(A105)</f>
        <v>2004</v>
      </c>
      <c r="W105" s="89" t="str">
        <f>INDEX(Исходник!E:E,MATCH(Модель!B105,Исходник!B:B,0))</f>
        <v>Aerospace</v>
      </c>
      <c r="X105" s="90">
        <f>INDEX(Исходник!AP:AP,MATCH(Модель!B105,Исходник!B:B,0))</f>
        <v>0</v>
      </c>
      <c r="Y105" s="89">
        <f>INDEX(Исходник!F:F,MATCH(Модель!B105,Исходник!B:B,0))</f>
        <v>3619.2333000000003</v>
      </c>
      <c r="Z105" s="89" t="str">
        <f>INDEX(Исходник!W:W,MATCH(Модель!B105,Исходник!B:B,0))</f>
        <v>Moscow</v>
      </c>
      <c r="AA105" s="99">
        <f>INDEX(Исходник!AO:AO,MATCH(Модель!B105,Исходник!B:B,0))</f>
        <v>0.79971972439565575</v>
      </c>
      <c r="AB105">
        <f>INDEX(Исходник!AR:AR,MATCH(Модель!B105,Исходник!B:B,0))</f>
        <v>0.87934455814770596</v>
      </c>
      <c r="AC105" s="179">
        <f>INDEX(Исходник!AM:AM,MATCH(Модель!B105,Исходник!B:B,0))</f>
        <v>0.19443650765117385</v>
      </c>
    </row>
    <row r="106" spans="1:29" ht="15.75" customHeight="1" x14ac:dyDescent="0.25">
      <c r="A106" s="143">
        <v>37651</v>
      </c>
      <c r="B106" s="119" t="s">
        <v>319</v>
      </c>
      <c r="C106" s="119" t="s">
        <v>454</v>
      </c>
      <c r="D106" s="119">
        <v>7</v>
      </c>
      <c r="E106" s="128">
        <f>2/D106</f>
        <v>0.2857142857142857</v>
      </c>
      <c r="F106" s="117"/>
      <c r="G106" s="115"/>
      <c r="H106" s="141">
        <f>6/D106</f>
        <v>0.8571428571428571</v>
      </c>
      <c r="I106" s="160">
        <v>0</v>
      </c>
      <c r="J106" s="119">
        <v>0</v>
      </c>
      <c r="K106" s="117"/>
      <c r="L106" s="117"/>
      <c r="M106" s="142">
        <f>10/D106</f>
        <v>1.4285714285714286</v>
      </c>
      <c r="N106" s="117"/>
      <c r="O106" s="128">
        <f>2/D106</f>
        <v>0.2857142857142857</v>
      </c>
      <c r="P106" s="204">
        <f>3/D106</f>
        <v>0.42857142857142855</v>
      </c>
      <c r="Q106" s="228">
        <f>INDEX(Исходник!$O:$O,MATCH(Модель!B106,Исходник!$B:$B,0))</f>
        <v>0</v>
      </c>
      <c r="R106" s="216">
        <f>(-INDEX([1]Databook_Dealogic!$P:$P,MATCH(Модель!B106,[1]Databook_Dealogic!$D:$D,0))+INDEX([1]Databook_Dealogic!$AF:$AF,MATCH(Модель!B106,[1]Databook_Dealogic!$D:$D,0)))/INDEX([1]Databook_Dealogic!$P:$P,MATCH(Модель!B106,[1]Databook_Dealogic!$D:$D,0))</f>
        <v>-1</v>
      </c>
      <c r="S106" s="158">
        <f>INDEX(Исходник!Z:Z,MATCH(Модель!B106,Исходник!$B:$B,0))</f>
        <v>2375.773952409636</v>
      </c>
      <c r="T106" s="89">
        <f>(INDEX(Исходник!AA:AA,MATCH(Модель!B106,Исходник!B:B,0)))/Модель!S106</f>
        <v>0.73793764045633736</v>
      </c>
      <c r="U106" s="89">
        <f>INDEX(Исходник!Y:Y,MATCH(Модель!B106,Исходник!B:B,0))</f>
        <v>1</v>
      </c>
      <c r="V106" s="99">
        <f>YEAR(A106)</f>
        <v>2003</v>
      </c>
      <c r="W106" s="89" t="str">
        <f>INDEX(Исходник!E:E,MATCH(Модель!B106,Исходник!B:B,0))</f>
        <v>Retail</v>
      </c>
      <c r="X106" s="90">
        <f>INDEX(Исходник!AP:AP,MATCH(Модель!B106,Исходник!B:B,0))</f>
        <v>0.28493792250254057</v>
      </c>
      <c r="Y106" s="89">
        <f>INDEX(Исходник!F:F,MATCH(Модель!B106,Исходник!B:B,0))</f>
        <v>445.2</v>
      </c>
      <c r="Z106" s="89" t="str">
        <f>INDEX(Исходник!W:W,MATCH(Модель!B106,Исходник!B:B,0))</f>
        <v>Moscow</v>
      </c>
      <c r="AA106" s="99">
        <f>INDEX(Исходник!AO:AO,MATCH(Модель!B106,Исходник!B:B,0))</f>
        <v>1.0906811533639782</v>
      </c>
      <c r="AB106">
        <f>INDEX(Исходник!AR:AR,MATCH(Модель!B106,Исходник!B:B,0))</f>
        <v>0.99043843908187568</v>
      </c>
      <c r="AC106" s="179">
        <f>INDEX(Исходник!AM:AM,MATCH(Модель!B106,Исходник!B:B,0))</f>
        <v>0.53798452517001705</v>
      </c>
    </row>
    <row r="107" spans="1:29" ht="15.75" customHeight="1" x14ac:dyDescent="0.25">
      <c r="A107" s="88">
        <v>37363</v>
      </c>
      <c r="B107" s="89" t="s">
        <v>321</v>
      </c>
      <c r="C107" s="89" t="s">
        <v>456</v>
      </c>
      <c r="D107" s="89">
        <v>12</v>
      </c>
      <c r="E107" s="95"/>
      <c r="F107" s="93"/>
      <c r="G107" s="91"/>
      <c r="H107" s="103">
        <f>7/D107</f>
        <v>0.58333333333333337</v>
      </c>
      <c r="I107" s="160">
        <v>8.3333333333333329E-2</v>
      </c>
      <c r="J107" s="93"/>
      <c r="K107" s="93"/>
      <c r="L107" s="93"/>
      <c r="M107" s="99">
        <f>17/D107</f>
        <v>1.4166666666666667</v>
      </c>
      <c r="N107" s="93"/>
      <c r="O107" s="90">
        <v>0</v>
      </c>
      <c r="P107" s="203">
        <f>3/D107</f>
        <v>0.25</v>
      </c>
      <c r="Q107" s="228">
        <f>INDEX(Исходник!$O:$O,MATCH(Модель!B107,Исходник!$B:$B,0))</f>
        <v>0</v>
      </c>
      <c r="R107" s="216">
        <f>(-INDEX([1]Databook_Dealogic!$P:$P,MATCH(Модель!B107,[1]Databook_Dealogic!$D:$D,0))+INDEX([1]Databook_Dealogic!$AF:$AF,MATCH(Модель!B107,[1]Databook_Dealogic!$D:$D,0)))/INDEX([1]Databook_Dealogic!$P:$P,MATCH(Модель!B107,[1]Databook_Dealogic!$D:$D,0))</f>
        <v>0.12428043979009501</v>
      </c>
      <c r="S107" s="158">
        <f>INDEX(Исходник!Z:Z,MATCH(Модель!B107,Исходник!$B:$B,0))</f>
        <v>476.49799999999999</v>
      </c>
      <c r="T107" s="89">
        <f>(INDEX(Исходник!AA:AA,MATCH(Модель!B107,Исходник!B:B,0)))/Модель!S107</f>
        <v>0.45304912087773719</v>
      </c>
      <c r="U107" s="89">
        <f>INDEX(Исходник!Y:Y,MATCH(Модель!B107,Исходник!B:B,0))</f>
        <v>9</v>
      </c>
      <c r="V107" s="99">
        <f>YEAR(A107)</f>
        <v>2002</v>
      </c>
      <c r="W107" s="89" t="str">
        <f>INDEX(Исходник!E:E,MATCH(Модель!B107,Исходник!B:B,0))</f>
        <v>Telecommunications</v>
      </c>
      <c r="X107" s="90">
        <f>INDEX(Исходник!AP:AP,MATCH(Модель!B107,Исходник!B:B,0))</f>
        <v>0.62688192624763217</v>
      </c>
      <c r="Y107" s="89">
        <f>INDEX(Исходник!F:F,MATCH(Модель!B107,Исходник!B:B,0))</f>
        <v>404.94740000000002</v>
      </c>
      <c r="Z107" s="89" t="str">
        <f>INDEX(Исходник!W:W,MATCH(Модель!B107,Исходник!B:B,0))</f>
        <v>Moscow</v>
      </c>
      <c r="AA107" s="99">
        <f>INDEX(Исходник!AO:AO,MATCH(Модель!B107,Исходник!B:B,0))</f>
        <v>0</v>
      </c>
      <c r="AB107">
        <f>INDEX(Исходник!AR:AR,MATCH(Модель!B107,Исходник!B:B,0))</f>
        <v>5.3150650164967228</v>
      </c>
      <c r="AC107" s="179">
        <f>INDEX(Исходник!AM:AM,MATCH(Модель!B107,Исходник!B:B,0))</f>
        <v>0</v>
      </c>
    </row>
    <row r="108" spans="1:29" ht="15.75" customHeight="1" x14ac:dyDescent="0.25">
      <c r="A108" s="120">
        <v>37294</v>
      </c>
      <c r="B108" s="121" t="s">
        <v>323</v>
      </c>
      <c r="C108" s="121" t="s">
        <v>457</v>
      </c>
      <c r="D108" s="124">
        <v>11</v>
      </c>
      <c r="E108" s="123">
        <f>7/D108</f>
        <v>0.63636363636363635</v>
      </c>
      <c r="F108" s="124">
        <v>1</v>
      </c>
      <c r="G108" s="125">
        <f>(2002*D108-(1957+1968+1952+1969+1936+1945+1948+1939+1942+1934+1934))/D108</f>
        <v>54.363636363636367</v>
      </c>
      <c r="H108" s="103">
        <f>5/D108</f>
        <v>0.45454545454545453</v>
      </c>
      <c r="I108" s="160">
        <v>0</v>
      </c>
      <c r="J108" s="124">
        <v>0</v>
      </c>
      <c r="K108" s="124">
        <f>2+1+3</f>
        <v>6</v>
      </c>
      <c r="L108" s="124">
        <v>0</v>
      </c>
      <c r="M108" s="127">
        <f>15/D108</f>
        <v>1.3636363636363635</v>
      </c>
      <c r="N108" s="124">
        <v>4</v>
      </c>
      <c r="O108" s="123">
        <f>5/D108</f>
        <v>0.45454545454545453</v>
      </c>
      <c r="P108" s="206">
        <f>5/D108</f>
        <v>0.45454545454545453</v>
      </c>
      <c r="Q108" s="228">
        <f>INDEX(Исходник!$O:$O,MATCH(Модель!B108,Исходник!$B:$B,0))</f>
        <v>0.15897435897435908</v>
      </c>
      <c r="R108" s="216">
        <f>(-INDEX([1]Databook_Dealogic!$P:$P,MATCH(Модель!B108,[1]Databook_Dealogic!$D:$D,0))+INDEX([1]Databook_Dealogic!$AF:$AF,MATCH(Модель!B108,[1]Databook_Dealogic!$D:$D,0)))/INDEX([1]Databook_Dealogic!$P:$P,MATCH(Модель!B108,[1]Databook_Dealogic!$D:$D,0))</f>
        <v>0.1714712447692617</v>
      </c>
      <c r="S108" s="158">
        <f>INDEX(Исходник!Z:Z,MATCH(Модель!B108,Исходник!$B:$B,0))</f>
        <v>8836.1045442629511</v>
      </c>
      <c r="T108" s="89">
        <f>(INDEX(Исходник!AA:AA,MATCH(Модель!B108,Исходник!B:B,0)))/Модель!S108</f>
        <v>0.70880619868780848</v>
      </c>
      <c r="U108" s="89">
        <f>INDEX(Исходник!Y:Y,MATCH(Модель!B108,Исходник!B:B,0))</f>
        <v>10</v>
      </c>
      <c r="V108" s="99">
        <f>YEAR(A108)</f>
        <v>2002</v>
      </c>
      <c r="W108" s="89" t="str">
        <f>INDEX(Исходник!E:E,MATCH(Модель!B108,Исходник!B:B,0))</f>
        <v>Food &amp; Beverage</v>
      </c>
      <c r="X108" s="90">
        <f>INDEX(Исходник!AP:AP,MATCH(Модель!B108,Исходник!B:B,0))</f>
        <v>8.1798863469001698E-2</v>
      </c>
      <c r="Y108" s="89">
        <f>INDEX(Исходник!F:F,MATCH(Модель!B108,Исходник!B:B,0))</f>
        <v>7314.1683999999996</v>
      </c>
      <c r="Z108" s="89" t="str">
        <f>INDEX(Исходник!W:W,MATCH(Модель!B108,Исходник!B:B,0))</f>
        <v>New York Stock Exchange-NYSE</v>
      </c>
      <c r="AA108" s="99">
        <f>INDEX(Исходник!AO:AO,MATCH(Модель!B108,Исходник!B:B,0))</f>
        <v>1.3456155323234478</v>
      </c>
      <c r="AB108">
        <f>INDEX(Исходник!AR:AR,MATCH(Модель!B108,Исходник!B:B,0))</f>
        <v>0.90410530942055456</v>
      </c>
      <c r="AC108" s="179">
        <f>INDEX(Исходник!AM:AM,MATCH(Модель!B108,Исходник!B:B,0))</f>
        <v>0.10070668720765087</v>
      </c>
    </row>
    <row r="109" spans="1:29" x14ac:dyDescent="0.25">
      <c r="A109" s="170">
        <v>45595</v>
      </c>
      <c r="B109" s="219" t="s">
        <v>44</v>
      </c>
      <c r="C109" s="171" t="s">
        <v>464</v>
      </c>
      <c r="D109" s="171">
        <v>5</v>
      </c>
      <c r="E109" s="172">
        <v>0</v>
      </c>
      <c r="F109" s="171">
        <v>1</v>
      </c>
      <c r="G109" s="173">
        <f>(2024*5-(1978+1979+1976+1964+1981))/5</f>
        <v>48.4</v>
      </c>
      <c r="H109" s="174">
        <f>0</f>
        <v>0</v>
      </c>
      <c r="I109" s="160">
        <v>0</v>
      </c>
      <c r="J109" s="171">
        <v>0</v>
      </c>
      <c r="K109" s="171">
        <v>0</v>
      </c>
      <c r="L109" s="171">
        <v>0</v>
      </c>
      <c r="M109" s="175">
        <f>(1+1+1+1+1)/D109</f>
        <v>1</v>
      </c>
      <c r="N109" s="176"/>
      <c r="O109" s="172">
        <v>1</v>
      </c>
      <c r="P109" s="208">
        <v>0</v>
      </c>
      <c r="Q109" s="228">
        <f>INDEX(Исходник!$O:$O,MATCH(Модель!B109,Исходник!$B:$B,0))</f>
        <v>2.3529411764706687E-3</v>
      </c>
      <c r="R109" s="216">
        <f>(427.9-425)/425</f>
        <v>6.8235294117646528E-3</v>
      </c>
      <c r="S109" s="158">
        <f>INDEX(Исходник!Z:Z,MATCH(Модель!B109,Исходник!$B:$B,0))</f>
        <v>1905.2239</v>
      </c>
      <c r="T109" s="89">
        <f>(INDEX(Исходник!AA:AA,MATCH(Модель!B109,Исходник!B:B,0)))/Модель!S109</f>
        <v>0.34840151858267154</v>
      </c>
      <c r="U109" s="89">
        <f>INDEX(Исходник!Y:Y,MATCH(Модель!B109,Исходник!B:B,0))</f>
        <v>32</v>
      </c>
      <c r="V109" s="99">
        <f>YEAR(A109)</f>
        <v>2024</v>
      </c>
      <c r="W109" s="89" t="str">
        <f>INDEX(Исходник!E:E,MATCH(Модель!B109,Исходник!B:B,0))</f>
        <v>Forestry &amp; Paper</v>
      </c>
      <c r="X109" s="90">
        <f>INDEX(Исходник!AP:AP,MATCH(Модель!B109,Исходник!B:B,0))</f>
        <v>0.1710267887688727</v>
      </c>
      <c r="Y109" s="89">
        <f>INDEX(Исходник!F:F,MATCH(Модель!B109,Исходник!B:B,0))</f>
        <v>802</v>
      </c>
      <c r="Z109" s="89" t="str">
        <f>INDEX(Исходник!W:W,MATCH(Модель!B109,Исходник!B:B,0))</f>
        <v>Moscow Exchange</v>
      </c>
      <c r="AA109" s="99">
        <f>INDEX(Исходник!AO:AO,MATCH(Модель!B109,Исходник!B:B,0))</f>
        <v>7.436126680650597E-3</v>
      </c>
      <c r="AB109">
        <f>INDEX(Исходник!AR:AR,MATCH(Модель!B109,Исходник!B:B,0))</f>
        <v>2.8668456349196503</v>
      </c>
      <c r="AC109" s="179">
        <f>INDEX(Исходник!AM:AM,MATCH(Модель!B109,Исходник!B:B,0))</f>
        <v>0.18121091839246267</v>
      </c>
    </row>
    <row r="110" spans="1:29" x14ac:dyDescent="0.25">
      <c r="A110" s="178">
        <v>41193</v>
      </c>
      <c r="B110" s="89" t="s">
        <v>152</v>
      </c>
      <c r="C110" s="162" t="s">
        <v>463</v>
      </c>
      <c r="D110" s="89">
        <v>8</v>
      </c>
      <c r="E110" s="90">
        <f>1/D110</f>
        <v>0.125</v>
      </c>
      <c r="F110" s="89">
        <v>1</v>
      </c>
      <c r="G110" s="95"/>
      <c r="H110" s="103">
        <v>1</v>
      </c>
      <c r="I110" s="160">
        <v>0.375</v>
      </c>
      <c r="J110" s="89">
        <v>0</v>
      </c>
      <c r="K110" s="95"/>
      <c r="L110" s="95"/>
      <c r="M110" s="95"/>
      <c r="N110" s="89">
        <v>3</v>
      </c>
      <c r="O110" s="95"/>
      <c r="P110" s="203">
        <f>6/D110</f>
        <v>0.75</v>
      </c>
      <c r="Q110" s="228">
        <f>INDEX(Исходник!$O:$O,MATCH(Модель!B110,Исходник!$B:$B,0))</f>
        <v>7.5000000000000622E-3</v>
      </c>
      <c r="R110" s="216">
        <f>(-INDEX([1]Databook_Dealogic!$P:$P,MATCH(Модель!B110,[1]Databook_Dealogic!$D:$D,0))+INDEX([1]Databook_Dealogic!$AF:$AF,MATCH(Модель!B110,[1]Databook_Dealogic!$D:$D,0)))/INDEX([1]Databook_Dealogic!$P:$P,MATCH(Модель!B110,[1]Databook_Dealogic!$D:$D,0))</f>
        <v>2.6262564753416338E-2</v>
      </c>
      <c r="S110" s="158">
        <f>INDEX(Исходник!Z:Z,MATCH(Модель!B110,Исходник!$B:$B,0))</f>
        <v>4769.3869999999997</v>
      </c>
      <c r="T110" s="89">
        <f>(INDEX(Исходник!AA:AA,MATCH(Модель!B110,Исходник!B:B,0)))/Модель!S110</f>
        <v>0.41140108781275248</v>
      </c>
      <c r="U110" s="89">
        <f>INDEX(Исходник!Y:Y,MATCH(Модель!B110,Исходник!B:B,0))</f>
        <v>6</v>
      </c>
      <c r="V110" s="99">
        <f>YEAR(A110)</f>
        <v>2012</v>
      </c>
      <c r="W110" s="89" t="str">
        <f>INDEX(Исходник!E:E,MATCH(Модель!B110,Исходник!B:B,0))</f>
        <v>Healthcare</v>
      </c>
      <c r="X110" s="90">
        <f>INDEX(Исходник!AP:AP,MATCH(Модель!B110,Исходник!B:B,0))</f>
        <v>0.27512629924598625</v>
      </c>
      <c r="Y110" s="89">
        <f>INDEX(Исходник!F:F,MATCH(Модель!B110,Исходник!B:B,0))</f>
        <v>9455.4153000000006</v>
      </c>
      <c r="Z110" s="89" t="str">
        <f>INDEX(Исходник!W:W,MATCH(Модель!B110,Исходник!B:B,0))</f>
        <v>London Stock Exchange</v>
      </c>
      <c r="AA110" s="99">
        <f>INDEX(Исходник!AO:AO,MATCH(Модель!B110,Исходник!B:B,0))</f>
        <v>0.81913957643519364</v>
      </c>
      <c r="AB110">
        <f>INDEX(Исходник!AR:AR,MATCH(Модель!B110,Исходник!B:B,0))</f>
        <v>0.28313938280541878</v>
      </c>
      <c r="AC110" s="179">
        <f>INDEX(Исходник!AM:AM,MATCH(Модель!B110,Исходник!B:B,0))</f>
        <v>0.44443745165950821</v>
      </c>
    </row>
    <row r="111" spans="1:29" x14ac:dyDescent="0.25">
      <c r="A111" s="178">
        <v>40582</v>
      </c>
      <c r="B111" s="89" t="s">
        <v>173</v>
      </c>
      <c r="C111" s="89" t="s">
        <v>465</v>
      </c>
      <c r="D111" s="89">
        <v>9</v>
      </c>
      <c r="E111" s="90">
        <f>2/D111</f>
        <v>0.22222222222222221</v>
      </c>
      <c r="F111" s="89">
        <v>1</v>
      </c>
      <c r="G111" s="95"/>
      <c r="H111" s="103">
        <f>3/D111</f>
        <v>0.33333333333333331</v>
      </c>
      <c r="I111" s="160">
        <v>0</v>
      </c>
      <c r="J111" s="89">
        <v>0</v>
      </c>
      <c r="K111" s="95"/>
      <c r="L111" s="95"/>
      <c r="M111" s="99">
        <f>11/D111</f>
        <v>1.2222222222222223</v>
      </c>
      <c r="N111" s="89">
        <v>2</v>
      </c>
      <c r="O111" s="90">
        <f>6/D111</f>
        <v>0.66666666666666663</v>
      </c>
      <c r="P111" s="203">
        <f>3/D111</f>
        <v>0.33333333333333331</v>
      </c>
      <c r="Q111" s="228">
        <f>INDEX(Исходник!$O:$O,MATCH(Модель!B111,Исходник!$B:$B,0))</f>
        <v>-2.4242424242424176E-2</v>
      </c>
      <c r="R111" s="216">
        <f>(-INDEX([1]Databook_Dealogic!$P:$P,MATCH(Модель!B111,[1]Databook_Dealogic!$D:$D,0))+INDEX([1]Databook_Dealogic!$AF:$AF,MATCH(Модель!B111,[1]Databook_Dealogic!$D:$D,0)))/INDEX([1]Databook_Dealogic!$P:$P,MATCH(Модель!B111,[1]Databook_Dealogic!$D:$D,0))</f>
        <v>-5.9938481615834129E-2</v>
      </c>
      <c r="S111" s="158">
        <f>INDEX(Исходник!Z:Z,MATCH(Модель!B111,Исходник!$B:$B,0))</f>
        <v>11810.594999999999</v>
      </c>
      <c r="T111" s="89">
        <f>(INDEX(Исходник!AA:AA,MATCH(Модель!B111,Исходник!B:B,0)))/Модель!S111</f>
        <v>0.7989324839265084</v>
      </c>
      <c r="U111" s="89">
        <f>INDEX(Исходник!Y:Y,MATCH(Модель!B111,Исходник!B:B,0))</f>
        <v>18</v>
      </c>
      <c r="V111" s="99">
        <f>YEAR(A111)</f>
        <v>2011</v>
      </c>
      <c r="W111" s="89" t="str">
        <f>INDEX(Исходник!E:E,MATCH(Модель!B111,Исходник!B:B,0))</f>
        <v>Machinery</v>
      </c>
      <c r="X111" s="90">
        <f>INDEX(Исходник!AP:AP,MATCH(Модель!B111,Исходник!B:B,0))</f>
        <v>7.2904529611470155E-3</v>
      </c>
      <c r="Y111" s="89">
        <f>INDEX(Исходник!F:F,MATCH(Модель!B111,Исходник!B:B,0))</f>
        <v>11077.524000000001</v>
      </c>
      <c r="Z111" s="89" t="str">
        <f>INDEX(Исходник!W:W,MATCH(Модель!B111,Исходник!B:B,0))</f>
        <v>London Stock Exchange</v>
      </c>
      <c r="AA111" s="99">
        <f>INDEX(Исходник!AO:AO,MATCH(Модель!B111,Исходник!B:B,0))</f>
        <v>2.4013080774097446</v>
      </c>
      <c r="AB111">
        <f>INDEX(Исходник!AR:AR,MATCH(Модель!B111,Исходник!B:B,0))</f>
        <v>1.2125364640817053</v>
      </c>
      <c r="AC111" s="179">
        <f>INDEX(Исходник!AM:AM,MATCH(Модель!B111,Исходник!B:B,0))</f>
        <v>0.12797004982782265</v>
      </c>
    </row>
    <row r="112" spans="1:29" x14ac:dyDescent="0.25">
      <c r="A112" s="178">
        <v>39353</v>
      </c>
      <c r="B112" s="89" t="s">
        <v>228</v>
      </c>
      <c r="C112" s="89" t="s">
        <v>466</v>
      </c>
      <c r="D112" s="89">
        <v>11</v>
      </c>
      <c r="E112" s="95"/>
      <c r="F112" s="89">
        <v>1</v>
      </c>
      <c r="G112" s="95"/>
      <c r="H112" s="95"/>
      <c r="I112" s="160">
        <v>9.0909090909090912E-2</v>
      </c>
      <c r="J112" s="95"/>
      <c r="K112" s="89">
        <f>19+4+2+3+9+13+8+8</f>
        <v>66</v>
      </c>
      <c r="L112" s="95"/>
      <c r="M112" s="95"/>
      <c r="N112" s="89">
        <v>5</v>
      </c>
      <c r="O112" s="95"/>
      <c r="P112" s="203">
        <f>1/D112</f>
        <v>9.0909090909090912E-2</v>
      </c>
      <c r="Q112" s="228">
        <f>INDEX(Исходник!$O:$O,MATCH(Модель!B112,Исходник!$B:$B,0))</f>
        <v>-1.828571428571435E-2</v>
      </c>
      <c r="R112" s="220"/>
      <c r="S112" s="158">
        <f>INDEX(Исходник!Z:Z,MATCH(Модель!B112,Исходник!$B:$B,0))</f>
        <v>23807.264999999999</v>
      </c>
      <c r="T112" s="89">
        <f>(INDEX(Исходник!AA:AA,MATCH(Модель!B112,Исходник!B:B,0)))/Модель!S112</f>
        <v>0.45080339971853134</v>
      </c>
      <c r="U112" s="89">
        <f>INDEX(Исходник!Y:Y,MATCH(Модель!B112,Исходник!B:B,0))</f>
        <v>2</v>
      </c>
      <c r="V112" s="99">
        <f>YEAR(A112)</f>
        <v>2007</v>
      </c>
      <c r="W112" s="89" t="str">
        <f>INDEX(Исходник!E:E,MATCH(Модель!B112,Исходник!B:B,0))</f>
        <v>Utility &amp; Energy</v>
      </c>
      <c r="X112" s="90">
        <f>INDEX(Исходник!AP:AP,MATCH(Модель!B112,Исходник!B:B,0))</f>
        <v>0.11784235290124848</v>
      </c>
      <c r="Y112" s="89">
        <f>INDEX(Исходник!F:F,MATCH(Модель!B112,Исходник!B:B,0))</f>
        <v>25582.3596</v>
      </c>
      <c r="Z112" s="89" t="str">
        <f>INDEX(Исходник!W:W,MATCH(Модель!B112,Исходник!B:B,0))</f>
        <v>MOEX, LSE</v>
      </c>
      <c r="AA112" s="99">
        <f>INDEX(Исходник!AO:AO,MATCH(Модель!B112,Исходник!B:B,0))</f>
        <v>1.0102187746245543</v>
      </c>
      <c r="AB112">
        <f>INDEX(Исходник!AR:AR,MATCH(Модель!B112,Исходник!B:B,0))</f>
        <v>0.90211281124759524</v>
      </c>
      <c r="AC112" s="179">
        <f>INDEX(Исходник!AM:AM,MATCH(Модель!B112,Исходник!B:B,0))</f>
        <v>0.17743299943995494</v>
      </c>
    </row>
    <row r="113" spans="1:29" x14ac:dyDescent="0.25">
      <c r="A113" s="178">
        <v>39167</v>
      </c>
      <c r="B113" s="89" t="s">
        <v>248</v>
      </c>
      <c r="C113" s="89" t="s">
        <v>467</v>
      </c>
      <c r="D113" s="89">
        <v>11</v>
      </c>
      <c r="E113" s="95"/>
      <c r="F113" s="95"/>
      <c r="G113" s="102">
        <f>(2007*11-(1963+1977+1958+1973+1968+1976+1981+1951+1978+1970+1973))/D113</f>
        <v>37.18181818181818</v>
      </c>
      <c r="H113" s="95"/>
      <c r="I113" s="160">
        <v>9.0909090909090912E-2</v>
      </c>
      <c r="J113" s="95"/>
      <c r="K113" s="89">
        <f>3+10+17+36+3+2+1+1</f>
        <v>73</v>
      </c>
      <c r="L113" s="89">
        <v>0</v>
      </c>
      <c r="M113" s="95"/>
      <c r="N113" s="95"/>
      <c r="O113" s="95"/>
      <c r="P113" s="203">
        <f>1/D113</f>
        <v>9.0909090909090912E-2</v>
      </c>
      <c r="Q113" s="228">
        <f>INDEX(Исходник!$O:$O,MATCH(Модель!B113,Исходник!$B:$B,0))</f>
        <v>-5.5555555555555469E-2</v>
      </c>
      <c r="R113" s="216">
        <f>(-INDEX([1]Databook_Dealogic!$P:$P,MATCH(Модель!B113,[1]Databook_Dealogic!$D:$D,0))+INDEX([1]Databook_Dealogic!$AF:$AF,MATCH(Модель!B113,[1]Databook_Dealogic!$D:$D,0)))/INDEX([1]Databook_Dealogic!$P:$P,MATCH(Модель!B113,[1]Databook_Dealogic!$D:$D,0))</f>
        <v>-6.645703110020322E-2</v>
      </c>
      <c r="S113" s="158">
        <f>INDEX(Исходник!Z:Z,MATCH(Модель!B113,Исходник!$B:$B,0))</f>
        <v>51567.822</v>
      </c>
      <c r="T113" s="89">
        <f>(INDEX(Исходник!AA:AA,MATCH(Модель!B113,Исходник!B:B,0)))/Модель!S113</f>
        <v>0.29568644570639419</v>
      </c>
      <c r="U113" s="89">
        <f>INDEX(Исходник!Y:Y,MATCH(Модель!B113,Исходник!B:B,0))</f>
        <v>3</v>
      </c>
      <c r="V113" s="99">
        <f>YEAR(A113)</f>
        <v>2007</v>
      </c>
      <c r="W113" s="89" t="str">
        <f>INDEX(Исходник!E:E,MATCH(Модель!B113,Исходник!B:B,0))</f>
        <v>Utility &amp; Energy</v>
      </c>
      <c r="X113" s="90">
        <f>INDEX(Исходник!AP:AP,MATCH(Модель!B113,Исходник!B:B,0))</f>
        <v>0</v>
      </c>
      <c r="Y113" s="89">
        <f>INDEX(Исходник!F:F,MATCH(Модель!B113,Исходник!B:B,0))</f>
        <v>778.40639999999996</v>
      </c>
      <c r="Z113" s="89" t="str">
        <f>INDEX(Исходник!W:W,MATCH(Модель!B113,Исходник!B:B,0))</f>
        <v>Moscow</v>
      </c>
      <c r="AA113" s="99">
        <f>INDEX(Исходник!AO:AO,MATCH(Модель!B113,Исходник!B:B,0))</f>
        <v>7.40977206273259</v>
      </c>
      <c r="AB113">
        <f>INDEX(Исходник!AR:AR,MATCH(Модель!B113,Исходник!B:B,0))</f>
        <v>1.3251106117102718</v>
      </c>
      <c r="AC113" s="179">
        <f>INDEX(Исходник!AM:AM,MATCH(Модель!B113,Исходник!B:B,0))</f>
        <v>1.4841588749270921E-2</v>
      </c>
    </row>
    <row r="114" spans="1:29" x14ac:dyDescent="0.25">
      <c r="A114" s="180">
        <v>38922</v>
      </c>
      <c r="B114" s="181" t="s">
        <v>277</v>
      </c>
      <c r="C114" s="181" t="s">
        <v>468</v>
      </c>
      <c r="D114" s="181">
        <f>7</f>
        <v>7</v>
      </c>
      <c r="E114" s="182"/>
      <c r="F114" s="181">
        <v>1</v>
      </c>
      <c r="G114" s="183">
        <f>(D114*2006-(1938+1963+1954+1938+1938+1944+1950))/D114</f>
        <v>59.571428571428569</v>
      </c>
      <c r="H114" s="182"/>
      <c r="I114" s="160">
        <v>0</v>
      </c>
      <c r="J114" s="182"/>
      <c r="K114" s="181">
        <v>0</v>
      </c>
      <c r="L114" s="181">
        <v>0</v>
      </c>
      <c r="M114" s="182"/>
      <c r="N114" s="181">
        <v>5</v>
      </c>
      <c r="O114" s="182"/>
      <c r="P114" s="209">
        <f>3/D114</f>
        <v>0.42857142857142855</v>
      </c>
      <c r="Q114" s="229">
        <f>INDEX(Исходник!$O:$O,MATCH(Модель!B114,Исходник!$B:$B,0))</f>
        <v>1.3157894736842035E-2</v>
      </c>
      <c r="R114" s="224">
        <f>(-INDEX([1]Databook_Dealogic!$P:$P,MATCH(Модель!B114,[1]Databook_Dealogic!$D:$D,0))+INDEX([1]Databook_Dealogic!$AF:$AF,MATCH(Модель!B114,[1]Databook_Dealogic!$D:$D,0)))/INDEX([1]Databook_Dealogic!$P:$P,MATCH(Модель!B114,[1]Databook_Dealogic!$D:$D,0))</f>
        <v>5.033717832530731E-3</v>
      </c>
      <c r="S114" s="212">
        <f>INDEX(Исходник!Z:Z,MATCH(Модель!B114,Исходник!$B:$B,0))</f>
        <v>9598</v>
      </c>
      <c r="T114" s="181">
        <f>(INDEX(Исходник!AA:AA,MATCH(Модель!B114,Исходник!B:B,0)))/Модель!S114</f>
        <v>0.56595123984163365</v>
      </c>
      <c r="U114" s="181">
        <f>INDEX(Исходник!Y:Y,MATCH(Модель!B114,Исходник!B:B,0))</f>
        <v>15</v>
      </c>
      <c r="V114" s="213">
        <f>YEAR(A114)</f>
        <v>2006</v>
      </c>
      <c r="W114" s="181" t="str">
        <f>INDEX(Исходник!E:E,MATCH(Модель!B114,Исходник!B:B,0))</f>
        <v>Mining</v>
      </c>
      <c r="X114" s="184">
        <f>INDEX(Исходник!AP:AP,MATCH(Модель!B114,Исходник!B:B,0))</f>
        <v>0.12715144417711247</v>
      </c>
      <c r="Y114" s="181">
        <f>INDEX(Исходник!F:F,MATCH(Модель!B114,Исходник!B:B,0))</f>
        <v>1584.0072</v>
      </c>
      <c r="Z114" s="181" t="str">
        <f>INDEX(Исходник!W:W,MATCH(Модель!B114,Исходник!B:B,0))</f>
        <v>Moscow</v>
      </c>
      <c r="AA114" s="213">
        <f>INDEX(Исходник!AO:AO,MATCH(Модель!B114,Исходник!B:B,0))</f>
        <v>1.5727831765935214</v>
      </c>
      <c r="AB114" s="214">
        <f>INDEX(Исходник!AR:AR,MATCH(Модель!B114,Исходник!B:B,0))</f>
        <v>1.0552486187845305</v>
      </c>
      <c r="AC114" s="185">
        <f>INDEX(Исходник!AM:AM,MATCH(Модель!B114,Исходник!B:B,0))</f>
        <v>0.15113708149084018</v>
      </c>
    </row>
    <row r="116" spans="1:29" x14ac:dyDescent="0.25">
      <c r="D116" s="160"/>
      <c r="E116" s="160"/>
      <c r="F116" s="160"/>
      <c r="G116" s="160"/>
      <c r="H116" s="160"/>
      <c r="J116" s="160"/>
      <c r="K116" s="160"/>
      <c r="L116" s="160"/>
      <c r="M116" s="160"/>
      <c r="N116" s="160"/>
      <c r="O116" s="160"/>
      <c r="P116" s="160"/>
    </row>
    <row r="126" spans="1:29" x14ac:dyDescent="0.25">
      <c r="X126" s="90"/>
    </row>
    <row r="127" spans="1:29" x14ac:dyDescent="0.25">
      <c r="A127" s="88"/>
      <c r="B127" s="89"/>
      <c r="C127" s="162"/>
      <c r="D127" s="89"/>
      <c r="E127" s="90"/>
      <c r="F127" s="89"/>
      <c r="G127" s="102"/>
      <c r="H127" s="103"/>
      <c r="J127" s="89"/>
      <c r="K127" s="89"/>
      <c r="L127" s="89"/>
      <c r="M127" s="99"/>
      <c r="N127" s="89"/>
      <c r="O127" s="90"/>
      <c r="P127" s="90"/>
      <c r="Q127" s="231"/>
      <c r="T127" s="89"/>
      <c r="U127" s="89"/>
      <c r="V127" s="99"/>
      <c r="W127" s="89"/>
      <c r="X127" s="90"/>
      <c r="Y127" s="89"/>
      <c r="Z127" s="89"/>
      <c r="AA127" s="99"/>
    </row>
    <row r="128" spans="1:29" x14ac:dyDescent="0.25">
      <c r="A128" s="88"/>
      <c r="B128" s="89"/>
      <c r="C128" s="162"/>
      <c r="D128" s="89"/>
      <c r="E128" s="90"/>
      <c r="F128" s="89"/>
      <c r="G128" s="102"/>
      <c r="H128" s="103"/>
      <c r="J128" s="89"/>
      <c r="K128" s="89"/>
      <c r="L128" s="89"/>
      <c r="M128" s="99"/>
      <c r="N128" s="89"/>
      <c r="O128" s="90"/>
      <c r="P128" s="90"/>
      <c r="Q128" s="231"/>
      <c r="T128" s="89"/>
      <c r="U128" s="89"/>
      <c r="V128" s="99"/>
      <c r="W128" s="89"/>
      <c r="X128" s="90"/>
      <c r="Y128" s="89"/>
      <c r="Z128" s="89"/>
      <c r="AA128" s="99"/>
    </row>
    <row r="129" spans="4:24" x14ac:dyDescent="0.25">
      <c r="X129" s="90"/>
    </row>
    <row r="130" spans="4:24" x14ac:dyDescent="0.25">
      <c r="X130" s="90"/>
    </row>
    <row r="131" spans="4:24" x14ac:dyDescent="0.25">
      <c r="D131" s="166"/>
      <c r="Q131" s="231"/>
      <c r="R131" s="218"/>
      <c r="W131" s="97"/>
      <c r="X131" s="90"/>
    </row>
    <row r="132" spans="4:24" x14ac:dyDescent="0.25">
      <c r="D132" s="167"/>
      <c r="X132" s="90"/>
    </row>
    <row r="133" spans="4:24" x14ac:dyDescent="0.25">
      <c r="D133" s="166"/>
      <c r="X133" s="90"/>
    </row>
    <row r="134" spans="4:24" x14ac:dyDescent="0.25">
      <c r="D134" s="168"/>
      <c r="X134" s="90"/>
    </row>
    <row r="135" spans="4:24" x14ac:dyDescent="0.25">
      <c r="D135" s="167"/>
      <c r="X135" s="90"/>
    </row>
    <row r="136" spans="4:24" x14ac:dyDescent="0.25">
      <c r="D136" s="166"/>
      <c r="X136" s="90"/>
    </row>
    <row r="137" spans="4:24" x14ac:dyDescent="0.25">
      <c r="D137" s="166"/>
      <c r="X137" s="90"/>
    </row>
    <row r="138" spans="4:24" x14ac:dyDescent="0.25">
      <c r="D138" s="167"/>
      <c r="X138" s="90"/>
    </row>
    <row r="139" spans="4:24" x14ac:dyDescent="0.25">
      <c r="D139" s="166"/>
    </row>
    <row r="140" spans="4:24" x14ac:dyDescent="0.25">
      <c r="D140" s="166"/>
    </row>
    <row r="141" spans="4:24" x14ac:dyDescent="0.25">
      <c r="D141" s="167"/>
    </row>
    <row r="142" spans="4:24" x14ac:dyDescent="0.25">
      <c r="D142" s="166"/>
    </row>
    <row r="143" spans="4:24" x14ac:dyDescent="0.25">
      <c r="D143" s="168"/>
    </row>
    <row r="144" spans="4:24" x14ac:dyDescent="0.25">
      <c r="D144" s="167"/>
    </row>
    <row r="145" spans="4:4" x14ac:dyDescent="0.25">
      <c r="D145" s="166"/>
    </row>
    <row r="146" spans="4:4" x14ac:dyDescent="0.25">
      <c r="D146" s="167"/>
    </row>
    <row r="147" spans="4:4" x14ac:dyDescent="0.25">
      <c r="D147" s="167"/>
    </row>
    <row r="148" spans="4:4" x14ac:dyDescent="0.25">
      <c r="D148" s="166"/>
    </row>
    <row r="149" spans="4:4" x14ac:dyDescent="0.25">
      <c r="D149" s="166"/>
    </row>
    <row r="150" spans="4:4" x14ac:dyDescent="0.25">
      <c r="D150" s="167"/>
    </row>
    <row r="151" spans="4:4" x14ac:dyDescent="0.25">
      <c r="D151" s="166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Исходник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Галич Анастасия Александровна</dc:creator>
  <cp:lastModifiedBy>Коновалов Матвей</cp:lastModifiedBy>
  <dcterms:created xsi:type="dcterms:W3CDTF">2025-01-26T20:12:42Z</dcterms:created>
  <dcterms:modified xsi:type="dcterms:W3CDTF">2025-05-02T13:44:55Z</dcterms:modified>
</cp:coreProperties>
</file>