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mikraha/PycharmProjects/DA Tools/ABTest/"/>
    </mc:Choice>
  </mc:AlternateContent>
  <xr:revisionPtr revIDLastSave="0" documentId="13_ncr:1_{4BEFE265-7F6C-F546-8035-4C6A2A746890}" xr6:coauthVersionLast="45" xr6:coauthVersionMax="45" xr10:uidLastSave="{00000000-0000-0000-0000-000000000000}"/>
  <bookViews>
    <workbookView xWindow="-56840" yWindow="-25620" windowWidth="33600" windowHeight="19440" activeTab="1" xr2:uid="{10366E7F-EA89-9541-A813-9FA5048F813E}"/>
  </bookViews>
  <sheets>
    <sheet name="License" sheetId="1" r:id="rId1"/>
    <sheet name="Model" sheetId="2" r:id="rId2"/>
  </sheets>
  <definedNames>
    <definedName name="alpha_control_original_prior">Model!$J$162</definedName>
    <definedName name="alpha_control_posterior">Model!$J$167</definedName>
    <definedName name="alpha_control_prior">Model!$J$37</definedName>
    <definedName name="alpha_experiment_original_prior">Model!$G$162</definedName>
    <definedName name="alpha_experiment_posterior">Model!$E$167</definedName>
    <definedName name="alpha_experiment_prior">Model!$C$37</definedName>
    <definedName name="beta_control_original_prior">Model!$J$163</definedName>
    <definedName name="beta_control_posterior">Model!$J$168</definedName>
    <definedName name="beta_control_prior">Model!$J$38</definedName>
    <definedName name="beta_experiment_original_prior">Model!$G$163</definedName>
    <definedName name="beta_experiment_posterior">Model!$E$168</definedName>
    <definedName name="beta_experiment_prior">Model!$C$38</definedName>
    <definedName name="choiceTable">Model!$B$161:$D$164</definedName>
    <definedName name="costOfLaunchingFeature">Model!$E$19</definedName>
    <definedName name="headEquivalent">Model!$E$11</definedName>
    <definedName name="maxHeadsInControl">Model!$F$127</definedName>
    <definedName name="maxPosteriorScalePower">Model!$B$127</definedName>
    <definedName name="maxPosteriorValue_control">Model!$J$274</definedName>
    <definedName name="maxPosteriorValue_experiment">Model!$E$274</definedName>
    <definedName name="maxPriorValue_control">Model!$H$274</definedName>
    <definedName name="maxPriorValue_experiment">Model!$C$274</definedName>
    <definedName name="mean_posterior_control">Model!$J$89</definedName>
    <definedName name="mean_posterior_experiment">Model!$C$89</definedName>
    <definedName name="mean_prior_control">Model!$I$47</definedName>
    <definedName name="mean_prior_experiment">Model!$B$47</definedName>
    <definedName name="metricOfInterest">Model!$E$5</definedName>
    <definedName name="numHeads_control">Model!$I$78</definedName>
    <definedName name="numHeads_experiment">Model!$B$78</definedName>
    <definedName name="numTosses_control">Model!$I$74</definedName>
    <definedName name="numTosses_experiment">Model!$B$74</definedName>
    <definedName name="numUsersAtLaunch">Model!$E$21</definedName>
    <definedName name="posteriorScalePower">Model!$B$83</definedName>
    <definedName name="priorScalePower_control">Model!$I$44</definedName>
    <definedName name="priorScalePower_experiment">Model!$B$44</definedName>
    <definedName name="priorType_control">Model!$I$33</definedName>
    <definedName name="priorType_experiment">Model!$B$33</definedName>
    <definedName name="tossEquivalent">Model!$E$9</definedName>
    <definedName name="unitOfDiversion">Model!$E$7</definedName>
    <definedName name="valueOfHead">Model!$E$13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3" i="2" l="1"/>
  <c r="J162" i="2"/>
  <c r="J38" i="2"/>
  <c r="J37" i="2"/>
  <c r="G163" i="2"/>
  <c r="G162" i="2"/>
  <c r="C38" i="2"/>
  <c r="C37" i="2"/>
  <c r="D291" i="2"/>
  <c r="C290" i="2"/>
  <c r="C291" i="2"/>
  <c r="B285" i="2"/>
  <c r="B282" i="2"/>
  <c r="D288" i="2"/>
  <c r="C287" i="2"/>
  <c r="C288" i="2"/>
  <c r="L69" i="2"/>
  <c r="K69" i="2"/>
  <c r="J69" i="2"/>
  <c r="B27" i="2"/>
  <c r="B26" i="2"/>
  <c r="B25" i="2"/>
  <c r="B24" i="2"/>
  <c r="J167" i="2"/>
  <c r="J168" i="2"/>
  <c r="J114" i="2"/>
  <c r="J115" i="2"/>
  <c r="N114" i="2"/>
  <c r="N115" i="2"/>
  <c r="N119" i="2"/>
  <c r="K114" i="2"/>
  <c r="K115" i="2"/>
  <c r="L118" i="2"/>
  <c r="E167" i="2"/>
  <c r="E168" i="2"/>
  <c r="C114" i="2"/>
  <c r="C115" i="2"/>
  <c r="G114" i="2"/>
  <c r="G115" i="2"/>
  <c r="G119" i="2"/>
  <c r="E118" i="2"/>
  <c r="I114" i="2"/>
  <c r="B114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172" i="2"/>
  <c r="J89" i="2"/>
  <c r="U171" i="2"/>
  <c r="C89" i="2"/>
  <c r="T171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172" i="2"/>
  <c r="L119" i="2"/>
  <c r="E119" i="2"/>
  <c r="L114" i="2"/>
  <c r="M114" i="2"/>
  <c r="L115" i="2"/>
  <c r="M115" i="2"/>
  <c r="D114" i="2"/>
  <c r="D115" i="2"/>
  <c r="B279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172" i="2"/>
  <c r="C117" i="2"/>
  <c r="C118" i="2"/>
  <c r="C119" i="2"/>
  <c r="J117" i="2"/>
  <c r="C120" i="2"/>
  <c r="O171" i="2"/>
  <c r="N171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172" i="2"/>
  <c r="J78" i="2"/>
  <c r="C78" i="2"/>
  <c r="F114" i="2"/>
  <c r="F115" i="2"/>
  <c r="E114" i="2"/>
  <c r="E115" i="2"/>
  <c r="J90" i="2"/>
  <c r="C90" i="2"/>
  <c r="J41" i="2"/>
  <c r="C41" i="2"/>
  <c r="J87" i="2"/>
  <c r="J86" i="2"/>
  <c r="C87" i="2"/>
  <c r="C86" i="2"/>
  <c r="J172" i="2" a="1"/>
  <c r="J172" i="2"/>
  <c r="B173" i="2"/>
  <c r="J173" i="2" a="1"/>
  <c r="J173" i="2"/>
  <c r="B174" i="2"/>
  <c r="J174" i="2" a="1"/>
  <c r="J174" i="2"/>
  <c r="B175" i="2"/>
  <c r="J175" i="2" a="1"/>
  <c r="J175" i="2"/>
  <c r="B176" i="2"/>
  <c r="J176" i="2" a="1"/>
  <c r="B177" i="2"/>
  <c r="J177" i="2" a="1"/>
  <c r="B178" i="2"/>
  <c r="J178" i="2" a="1"/>
  <c r="B179" i="2"/>
  <c r="J179" i="2" a="1"/>
  <c r="B180" i="2"/>
  <c r="J180" i="2" a="1"/>
  <c r="B181" i="2"/>
  <c r="J181" i="2" a="1"/>
  <c r="B182" i="2"/>
  <c r="J182" i="2" a="1"/>
  <c r="B183" i="2"/>
  <c r="J183" i="2" a="1"/>
  <c r="B184" i="2"/>
  <c r="J184" i="2" a="1"/>
  <c r="B185" i="2"/>
  <c r="J185" i="2" a="1"/>
  <c r="B186" i="2"/>
  <c r="J186" i="2" a="1"/>
  <c r="B187" i="2"/>
  <c r="J187" i="2" a="1"/>
  <c r="B188" i="2"/>
  <c r="J188" i="2" a="1"/>
  <c r="B189" i="2"/>
  <c r="J189" i="2" a="1"/>
  <c r="B190" i="2"/>
  <c r="J190" i="2" a="1"/>
  <c r="B191" i="2"/>
  <c r="J191" i="2" a="1"/>
  <c r="B192" i="2"/>
  <c r="J192" i="2" a="1"/>
  <c r="B193" i="2"/>
  <c r="J193" i="2" a="1"/>
  <c r="B194" i="2"/>
  <c r="J194" i="2" a="1"/>
  <c r="B195" i="2"/>
  <c r="J195" i="2" a="1"/>
  <c r="B196" i="2"/>
  <c r="J196" i="2" a="1"/>
  <c r="B197" i="2"/>
  <c r="J197" i="2" a="1"/>
  <c r="B198" i="2"/>
  <c r="J198" i="2" a="1"/>
  <c r="B199" i="2"/>
  <c r="J199" i="2" a="1"/>
  <c r="B200" i="2"/>
  <c r="J200" i="2" a="1"/>
  <c r="B201" i="2"/>
  <c r="J201" i="2" a="1"/>
  <c r="B202" i="2"/>
  <c r="J202" i="2" a="1"/>
  <c r="B203" i="2"/>
  <c r="J203" i="2" a="1"/>
  <c r="B204" i="2"/>
  <c r="J204" i="2" a="1"/>
  <c r="B205" i="2"/>
  <c r="J205" i="2" a="1"/>
  <c r="B206" i="2"/>
  <c r="J206" i="2" a="1"/>
  <c r="B207" i="2"/>
  <c r="J207" i="2" a="1"/>
  <c r="B208" i="2"/>
  <c r="J208" i="2" a="1"/>
  <c r="B209" i="2"/>
  <c r="J209" i="2" a="1"/>
  <c r="B210" i="2"/>
  <c r="J210" i="2" a="1"/>
  <c r="B211" i="2"/>
  <c r="J211" i="2" a="1"/>
  <c r="B212" i="2"/>
  <c r="J212" i="2" a="1"/>
  <c r="B213" i="2"/>
  <c r="J213" i="2" a="1"/>
  <c r="B214" i="2"/>
  <c r="J214" i="2" a="1"/>
  <c r="B215" i="2"/>
  <c r="J215" i="2" a="1"/>
  <c r="B216" i="2"/>
  <c r="J216" i="2" a="1"/>
  <c r="B217" i="2"/>
  <c r="J217" i="2" a="1"/>
  <c r="B218" i="2"/>
  <c r="J218" i="2" a="1"/>
  <c r="B219" i="2"/>
  <c r="J219" i="2" a="1"/>
  <c r="B220" i="2"/>
  <c r="J220" i="2" a="1"/>
  <c r="B221" i="2"/>
  <c r="J221" i="2" a="1"/>
  <c r="B222" i="2"/>
  <c r="J222" i="2" a="1"/>
  <c r="B223" i="2"/>
  <c r="J223" i="2" a="1"/>
  <c r="B224" i="2"/>
  <c r="J224" i="2" a="1"/>
  <c r="B225" i="2"/>
  <c r="J225" i="2" a="1"/>
  <c r="B226" i="2"/>
  <c r="J226" i="2" a="1"/>
  <c r="B227" i="2"/>
  <c r="J227" i="2" a="1"/>
  <c r="B228" i="2"/>
  <c r="J228" i="2" a="1"/>
  <c r="B229" i="2"/>
  <c r="J229" i="2" a="1"/>
  <c r="B230" i="2"/>
  <c r="J230" i="2" a="1"/>
  <c r="B231" i="2"/>
  <c r="J231" i="2" a="1"/>
  <c r="B232" i="2"/>
  <c r="J232" i="2" a="1"/>
  <c r="B233" i="2"/>
  <c r="J233" i="2" a="1"/>
  <c r="B234" i="2"/>
  <c r="J234" i="2" a="1"/>
  <c r="B235" i="2"/>
  <c r="J235" i="2" a="1"/>
  <c r="B236" i="2"/>
  <c r="J236" i="2" a="1"/>
  <c r="B237" i="2"/>
  <c r="J237" i="2" a="1"/>
  <c r="B238" i="2"/>
  <c r="J238" i="2" a="1"/>
  <c r="B239" i="2"/>
  <c r="J239" i="2" a="1"/>
  <c r="B240" i="2"/>
  <c r="J240" i="2" a="1"/>
  <c r="B241" i="2"/>
  <c r="J241" i="2" a="1"/>
  <c r="B242" i="2"/>
  <c r="J242" i="2" a="1"/>
  <c r="B243" i="2"/>
  <c r="J243" i="2" a="1"/>
  <c r="B244" i="2"/>
  <c r="J244" i="2" a="1"/>
  <c r="B245" i="2"/>
  <c r="J245" i="2" a="1"/>
  <c r="B246" i="2"/>
  <c r="J246" i="2" a="1"/>
  <c r="B247" i="2"/>
  <c r="J247" i="2" a="1"/>
  <c r="B248" i="2"/>
  <c r="J248" i="2" a="1"/>
  <c r="B249" i="2"/>
  <c r="J249" i="2" a="1"/>
  <c r="B250" i="2"/>
  <c r="J250" i="2" a="1"/>
  <c r="B251" i="2"/>
  <c r="J251" i="2" a="1"/>
  <c r="B252" i="2"/>
  <c r="J252" i="2" a="1"/>
  <c r="B253" i="2"/>
  <c r="J253" i="2" a="1"/>
  <c r="B254" i="2"/>
  <c r="J254" i="2" a="1"/>
  <c r="B255" i="2"/>
  <c r="J255" i="2" a="1"/>
  <c r="B256" i="2"/>
  <c r="J256" i="2" a="1"/>
  <c r="B257" i="2"/>
  <c r="J257" i="2" a="1"/>
  <c r="B258" i="2"/>
  <c r="J258" i="2" a="1"/>
  <c r="B259" i="2"/>
  <c r="J259" i="2" a="1"/>
  <c r="B260" i="2"/>
  <c r="J260" i="2" a="1"/>
  <c r="B261" i="2"/>
  <c r="J261" i="2" a="1"/>
  <c r="B262" i="2"/>
  <c r="J262" i="2" a="1"/>
  <c r="B263" i="2"/>
  <c r="J263" i="2" a="1"/>
  <c r="B264" i="2"/>
  <c r="J264" i="2" a="1"/>
  <c r="B265" i="2"/>
  <c r="J265" i="2" a="1"/>
  <c r="B266" i="2"/>
  <c r="J266" i="2" a="1"/>
  <c r="B267" i="2"/>
  <c r="J267" i="2" a="1"/>
  <c r="B268" i="2"/>
  <c r="J268" i="2" a="1"/>
  <c r="B269" i="2"/>
  <c r="J269" i="2" a="1"/>
  <c r="B270" i="2"/>
  <c r="J270" i="2" a="1"/>
  <c r="B271" i="2"/>
  <c r="J271" i="2" a="1"/>
  <c r="J272" i="2" a="1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4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H272" i="2"/>
  <c r="H274" i="2"/>
  <c r="I173" i="2" a="1"/>
  <c r="I173" i="2"/>
  <c r="I174" i="2" a="1"/>
  <c r="I174" i="2"/>
  <c r="I175" i="2" a="1"/>
  <c r="I175" i="2"/>
  <c r="I176" i="2" a="1"/>
  <c r="I176" i="2"/>
  <c r="I177" i="2" a="1"/>
  <c r="I177" i="2"/>
  <c r="I178" i="2" a="1"/>
  <c r="I178" i="2"/>
  <c r="I179" i="2" a="1"/>
  <c r="I179" i="2"/>
  <c r="I180" i="2" a="1"/>
  <c r="I180" i="2"/>
  <c r="I181" i="2" a="1"/>
  <c r="I181" i="2"/>
  <c r="I182" i="2" a="1"/>
  <c r="I182" i="2"/>
  <c r="I183" i="2" a="1"/>
  <c r="I183" i="2"/>
  <c r="I184" i="2" a="1"/>
  <c r="I184" i="2"/>
  <c r="I185" i="2" a="1"/>
  <c r="I185" i="2"/>
  <c r="I186" i="2" a="1"/>
  <c r="I186" i="2"/>
  <c r="I187" i="2" a="1"/>
  <c r="I187" i="2"/>
  <c r="I188" i="2" a="1"/>
  <c r="I188" i="2"/>
  <c r="I189" i="2" a="1"/>
  <c r="I189" i="2"/>
  <c r="I190" i="2" a="1"/>
  <c r="I190" i="2"/>
  <c r="I191" i="2" a="1"/>
  <c r="I191" i="2"/>
  <c r="I192" i="2" a="1"/>
  <c r="I192" i="2"/>
  <c r="I193" i="2" a="1"/>
  <c r="I193" i="2"/>
  <c r="I194" i="2" a="1"/>
  <c r="I194" i="2"/>
  <c r="I195" i="2" a="1"/>
  <c r="I195" i="2"/>
  <c r="I196" i="2" a="1"/>
  <c r="I196" i="2"/>
  <c r="I197" i="2" a="1"/>
  <c r="I197" i="2"/>
  <c r="I198" i="2" a="1"/>
  <c r="I198" i="2"/>
  <c r="I199" i="2" a="1"/>
  <c r="I199" i="2"/>
  <c r="I200" i="2" a="1"/>
  <c r="I200" i="2"/>
  <c r="I201" i="2" a="1"/>
  <c r="I201" i="2"/>
  <c r="I202" i="2" a="1"/>
  <c r="I202" i="2"/>
  <c r="I203" i="2" a="1"/>
  <c r="I203" i="2"/>
  <c r="I204" i="2" a="1"/>
  <c r="I204" i="2"/>
  <c r="I205" i="2" a="1"/>
  <c r="I205" i="2"/>
  <c r="I206" i="2" a="1"/>
  <c r="I206" i="2"/>
  <c r="I207" i="2" a="1"/>
  <c r="I207" i="2"/>
  <c r="I208" i="2" a="1"/>
  <c r="I208" i="2"/>
  <c r="I209" i="2" a="1"/>
  <c r="I209" i="2"/>
  <c r="I210" i="2" a="1"/>
  <c r="I210" i="2"/>
  <c r="I211" i="2" a="1"/>
  <c r="I211" i="2"/>
  <c r="I212" i="2" a="1"/>
  <c r="I212" i="2"/>
  <c r="I213" i="2" a="1"/>
  <c r="I213" i="2"/>
  <c r="I214" i="2" a="1"/>
  <c r="I214" i="2"/>
  <c r="I215" i="2" a="1"/>
  <c r="I215" i="2"/>
  <c r="I216" i="2" a="1"/>
  <c r="I216" i="2"/>
  <c r="I217" i="2" a="1"/>
  <c r="I217" i="2"/>
  <c r="I218" i="2" a="1"/>
  <c r="I218" i="2"/>
  <c r="I219" i="2" a="1"/>
  <c r="I219" i="2"/>
  <c r="I220" i="2" a="1"/>
  <c r="I220" i="2"/>
  <c r="I221" i="2" a="1"/>
  <c r="I221" i="2"/>
  <c r="I222" i="2" a="1"/>
  <c r="I222" i="2"/>
  <c r="I223" i="2" a="1"/>
  <c r="I223" i="2"/>
  <c r="I224" i="2" a="1"/>
  <c r="I224" i="2"/>
  <c r="I225" i="2" a="1"/>
  <c r="I225" i="2"/>
  <c r="I226" i="2" a="1"/>
  <c r="I226" i="2"/>
  <c r="I227" i="2" a="1"/>
  <c r="I227" i="2"/>
  <c r="I228" i="2" a="1"/>
  <c r="I228" i="2"/>
  <c r="I229" i="2" a="1"/>
  <c r="I229" i="2"/>
  <c r="I230" i="2" a="1"/>
  <c r="I230" i="2"/>
  <c r="I231" i="2" a="1"/>
  <c r="I231" i="2"/>
  <c r="I232" i="2" a="1"/>
  <c r="I232" i="2"/>
  <c r="I233" i="2" a="1"/>
  <c r="I233" i="2"/>
  <c r="I234" i="2" a="1"/>
  <c r="I234" i="2"/>
  <c r="I235" i="2" a="1"/>
  <c r="I235" i="2"/>
  <c r="I236" i="2" a="1"/>
  <c r="I236" i="2"/>
  <c r="I237" i="2" a="1"/>
  <c r="I237" i="2"/>
  <c r="I238" i="2" a="1"/>
  <c r="I238" i="2"/>
  <c r="I239" i="2" a="1"/>
  <c r="I239" i="2"/>
  <c r="I240" i="2" a="1"/>
  <c r="I240" i="2"/>
  <c r="I241" i="2" a="1"/>
  <c r="I241" i="2"/>
  <c r="I242" i="2" a="1"/>
  <c r="I242" i="2"/>
  <c r="I243" i="2" a="1"/>
  <c r="I243" i="2"/>
  <c r="I244" i="2" a="1"/>
  <c r="I244" i="2"/>
  <c r="I245" i="2" a="1"/>
  <c r="I245" i="2"/>
  <c r="I246" i="2" a="1"/>
  <c r="I246" i="2"/>
  <c r="I247" i="2" a="1"/>
  <c r="I247" i="2"/>
  <c r="I248" i="2" a="1"/>
  <c r="I248" i="2"/>
  <c r="I249" i="2" a="1"/>
  <c r="I249" i="2"/>
  <c r="I250" i="2" a="1"/>
  <c r="I250" i="2"/>
  <c r="I251" i="2" a="1"/>
  <c r="I251" i="2"/>
  <c r="I252" i="2" a="1"/>
  <c r="I252" i="2"/>
  <c r="I253" i="2" a="1"/>
  <c r="I253" i="2"/>
  <c r="I254" i="2" a="1"/>
  <c r="I254" i="2"/>
  <c r="I255" i="2" a="1"/>
  <c r="I255" i="2"/>
  <c r="I256" i="2" a="1"/>
  <c r="I256" i="2"/>
  <c r="I257" i="2" a="1"/>
  <c r="I257" i="2"/>
  <c r="I258" i="2" a="1"/>
  <c r="I258" i="2"/>
  <c r="I259" i="2" a="1"/>
  <c r="I259" i="2"/>
  <c r="I260" i="2" a="1"/>
  <c r="I260" i="2"/>
  <c r="I261" i="2" a="1"/>
  <c r="I261" i="2"/>
  <c r="I262" i="2" a="1"/>
  <c r="I262" i="2"/>
  <c r="I263" i="2" a="1"/>
  <c r="I263" i="2"/>
  <c r="I264" i="2" a="1"/>
  <c r="I264" i="2"/>
  <c r="I265" i="2" a="1"/>
  <c r="I265" i="2"/>
  <c r="I266" i="2" a="1"/>
  <c r="I266" i="2"/>
  <c r="I267" i="2" a="1"/>
  <c r="I267" i="2"/>
  <c r="I268" i="2" a="1"/>
  <c r="I268" i="2"/>
  <c r="I269" i="2" a="1"/>
  <c r="I269" i="2"/>
  <c r="I270" i="2" a="1"/>
  <c r="I270" i="2"/>
  <c r="I271" i="2" a="1"/>
  <c r="I271" i="2"/>
  <c r="I272" i="2" a="1"/>
  <c r="I272" i="2"/>
  <c r="I172" i="2" a="1"/>
  <c r="I172" i="2"/>
  <c r="H168" i="2"/>
  <c r="H167" i="2"/>
  <c r="E173" i="2" a="1"/>
  <c r="E173" i="2"/>
  <c r="E172" i="2" a="1"/>
  <c r="E172" i="2"/>
  <c r="E174" i="2" a="1"/>
  <c r="E174" i="2"/>
  <c r="E175" i="2" a="1"/>
  <c r="E176" i="2" a="1"/>
  <c r="E177" i="2" a="1"/>
  <c r="E178" i="2" a="1"/>
  <c r="E179" i="2" a="1"/>
  <c r="E180" i="2" a="1"/>
  <c r="E181" i="2" a="1"/>
  <c r="E182" i="2" a="1"/>
  <c r="E183" i="2" a="1"/>
  <c r="E184" i="2" a="1"/>
  <c r="E185" i="2" a="1"/>
  <c r="E186" i="2" a="1"/>
  <c r="E187" i="2" a="1"/>
  <c r="E188" i="2" a="1"/>
  <c r="E189" i="2" a="1"/>
  <c r="E190" i="2" a="1"/>
  <c r="E191" i="2" a="1"/>
  <c r="E192" i="2" a="1"/>
  <c r="E193" i="2" a="1"/>
  <c r="E194" i="2" a="1"/>
  <c r="E195" i="2" a="1"/>
  <c r="E196" i="2" a="1"/>
  <c r="E197" i="2" a="1"/>
  <c r="E198" i="2" a="1"/>
  <c r="E199" i="2" a="1"/>
  <c r="E200" i="2" a="1"/>
  <c r="E201" i="2" a="1"/>
  <c r="E202" i="2" a="1"/>
  <c r="E203" i="2" a="1"/>
  <c r="E204" i="2" a="1"/>
  <c r="E205" i="2" a="1"/>
  <c r="E206" i="2" a="1"/>
  <c r="E207" i="2" a="1"/>
  <c r="E208" i="2" a="1"/>
  <c r="E209" i="2" a="1"/>
  <c r="E210" i="2" a="1"/>
  <c r="E211" i="2" a="1"/>
  <c r="E212" i="2" a="1"/>
  <c r="E213" i="2" a="1"/>
  <c r="E214" i="2" a="1"/>
  <c r="E215" i="2" a="1"/>
  <c r="E216" i="2" a="1"/>
  <c r="E217" i="2" a="1"/>
  <c r="E218" i="2" a="1"/>
  <c r="E219" i="2" a="1"/>
  <c r="E220" i="2" a="1"/>
  <c r="E221" i="2" a="1"/>
  <c r="E222" i="2" a="1"/>
  <c r="E223" i="2" a="1"/>
  <c r="E224" i="2" a="1"/>
  <c r="E225" i="2" a="1"/>
  <c r="E226" i="2" a="1"/>
  <c r="E227" i="2" a="1"/>
  <c r="E228" i="2" a="1"/>
  <c r="E229" i="2" a="1"/>
  <c r="E230" i="2" a="1"/>
  <c r="E231" i="2" a="1"/>
  <c r="E232" i="2" a="1"/>
  <c r="E233" i="2" a="1"/>
  <c r="E234" i="2" a="1"/>
  <c r="E235" i="2" a="1"/>
  <c r="E236" i="2" a="1"/>
  <c r="E237" i="2" a="1"/>
  <c r="E238" i="2" a="1"/>
  <c r="E239" i="2" a="1"/>
  <c r="E240" i="2" a="1"/>
  <c r="E241" i="2" a="1"/>
  <c r="E242" i="2" a="1"/>
  <c r="E243" i="2" a="1"/>
  <c r="E244" i="2" a="1"/>
  <c r="E245" i="2" a="1"/>
  <c r="E246" i="2" a="1"/>
  <c r="E247" i="2" a="1"/>
  <c r="E248" i="2" a="1"/>
  <c r="E249" i="2" a="1"/>
  <c r="E250" i="2" a="1"/>
  <c r="E251" i="2" a="1"/>
  <c r="E252" i="2" a="1"/>
  <c r="E253" i="2" a="1"/>
  <c r="E254" i="2" a="1"/>
  <c r="E255" i="2" a="1"/>
  <c r="E256" i="2" a="1"/>
  <c r="E257" i="2" a="1"/>
  <c r="E258" i="2" a="1"/>
  <c r="E259" i="2" a="1"/>
  <c r="E260" i="2" a="1"/>
  <c r="E261" i="2" a="1"/>
  <c r="E262" i="2" a="1"/>
  <c r="E263" i="2" a="1"/>
  <c r="E264" i="2" a="1"/>
  <c r="E265" i="2" a="1"/>
  <c r="E266" i="2" a="1"/>
  <c r="E267" i="2" a="1"/>
  <c r="E268" i="2" a="1"/>
  <c r="E269" i="2" a="1"/>
  <c r="E270" i="2" a="1"/>
  <c r="E271" i="2" a="1"/>
  <c r="E272" i="2" a="1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4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4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172" i="2"/>
  <c r="C167" i="2"/>
  <c r="C168" i="2"/>
  <c r="I77" i="2"/>
  <c r="B77" i="2"/>
  <c r="I73" i="2"/>
  <c r="B73" i="2"/>
  <c r="J40" i="2"/>
  <c r="C40" i="2"/>
  <c r="J47" i="2"/>
  <c r="C47" i="2"/>
  <c r="J44" i="2"/>
  <c r="C44" i="2"/>
  <c r="E69" i="2"/>
  <c r="D69" i="2"/>
  <c r="C69" i="2"/>
  <c r="B21" i="2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<sst xmlns="http://schemas.openxmlformats.org/spreadsheetml/2006/main" count="125" uniqueCount="73">
  <si>
    <t>ABDA</t>
  </si>
  <si>
    <t>Setup</t>
  </si>
  <si>
    <t>Metric of interest</t>
  </si>
  <si>
    <t>Toss Equivalent</t>
  </si>
  <si>
    <t>page view</t>
  </si>
  <si>
    <t>Head Equivalent</t>
  </si>
  <si>
    <t>button-click on home page</t>
  </si>
  <si>
    <t>Value of Head ($)</t>
  </si>
  <si>
    <t>Description of Experiment</t>
  </si>
  <si>
    <t>show a large button titled 'Start Now' on homepage</t>
  </si>
  <si>
    <t>Description of Control</t>
  </si>
  <si>
    <t>show a normal button titled 'Start Now' on homepage</t>
  </si>
  <si>
    <t>Cost of launching feature ($)</t>
  </si>
  <si>
    <t>Unit of diversion</t>
  </si>
  <si>
    <t>users</t>
  </si>
  <si>
    <t>Build Priors</t>
  </si>
  <si>
    <t>Experiment</t>
  </si>
  <si>
    <t>Control</t>
  </si>
  <si>
    <t>Choices</t>
  </si>
  <si>
    <t>Learn</t>
  </si>
  <si>
    <t>Sensitivity</t>
  </si>
  <si>
    <t>Appendix</t>
  </si>
  <si>
    <t>Uniform</t>
  </si>
  <si>
    <t>Symmetric</t>
  </si>
  <si>
    <t>Asymmetric</t>
  </si>
  <si>
    <t>Alpha</t>
  </si>
  <si>
    <t>Beta</t>
  </si>
  <si>
    <t>Experiment Prior Scale Power</t>
  </si>
  <si>
    <t>Control Prior Scale Power</t>
  </si>
  <si>
    <t>pdf(x)</t>
  </si>
  <si>
    <t>x</t>
  </si>
  <si>
    <t>EXPERIMENT PRIOR</t>
  </si>
  <si>
    <t>CONTROL PRIOR</t>
  </si>
  <si>
    <t>Mean</t>
  </si>
  <si>
    <t>How sure do you want to be? Adjust the posterior scale power below for both Experiment and Control</t>
  </si>
  <si>
    <t>posterior pdf(x)</t>
  </si>
  <si>
    <t>EXPERIMENT POSTERIOR</t>
  </si>
  <si>
    <t>ORIGINAL EXPERIMENT PRIOR</t>
  </si>
  <si>
    <t>ORIGINAL CONTROL PRIOR</t>
  </si>
  <si>
    <t>scaled posterior pdf(x)</t>
  </si>
  <si>
    <t>MAX</t>
  </si>
  <si>
    <t>CONTROL POSTERIOR</t>
  </si>
  <si>
    <t>Posterior Beta parameters</t>
  </si>
  <si>
    <t>Variance</t>
  </si>
  <si>
    <t>Prior Beta parameters</t>
  </si>
  <si>
    <t>Posterior Inference</t>
  </si>
  <si>
    <t>Value</t>
  </si>
  <si>
    <t>Mean Value</t>
  </si>
  <si>
    <t>Cost of Launching Feature</t>
  </si>
  <si>
    <t>Net Value of Experiment</t>
  </si>
  <si>
    <t>Max Posterior Scale Power</t>
  </si>
  <si>
    <t>Posterior Scale Power</t>
  </si>
  <si>
    <t>#</t>
  </si>
  <si>
    <t>Added Value over Control</t>
  </si>
  <si>
    <t>Value Added over Control</t>
  </si>
  <si>
    <t>Value through Control</t>
  </si>
  <si>
    <t>Horizontal Axis Title in PDF graphs</t>
  </si>
  <si>
    <t>95% Bayesian Confidence Interval</t>
  </si>
  <si>
    <t xml:space="preserve">Remember, the control does not incur the cost of launching </t>
  </si>
  <si>
    <t>the feature (that's why it's the control)</t>
  </si>
  <si>
    <t>Max Heads in Control</t>
  </si>
  <si>
    <t>Heads in Control</t>
  </si>
  <si>
    <t>Long-run fraction of clicks</t>
  </si>
  <si>
    <t>Value of clicks</t>
  </si>
  <si>
    <t>Narrative</t>
  </si>
  <si>
    <t>Title of Sensitivity Chart (number of heads in Control)</t>
  </si>
  <si>
    <t>Axis Title of Sensitivity Chart (number of heads in Control)</t>
  </si>
  <si>
    <t>Number of heads in Control</t>
  </si>
  <si>
    <t>To the extent possible under law, Somik Raha has waived all copyright and related or neighboring rights to ABDA, a Decision Analytic A/B Test Model. This work is published from: United States.</t>
  </si>
  <si>
    <t>Helpful Links</t>
  </si>
  <si>
    <t>Github repo</t>
  </si>
  <si>
    <t>Theory of Decision Analytic A/B testing</t>
  </si>
  <si>
    <t>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</si>
</sst>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&quot;$&quot;#,##0.00"/>
    <numFmt numFmtId="165" formatCode="&quot;$&quot;#,##0"/>
    <numFmt numFmtId="166" formatCode="_(* #,##0_);_(* \(#,##0\);_(* &quot;-&quot;??_);_(@_)"/>
    <numFmt numFmtId="167" formatCode="0.0000000"/>
    <numFmt numFmtId="168" formatCode="0.0000"/>
    <numFmt numFmtId="169" formatCode="0.000"/>
    <numFmt numFmtId="170" formatCode="0.0%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rgb="FF444444"/>
      <name val="Arial"/>
      <family val="2"/>
    </font>
    <font>
      <sz val="14"/>
      <color rgb="FF444444"/>
      <name val="Arial"/>
      <family val="2"/>
    </font>
    <font>
      <b/>
      <sz val="72"/>
      <color theme="1"/>
      <name val="American Typewriter"/>
      <family val="1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36"/>
      <color theme="1"/>
      <name val="American Typewriter"/>
      <family val="1"/>
    </font>
    <font>
      <b/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19"/>
      <color rgb="FF464646"/>
      <name val="Arial"/>
      <family val="2"/>
    </font>
    <font>
      <u/>
      <sz val="12"/>
      <color theme="10"/>
      <name val="Calibri"/>
      <family val="2"/>
      <scheme val="minor"/>
    </font>
    <font>
      <u/>
      <sz val="18"/>
      <color theme="10"/>
      <name val="Calibri"/>
      <family val="2"/>
      <scheme val="minor"/>
    </font>
    <font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92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10" fillId="2" borderId="0" xfId="0" applyFont="1" applyFill="1"/>
    <xf numFmtId="0" fontId="10" fillId="3" borderId="0" xfId="0" applyFont="1" applyFill="1"/>
    <xf numFmtId="0" fontId="10" fillId="3" borderId="0" xfId="0" applyFont="1" applyFill="1" applyAlignment="1">
      <alignment horizontal="center"/>
    </xf>
    <xf numFmtId="2" fontId="0" fillId="2" borderId="0" xfId="0" applyNumberFormat="1" applyFill="1"/>
    <xf numFmtId="0" fontId="0" fillId="2" borderId="1" xfId="0" applyFill="1" applyBorder="1"/>
    <xf numFmtId="2" fontId="0" fillId="2" borderId="1" xfId="0" applyNumberFormat="1" applyFill="1" applyBorder="1"/>
    <xf numFmtId="0" fontId="11" fillId="2" borderId="0" xfId="0" applyFont="1" applyFill="1"/>
    <xf numFmtId="0" fontId="12" fillId="2" borderId="2" xfId="0" applyFont="1" applyFill="1" applyBorder="1"/>
    <xf numFmtId="0" fontId="12" fillId="2" borderId="3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0" fillId="2" borderId="5" xfId="0" applyFont="1" applyFill="1" applyBorder="1"/>
    <xf numFmtId="0" fontId="10" fillId="2" borderId="0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/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9" xfId="0" applyFill="1" applyBorder="1"/>
    <xf numFmtId="0" fontId="10" fillId="2" borderId="0" xfId="0" applyFont="1" applyFill="1" applyBorder="1"/>
    <xf numFmtId="0" fontId="0" fillId="2" borderId="0" xfId="0" applyFill="1" applyBorder="1"/>
    <xf numFmtId="0" fontId="0" fillId="2" borderId="8" xfId="0" applyFill="1" applyBorder="1"/>
    <xf numFmtId="167" fontId="0" fillId="2" borderId="0" xfId="0" applyNumberFormat="1" applyFill="1"/>
    <xf numFmtId="168" fontId="0" fillId="2" borderId="0" xfId="0" applyNumberFormat="1" applyFill="1"/>
    <xf numFmtId="9" fontId="12" fillId="2" borderId="10" xfId="0" applyNumberFormat="1" applyFont="1" applyFill="1" applyBorder="1"/>
    <xf numFmtId="9" fontId="12" fillId="2" borderId="11" xfId="0" applyNumberFormat="1" applyFont="1" applyFill="1" applyBorder="1"/>
    <xf numFmtId="9" fontId="12" fillId="2" borderId="12" xfId="0" applyNumberFormat="1" applyFont="1" applyFill="1" applyBorder="1"/>
    <xf numFmtId="169" fontId="10" fillId="2" borderId="7" xfId="0" applyNumberFormat="1" applyFont="1" applyFill="1" applyBorder="1"/>
    <xf numFmtId="169" fontId="10" fillId="2" borderId="8" xfId="0" applyNumberFormat="1" applyFont="1" applyFill="1" applyBorder="1"/>
    <xf numFmtId="169" fontId="10" fillId="2" borderId="9" xfId="0" applyNumberFormat="1" applyFont="1" applyFill="1" applyBorder="1"/>
    <xf numFmtId="0" fontId="2" fillId="2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0" fillId="2" borderId="2" xfId="0" applyFill="1" applyBorder="1"/>
    <xf numFmtId="0" fontId="0" fillId="2" borderId="4" xfId="0" applyFill="1" applyBorder="1"/>
    <xf numFmtId="0" fontId="2" fillId="2" borderId="4" xfId="0" applyFont="1" applyFill="1" applyBorder="1" applyAlignment="1">
      <alignment horizontal="right"/>
    </xf>
    <xf numFmtId="0" fontId="10" fillId="2" borderId="2" xfId="0" applyFont="1" applyFill="1" applyBorder="1"/>
    <xf numFmtId="0" fontId="0" fillId="2" borderId="3" xfId="0" applyFill="1" applyBorder="1"/>
    <xf numFmtId="0" fontId="10" fillId="2" borderId="6" xfId="0" applyFont="1" applyFill="1" applyBorder="1"/>
    <xf numFmtId="0" fontId="10" fillId="2" borderId="9" xfId="0" applyFont="1" applyFill="1" applyBorder="1"/>
    <xf numFmtId="0" fontId="13" fillId="2" borderId="0" xfId="0" applyFont="1" applyFill="1"/>
    <xf numFmtId="2" fontId="0" fillId="2" borderId="6" xfId="0" applyNumberFormat="1" applyFill="1" applyBorder="1"/>
    <xf numFmtId="2" fontId="0" fillId="2" borderId="9" xfId="0" applyNumberFormat="1" applyFill="1" applyBorder="1"/>
    <xf numFmtId="169" fontId="10" fillId="2" borderId="1" xfId="0" applyNumberFormat="1" applyFont="1" applyFill="1" applyBorder="1"/>
    <xf numFmtId="0" fontId="2" fillId="2" borderId="0" xfId="0" applyFont="1" applyFill="1"/>
    <xf numFmtId="0" fontId="2" fillId="2" borderId="0" xfId="0" applyFont="1" applyFill="1" applyBorder="1"/>
    <xf numFmtId="2" fontId="0" fillId="2" borderId="0" xfId="0" applyNumberFormat="1" applyFill="1" applyBorder="1"/>
    <xf numFmtId="2" fontId="0" fillId="2" borderId="8" xfId="0" applyNumberFormat="1" applyFill="1" applyBorder="1"/>
    <xf numFmtId="0" fontId="2" fillId="2" borderId="3" xfId="0" applyFont="1" applyFill="1" applyBorder="1"/>
    <xf numFmtId="0" fontId="8" fillId="2" borderId="7" xfId="0" applyFont="1" applyFill="1" applyBorder="1"/>
    <xf numFmtId="0" fontId="8" fillId="2" borderId="9" xfId="0" applyFont="1" applyFill="1" applyBorder="1"/>
    <xf numFmtId="9" fontId="9" fillId="2" borderId="13" xfId="0" applyNumberFormat="1" applyFont="1" applyFill="1" applyBorder="1"/>
    <xf numFmtId="169" fontId="9" fillId="2" borderId="0" xfId="0" applyNumberFormat="1" applyFont="1" applyFill="1" applyBorder="1"/>
    <xf numFmtId="169" fontId="9" fillId="2" borderId="6" xfId="0" applyNumberFormat="1" applyFont="1" applyFill="1" applyBorder="1"/>
    <xf numFmtId="0" fontId="0" fillId="2" borderId="14" xfId="0" applyFill="1" applyBorder="1"/>
    <xf numFmtId="165" fontId="9" fillId="2" borderId="8" xfId="0" applyNumberFormat="1" applyFont="1" applyFill="1" applyBorder="1"/>
    <xf numFmtId="165" fontId="9" fillId="2" borderId="0" xfId="0" applyNumberFormat="1" applyFont="1" applyFill="1"/>
    <xf numFmtId="165" fontId="9" fillId="2" borderId="0" xfId="0" applyNumberFormat="1" applyFont="1" applyFill="1" applyBorder="1"/>
    <xf numFmtId="165" fontId="9" fillId="2" borderId="9" xfId="0" applyNumberFormat="1" applyFont="1" applyFill="1" applyBorder="1"/>
    <xf numFmtId="0" fontId="14" fillId="2" borderId="0" xfId="0" applyFont="1" applyFill="1"/>
    <xf numFmtId="0" fontId="9" fillId="3" borderId="0" xfId="0" applyFont="1" applyFill="1"/>
    <xf numFmtId="165" fontId="0" fillId="2" borderId="0" xfId="0" applyNumberFormat="1" applyFill="1" applyBorder="1"/>
    <xf numFmtId="165" fontId="0" fillId="2" borderId="6" xfId="0" applyNumberFormat="1" applyFill="1" applyBorder="1"/>
    <xf numFmtId="165" fontId="0" fillId="2" borderId="8" xfId="0" applyNumberFormat="1" applyFill="1" applyBorder="1"/>
    <xf numFmtId="165" fontId="0" fillId="2" borderId="9" xfId="0" applyNumberFormat="1" applyFill="1" applyBorder="1"/>
    <xf numFmtId="0" fontId="15" fillId="2" borderId="0" xfId="0" applyFont="1" applyFill="1"/>
    <xf numFmtId="170" fontId="9" fillId="2" borderId="13" xfId="0" applyNumberFormat="1" applyFont="1" applyFill="1" applyBorder="1"/>
    <xf numFmtId="170" fontId="9" fillId="2" borderId="15" xfId="0" applyNumberFormat="1" applyFont="1" applyFill="1" applyBorder="1"/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/>
    <xf numFmtId="0" fontId="16" fillId="2" borderId="2" xfId="0" applyFont="1" applyFill="1" applyBorder="1"/>
    <xf numFmtId="0" fontId="8" fillId="2" borderId="5" xfId="0" applyFont="1" applyFill="1" applyBorder="1"/>
    <xf numFmtId="0" fontId="8" fillId="2" borderId="6" xfId="0" applyFont="1" applyFill="1" applyBorder="1"/>
    <xf numFmtId="0" fontId="17" fillId="2" borderId="0" xfId="0" applyFont="1" applyFill="1"/>
    <xf numFmtId="165" fontId="0" fillId="2" borderId="0" xfId="0" applyNumberFormat="1" applyFill="1"/>
    <xf numFmtId="0" fontId="18" fillId="0" borderId="0" xfId="0" applyFont="1"/>
    <xf numFmtId="0" fontId="9" fillId="2" borderId="0" xfId="0" applyFont="1" applyFill="1"/>
    <xf numFmtId="0" fontId="20" fillId="2" borderId="0" xfId="2" applyFont="1" applyFill="1"/>
    <xf numFmtId="0" fontId="20" fillId="0" borderId="0" xfId="2" applyFont="1"/>
    <xf numFmtId="0" fontId="21" fillId="0" borderId="0" xfId="0" applyFont="1"/>
    <xf numFmtId="164" fontId="10" fillId="3" borderId="0" xfId="0" applyNumberFormat="1" applyFont="1" applyFill="1" applyAlignment="1">
      <alignment horizontal="center"/>
    </xf>
    <xf numFmtId="165" fontId="10" fillId="3" borderId="0" xfId="0" applyNumberFormat="1" applyFont="1" applyFill="1" applyAlignment="1">
      <alignment horizontal="center"/>
    </xf>
    <xf numFmtId="166" fontId="10" fillId="3" borderId="0" xfId="1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Probability</a:t>
            </a:r>
            <a:r>
              <a:rPr lang="en-US" sz="1800" b="1" baseline="0"/>
              <a:t> Distribution Function for Experiment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Prior PDF</c:v>
          </c:tx>
          <c:marker>
            <c:symbol val="none"/>
          </c:marker>
          <c:xVal>
            <c:numRef>
              <c:f>Model!$B$172:$B$272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</c:v>
                </c:pt>
              </c:numCache>
            </c:numRef>
          </c:xVal>
          <c:yVal>
            <c:numRef>
              <c:f>Model!$C$172:$C$272</c:f>
              <c:numCache>
                <c:formatCode>0.00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BE9-F246-8F6D-AF2049415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161088"/>
        <c:axId val="331162720"/>
      </c:scatterChart>
      <c:valAx>
        <c:axId val="331161088"/>
        <c:scaling>
          <c:orientation val="minMax"/>
          <c:max val="1"/>
        </c:scaling>
        <c:delete val="0"/>
        <c:axPos val="b"/>
        <c:title>
          <c:tx>
            <c:strRef>
              <c:f>Model!$B$279</c:f>
              <c:strCache>
                <c:ptCount val="1"/>
                <c:pt idx="0">
                  <c:v>Long-run fraction of clicks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62720"/>
        <c:crosses val="autoZero"/>
        <c:crossBetween val="midCat"/>
      </c:valAx>
      <c:valAx>
        <c:axId val="33116272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331161088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Probability</a:t>
            </a:r>
            <a:r>
              <a:rPr lang="en-US" sz="1800" b="1" baseline="0"/>
              <a:t> Distribution Function for Control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Prior PDF</c:v>
          </c:tx>
          <c:marker>
            <c:symbol val="none"/>
          </c:marker>
          <c:xVal>
            <c:numRef>
              <c:f>Model!$G$172:$G$272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</c:v>
                </c:pt>
              </c:numCache>
            </c:numRef>
          </c:xVal>
          <c:yVal>
            <c:numRef>
              <c:f>Model!$H$172:$H$272</c:f>
              <c:numCache>
                <c:formatCode>0.00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E3-A848-B4EE-22850CD89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161088"/>
        <c:axId val="331162720"/>
      </c:scatterChart>
      <c:valAx>
        <c:axId val="331161088"/>
        <c:scaling>
          <c:orientation val="minMax"/>
          <c:max val="1"/>
        </c:scaling>
        <c:delete val="0"/>
        <c:axPos val="b"/>
        <c:title>
          <c:tx>
            <c:strRef>
              <c:f>Model!$B$279</c:f>
              <c:strCache>
                <c:ptCount val="1"/>
                <c:pt idx="0">
                  <c:v>Long-run fraction of clicks</c:v>
                </c:pt>
              </c:strCache>
            </c:strRef>
          </c:tx>
          <c:overlay val="0"/>
          <c:txPr>
            <a:bodyPr/>
            <a:lstStyle/>
            <a:p>
              <a:pPr>
                <a:defRPr sz="160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62720"/>
        <c:crosses val="autoZero"/>
        <c:crossBetween val="midCat"/>
      </c:valAx>
      <c:valAx>
        <c:axId val="33116272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331161088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Probability</a:t>
            </a:r>
            <a:r>
              <a:rPr lang="en-US" sz="1800" b="1" baseline="0"/>
              <a:t> Distribution Function for Experiment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Prior PDF</c:v>
          </c:tx>
          <c:marker>
            <c:symbol val="none"/>
          </c:marker>
          <c:xVal>
            <c:numRef>
              <c:f>Model!$B$172:$B$272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</c:v>
                </c:pt>
              </c:numCache>
            </c:numRef>
          </c:xVal>
          <c:yVal>
            <c:numRef>
              <c:f>Model!$C$172:$C$272</c:f>
              <c:numCache>
                <c:formatCode>0.00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B6-8640-AE23-3AE3788CF5F8}"/>
            </c:ext>
          </c:extLst>
        </c:ser>
        <c:ser>
          <c:idx val="0"/>
          <c:order val="1"/>
          <c:tx>
            <c:v>Posterior PDF</c:v>
          </c:tx>
          <c:marker>
            <c:symbol val="none"/>
          </c:marker>
          <c:xVal>
            <c:numRef>
              <c:f>Model!$B$172:$B$272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</c:v>
                </c:pt>
              </c:numCache>
            </c:numRef>
          </c:xVal>
          <c:yVal>
            <c:numRef>
              <c:f>Model!$D$172:$D$272</c:f>
              <c:numCache>
                <c:formatCode>0.00</c:formatCode>
                <c:ptCount val="101"/>
                <c:pt idx="0">
                  <c:v>0</c:v>
                </c:pt>
                <c:pt idx="1">
                  <c:v>0.59557994986733054</c:v>
                </c:pt>
                <c:pt idx="2">
                  <c:v>0.85331421889884607</c:v>
                </c:pt>
                <c:pt idx="3">
                  <c:v>0.96930094080753826</c:v>
                </c:pt>
                <c:pt idx="4">
                  <c:v>1</c:v>
                </c:pt>
                <c:pt idx="5">
                  <c:v>0.97771788040934959</c:v>
                </c:pt>
                <c:pt idx="6">
                  <c:v>0.9232517127573916</c:v>
                </c:pt>
                <c:pt idx="7">
                  <c:v>0.85054124162124378</c:v>
                </c:pt>
                <c:pt idx="8">
                  <c:v>0.76902880503673632</c:v>
                </c:pt>
                <c:pt idx="9">
                  <c:v>0.68506703918457945</c:v>
                </c:pt>
                <c:pt idx="10">
                  <c:v>0.60283785213832952</c:v>
                </c:pt>
                <c:pt idx="11">
                  <c:v>0.5249846536384617</c:v>
                </c:pt>
                <c:pt idx="12">
                  <c:v>0.45306095354385578</c:v>
                </c:pt>
                <c:pt idx="13">
                  <c:v>0.38785434825110909</c:v>
                </c:pt>
                <c:pt idx="14">
                  <c:v>0.32962263362728117</c:v>
                </c:pt>
                <c:pt idx="15">
                  <c:v>0.27826636415330852</c:v>
                </c:pt>
                <c:pt idx="16">
                  <c:v>0.2334546942762005</c:v>
                </c:pt>
                <c:pt idx="17">
                  <c:v>0.19471653977927542</c:v>
                </c:pt>
                <c:pt idx="18">
                  <c:v>0.1615058665991628</c:v>
                </c:pt>
                <c:pt idx="19">
                  <c:v>0.13324765534054211</c:v>
                </c:pt>
                <c:pt idx="20">
                  <c:v>0.10936946290038051</c:v>
                </c:pt>
                <c:pt idx="21">
                  <c:v>8.932230488565597E-2</c:v>
                </c:pt>
                <c:pt idx="22">
                  <c:v>7.259368604928268E-2</c:v>
                </c:pt>
                <c:pt idx="23">
                  <c:v>5.871492692457609E-2</c:v>
                </c:pt>
                <c:pt idx="24">
                  <c:v>4.7264416176982967E-2</c:v>
                </c:pt>
                <c:pt idx="25">
                  <c:v>3.7868019896944723E-2</c:v>
                </c:pt>
                <c:pt idx="26">
                  <c:v>3.0197572303280934E-2</c:v>
                </c:pt>
                <c:pt idx="27">
                  <c:v>2.3968135885080483E-2</c:v>
                </c:pt>
                <c:pt idx="28">
                  <c:v>1.893453696535494E-2</c:v>
                </c:pt>
                <c:pt idx="29">
                  <c:v>1.488754291186304E-2</c:v>
                </c:pt>
                <c:pt idx="30">
                  <c:v>1.1649940428686686E-2</c:v>
                </c:pt>
                <c:pt idx="31">
                  <c:v>9.0726932976066699E-3</c:v>
                </c:pt>
                <c:pt idx="32">
                  <c:v>7.0312969416261627E-3</c:v>
                </c:pt>
                <c:pt idx="33">
                  <c:v>5.4224018084403792E-3</c:v>
                </c:pt>
                <c:pt idx="34">
                  <c:v>4.1607443164999635E-3</c:v>
                </c:pt>
                <c:pt idx="35">
                  <c:v>3.1764002066331206E-3</c:v>
                </c:pt>
                <c:pt idx="36">
                  <c:v>2.412358416805563E-3</c:v>
                </c:pt>
                <c:pt idx="37">
                  <c:v>1.8224023272532914E-3</c:v>
                </c:pt>
                <c:pt idx="38">
                  <c:v>1.3692780560404735E-3</c:v>
                </c:pt>
                <c:pt idx="39">
                  <c:v>1.0231253619732957E-3</c:v>
                </c:pt>
                <c:pt idx="40">
                  <c:v>7.601448071400792E-4</c:v>
                </c:pt>
                <c:pt idx="41">
                  <c:v>5.6147450570534962E-4</c:v>
                </c:pt>
                <c:pt idx="42">
                  <c:v>4.1225054770093063E-4</c:v>
                </c:pt>
                <c:pt idx="43">
                  <c:v>3.0082666282678258E-4</c:v>
                </c:pt>
                <c:pt idx="44">
                  <c:v>2.1813059916146261E-4</c:v>
                </c:pt>
                <c:pt idx="45">
                  <c:v>1.5713682791250865E-4</c:v>
                </c:pt>
                <c:pt idx="46">
                  <c:v>1.1243739795182689E-4</c:v>
                </c:pt>
                <c:pt idx="47">
                  <c:v>7.9894947418188042E-5</c:v>
                </c:pt>
                <c:pt idx="48">
                  <c:v>5.6363962886728164E-5</c:v>
                </c:pt>
                <c:pt idx="49">
                  <c:v>3.9468314272563372E-5</c:v>
                </c:pt>
                <c:pt idx="50">
                  <c:v>2.7424860003617799E-5</c:v>
                </c:pt>
                <c:pt idx="51">
                  <c:v>1.89045006394612E-5</c:v>
                </c:pt>
                <c:pt idx="52">
                  <c:v>1.2923458873371882E-5</c:v>
                </c:pt>
                <c:pt idx="53">
                  <c:v>8.7587856994949804E-6</c:v>
                </c:pt>
                <c:pt idx="54">
                  <c:v>5.8831471171122608E-6</c:v>
                </c:pt>
                <c:pt idx="55">
                  <c:v>3.9148465945889348E-6</c:v>
                </c:pt>
                <c:pt idx="56">
                  <c:v>2.579800619553819E-6</c:v>
                </c:pt>
                <c:pt idx="57">
                  <c:v>1.6828234848759202E-6</c:v>
                </c:pt>
                <c:pt idx="58">
                  <c:v>1.086108226217555E-6</c:v>
                </c:pt>
                <c:pt idx="59">
                  <c:v>6.9322783245129443E-7</c:v>
                </c:pt>
                <c:pt idx="60">
                  <c:v>4.373379515090974E-7</c:v>
                </c:pt>
                <c:pt idx="61">
                  <c:v>2.7255154955624966E-7</c:v>
                </c:pt>
                <c:pt idx="62">
                  <c:v>1.6768829122944339E-7</c:v>
                </c:pt>
                <c:pt idx="63">
                  <c:v>1.0178642807711627E-7</c:v>
                </c:pt>
                <c:pt idx="64">
                  <c:v>6.0911083724300367E-8</c:v>
                </c:pt>
                <c:pt idx="65">
                  <c:v>3.5907194107372935E-8</c:v>
                </c:pt>
                <c:pt idx="66">
                  <c:v>2.0834097306616114E-8</c:v>
                </c:pt>
                <c:pt idx="67">
                  <c:v>1.1886987893557019E-8</c:v>
                </c:pt>
                <c:pt idx="68">
                  <c:v>6.6624052617337535E-9</c:v>
                </c:pt>
                <c:pt idx="69">
                  <c:v>3.6641068249230465E-9</c:v>
                </c:pt>
                <c:pt idx="70">
                  <c:v>1.9749261266405299E-9</c:v>
                </c:pt>
                <c:pt idx="71">
                  <c:v>1.0418197140766779E-9</c:v>
                </c:pt>
                <c:pt idx="72">
                  <c:v>5.3708686511988582E-10</c:v>
                </c:pt>
                <c:pt idx="73">
                  <c:v>2.7013875409540939E-10</c:v>
                </c:pt>
                <c:pt idx="74">
                  <c:v>1.3231771407934815E-10</c:v>
                </c:pt>
                <c:pt idx="75">
                  <c:v>6.2985634661748581E-11</c:v>
                </c:pt>
                <c:pt idx="76">
                  <c:v>2.9070402656852417E-11</c:v>
                </c:pt>
                <c:pt idx="77">
                  <c:v>1.2975119436992288E-11</c:v>
                </c:pt>
                <c:pt idx="78">
                  <c:v>5.5838724138779374E-12</c:v>
                </c:pt>
                <c:pt idx="79">
                  <c:v>2.3091729661433243E-12</c:v>
                </c:pt>
                <c:pt idx="80">
                  <c:v>9.140969059122356E-13</c:v>
                </c:pt>
                <c:pt idx="81">
                  <c:v>3.4482717640581894E-13</c:v>
                </c:pt>
                <c:pt idx="82">
                  <c:v>1.233182952647235E-13</c:v>
                </c:pt>
                <c:pt idx="83">
                  <c:v>4.1555268900943709E-14</c:v>
                </c:pt>
                <c:pt idx="84">
                  <c:v>1.3100004004717776E-14</c:v>
                </c:pt>
                <c:pt idx="85">
                  <c:v>3.8302899151406296E-15</c:v>
                </c:pt>
                <c:pt idx="86">
                  <c:v>1.0280195613967733E-15</c:v>
                </c:pt>
                <c:pt idx="87">
                  <c:v>2.5007604884883336E-16</c:v>
                </c:pt>
                <c:pt idx="88">
                  <c:v>5.4276320014564074E-17</c:v>
                </c:pt>
                <c:pt idx="89">
                  <c:v>1.0303763762557864E-17</c:v>
                </c:pt>
                <c:pt idx="90">
                  <c:v>1.6677783819388593E-18</c:v>
                </c:pt>
                <c:pt idx="91">
                  <c:v>2.2255308955034529E-19</c:v>
                </c:pt>
                <c:pt idx="92">
                  <c:v>2.3393884678625774E-20</c:v>
                </c:pt>
                <c:pt idx="93">
                  <c:v>1.8172432303900701E-21</c:v>
                </c:pt>
                <c:pt idx="94">
                  <c:v>9.5005910150236028E-23</c:v>
                </c:pt>
                <c:pt idx="95">
                  <c:v>2.8916604832166884E-24</c:v>
                </c:pt>
                <c:pt idx="96">
                  <c:v>4.0189550838090416E-26</c:v>
                </c:pt>
                <c:pt idx="97">
                  <c:v>1.6176695497232239E-28</c:v>
                </c:pt>
                <c:pt idx="98">
                  <c:v>6.7842385427152392E-32</c:v>
                </c:pt>
                <c:pt idx="99">
                  <c:v>1.1356708752246154E-37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B6-8640-AE23-3AE3788CF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161088"/>
        <c:axId val="331162720"/>
      </c:scatterChart>
      <c:valAx>
        <c:axId val="331161088"/>
        <c:scaling>
          <c:orientation val="minMax"/>
          <c:max val="1"/>
        </c:scaling>
        <c:delete val="0"/>
        <c:axPos val="b"/>
        <c:title>
          <c:tx>
            <c:strRef>
              <c:f>Model!$B$279</c:f>
              <c:strCache>
                <c:ptCount val="1"/>
                <c:pt idx="0">
                  <c:v>Long-run fraction of clicks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62720"/>
        <c:crosses val="autoZero"/>
        <c:crossBetween val="midCat"/>
      </c:valAx>
      <c:valAx>
        <c:axId val="33116272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331161088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Probability</a:t>
            </a:r>
            <a:r>
              <a:rPr lang="en-US" sz="1800" b="1" baseline="0"/>
              <a:t> Distribution Function for Control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Prior PDF</c:v>
          </c:tx>
          <c:marker>
            <c:symbol val="none"/>
          </c:marker>
          <c:xVal>
            <c:numRef>
              <c:f>Model!$G$172:$G$272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</c:v>
                </c:pt>
              </c:numCache>
            </c:numRef>
          </c:xVal>
          <c:yVal>
            <c:numRef>
              <c:f>Model!$H$172:$H$272</c:f>
              <c:numCache>
                <c:formatCode>0.00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CA-0246-A41B-36421EB928D0}"/>
            </c:ext>
          </c:extLst>
        </c:ser>
        <c:ser>
          <c:idx val="0"/>
          <c:order val="1"/>
          <c:tx>
            <c:v>Posterior PDF</c:v>
          </c:tx>
          <c:marker>
            <c:symbol val="none"/>
          </c:marker>
          <c:xVal>
            <c:numRef>
              <c:f>Model!$G$172:$G$272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</c:v>
                </c:pt>
              </c:numCache>
            </c:numRef>
          </c:xVal>
          <c:yVal>
            <c:numRef>
              <c:f>Model!$I$172:$I$272</c:f>
              <c:numCache>
                <c:formatCode>0.00</c:formatCode>
                <c:ptCount val="101"/>
                <c:pt idx="0">
                  <c:v>0</c:v>
                </c:pt>
                <c:pt idx="1">
                  <c:v>0.76856106163203342</c:v>
                </c:pt>
                <c:pt idx="2">
                  <c:v>0.95666408106338741</c:v>
                </c:pt>
                <c:pt idx="3">
                  <c:v>1</c:v>
                </c:pt>
                <c:pt idx="4">
                  <c:v>0.97197147173573573</c:v>
                </c:pt>
                <c:pt idx="5">
                  <c:v>0.90693371633292164</c:v>
                </c:pt>
                <c:pt idx="6">
                  <c:v>0.8239990527969554</c:v>
                </c:pt>
                <c:pt idx="7">
                  <c:v>0.73448617963704788</c:v>
                </c:pt>
                <c:pt idx="8">
                  <c:v>0.64519864270959126</c:v>
                </c:pt>
                <c:pt idx="9">
                  <c:v>0.56014971468180808</c:v>
                </c:pt>
                <c:pt idx="10">
                  <c:v>0.48157095511012055</c:v>
                </c:pt>
                <c:pt idx="11">
                  <c:v>0.4105417624557583</c:v>
                </c:pt>
                <c:pt idx="12">
                  <c:v>0.3473987006425836</c:v>
                </c:pt>
                <c:pt idx="13">
                  <c:v>0.29200824529798741</c:v>
                </c:pt>
                <c:pt idx="14">
                  <c:v>0.24395087374288763</c:v>
                </c:pt>
                <c:pt idx="15">
                  <c:v>0.20264575783309491</c:v>
                </c:pt>
                <c:pt idx="16">
                  <c:v>0.16743480535203983</c:v>
                </c:pt>
                <c:pt idx="17">
                  <c:v>0.13763850517909557</c:v>
                </c:pt>
                <c:pt idx="18">
                  <c:v>0.1125920798565416</c:v>
                </c:pt>
                <c:pt idx="19">
                  <c:v>9.1667867687750745E-2</c:v>
                </c:pt>
                <c:pt idx="20">
                  <c:v>7.4288116509213714E-2</c:v>
                </c:pt>
                <c:pt idx="21">
                  <c:v>5.9931169176175032E-2</c:v>
                </c:pt>
                <c:pt idx="22">
                  <c:v>4.813317424417398E-2</c:v>
                </c:pt>
                <c:pt idx="23">
                  <c:v>3.8486850455175893E-2</c:v>
                </c:pt>
                <c:pt idx="24">
                  <c:v>3.0638396886877323E-2</c:v>
                </c:pt>
                <c:pt idx="25">
                  <c:v>2.4283323046135587E-2</c:v>
                </c:pt>
                <c:pt idx="26">
                  <c:v>1.9161741363814457E-2</c:v>
                </c:pt>
                <c:pt idx="27">
                  <c:v>1.5053495158796098E-2</c:v>
                </c:pt>
                <c:pt idx="28">
                  <c:v>1.1773371605730627E-2</c:v>
                </c:pt>
                <c:pt idx="29">
                  <c:v>9.1665595951677878E-3</c:v>
                </c:pt>
                <c:pt idx="30">
                  <c:v>7.1044478636369379E-3</c:v>
                </c:pt>
                <c:pt idx="31">
                  <c:v>5.4808129291512601E-3</c:v>
                </c:pt>
                <c:pt idx="32">
                  <c:v>4.2084143799588263E-3</c:v>
                </c:pt>
                <c:pt idx="33">
                  <c:v>3.2159933254033101E-3</c:v>
                </c:pt>
                <c:pt idx="34">
                  <c:v>2.4456556167642531E-3</c:v>
                </c:pt>
                <c:pt idx="35">
                  <c:v>1.850612741150708E-3</c:v>
                </c:pt>
                <c:pt idx="36">
                  <c:v>1.3932485448896674E-3</c:v>
                </c:pt>
                <c:pt idx="37">
                  <c:v>1.0434779978912834E-3</c:v>
                </c:pt>
                <c:pt idx="38">
                  <c:v>7.7736420084706804E-4</c:v>
                </c:pt>
                <c:pt idx="39">
                  <c:v>5.7596111770775635E-4</c:v>
                </c:pt>
                <c:pt idx="40">
                  <c:v>4.2435161039399523E-4</c:v>
                </c:pt>
                <c:pt idx="41">
                  <c:v>3.1085291357214976E-4</c:v>
                </c:pt>
                <c:pt idx="42">
                  <c:v>2.2636446501631658E-4</c:v>
                </c:pt>
                <c:pt idx="43">
                  <c:v>1.6383582628700462E-4</c:v>
                </c:pt>
                <c:pt idx="44">
                  <c:v>1.1783516986759032E-4</c:v>
                </c:pt>
                <c:pt idx="45">
                  <c:v>8.4201395030556784E-5</c:v>
                </c:pt>
                <c:pt idx="46">
                  <c:v>5.9765319008982609E-5</c:v>
                </c:pt>
                <c:pt idx="47">
                  <c:v>4.2127548515843686E-5</c:v>
                </c:pt>
                <c:pt idx="48">
                  <c:v>2.9482561377917896E-5</c:v>
                </c:pt>
                <c:pt idx="49">
                  <c:v>2.0480222318667447E-5</c:v>
                </c:pt>
                <c:pt idx="50">
                  <c:v>1.4117431499173986E-5</c:v>
                </c:pt>
                <c:pt idx="51">
                  <c:v>9.65387476468561E-6</c:v>
                </c:pt>
                <c:pt idx="52">
                  <c:v>6.5469287369525046E-6</c:v>
                </c:pt>
                <c:pt idx="53">
                  <c:v>4.401691166513618E-6</c:v>
                </c:pt>
                <c:pt idx="54">
                  <c:v>2.9328766160645191E-6</c:v>
                </c:pt>
                <c:pt idx="55">
                  <c:v>1.9359582324645657E-6</c:v>
                </c:pt>
                <c:pt idx="56">
                  <c:v>1.2654655956356542E-6</c:v>
                </c:pt>
                <c:pt idx="57">
                  <c:v>8.1878250419020861E-7</c:v>
                </c:pt>
                <c:pt idx="58">
                  <c:v>5.2414160261112159E-7</c:v>
                </c:pt>
                <c:pt idx="59">
                  <c:v>3.3179789753292167E-7</c:v>
                </c:pt>
                <c:pt idx="60">
                  <c:v>2.0759179511090461E-7</c:v>
                </c:pt>
                <c:pt idx="61">
                  <c:v>1.2829415768170904E-7</c:v>
                </c:pt>
                <c:pt idx="62">
                  <c:v>7.8269469541125296E-8</c:v>
                </c:pt>
                <c:pt idx="63">
                  <c:v>4.7105691007727405E-8</c:v>
                </c:pt>
                <c:pt idx="64">
                  <c:v>2.7946800949035051E-8</c:v>
                </c:pt>
                <c:pt idx="65">
                  <c:v>1.6331409807372797E-8</c:v>
                </c:pt>
                <c:pt idx="66">
                  <c:v>9.392321591939329E-9</c:v>
                </c:pt>
                <c:pt idx="67">
                  <c:v>5.310934162192586E-9</c:v>
                </c:pt>
                <c:pt idx="68">
                  <c:v>2.9496502918828942E-9</c:v>
                </c:pt>
                <c:pt idx="69">
                  <c:v>1.6072443850986888E-9</c:v>
                </c:pt>
                <c:pt idx="70">
                  <c:v>8.5815703673425848E-10</c:v>
                </c:pt>
                <c:pt idx="71">
                  <c:v>4.48365069443066E-10</c:v>
                </c:pt>
                <c:pt idx="72">
                  <c:v>2.2888688477475342E-10</c:v>
                </c:pt>
                <c:pt idx="73">
                  <c:v>1.1397414505798692E-10</c:v>
                </c:pt>
                <c:pt idx="74">
                  <c:v>5.5255763588516971E-11</c:v>
                </c:pt>
                <c:pt idx="75">
                  <c:v>2.6027264685398596E-11</c:v>
                </c:pt>
                <c:pt idx="76">
                  <c:v>1.1883430949278119E-11</c:v>
                </c:pt>
                <c:pt idx="77">
                  <c:v>5.2452966658596094E-12</c:v>
                </c:pt>
                <c:pt idx="78">
                  <c:v>2.2315795451094859E-12</c:v>
                </c:pt>
                <c:pt idx="79">
                  <c:v>9.1198180759126059E-13</c:v>
                </c:pt>
                <c:pt idx="80">
                  <c:v>3.5660835205024913E-13</c:v>
                </c:pt>
                <c:pt idx="81">
                  <c:v>1.328209163634039E-13</c:v>
                </c:pt>
                <c:pt idx="82">
                  <c:v>4.6873837795550903E-14</c:v>
                </c:pt>
                <c:pt idx="83">
                  <c:v>1.5577994012050506E-14</c:v>
                </c:pt>
                <c:pt idx="84">
                  <c:v>4.8400610268476683E-15</c:v>
                </c:pt>
                <c:pt idx="85">
                  <c:v>1.3937259410092903E-15</c:v>
                </c:pt>
                <c:pt idx="86">
                  <c:v>3.6807690231328764E-16</c:v>
                </c:pt>
                <c:pt idx="87">
                  <c:v>8.8017329715259829E-17</c:v>
                </c:pt>
                <c:pt idx="88">
                  <c:v>1.8756913647137921E-17</c:v>
                </c:pt>
                <c:pt idx="89">
                  <c:v>3.491465045197118E-18</c:v>
                </c:pt>
                <c:pt idx="90">
                  <c:v>5.5322412181635204E-19</c:v>
                </c:pt>
                <c:pt idx="91">
                  <c:v>7.2124882877234257E-20</c:v>
                </c:pt>
                <c:pt idx="92">
                  <c:v>7.3888023004924282E-21</c:v>
                </c:pt>
                <c:pt idx="93">
                  <c:v>5.5763156317727984E-22</c:v>
                </c:pt>
                <c:pt idx="94">
                  <c:v>2.8207628289305459E-23</c:v>
                </c:pt>
                <c:pt idx="95">
                  <c:v>8.2605288000998946E-25</c:v>
                </c:pt>
                <c:pt idx="96">
                  <c:v>1.0956760634412276E-26</c:v>
                </c:pt>
                <c:pt idx="97">
                  <c:v>4.1549995829060652E-29</c:v>
                </c:pt>
                <c:pt idx="98">
                  <c:v>1.60351550520893E-32</c:v>
                </c:pt>
                <c:pt idx="99">
                  <c:v>2.3320438867838198E-38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CA-0246-A41B-36421EB92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161088"/>
        <c:axId val="331162720"/>
      </c:scatterChart>
      <c:valAx>
        <c:axId val="331161088"/>
        <c:scaling>
          <c:orientation val="minMax"/>
          <c:max val="1"/>
        </c:scaling>
        <c:delete val="0"/>
        <c:axPos val="b"/>
        <c:title>
          <c:tx>
            <c:strRef>
              <c:f>Model!$B$279</c:f>
              <c:strCache>
                <c:ptCount val="1"/>
                <c:pt idx="0">
                  <c:v>Long-run fraction of clicks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62720"/>
        <c:crosses val="autoZero"/>
        <c:crossBetween val="midCat"/>
      </c:valAx>
      <c:valAx>
        <c:axId val="33116272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331161088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 to Posterior Scale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Model!$N$170</c:f>
              <c:strCache>
                <c:ptCount val="1"/>
                <c:pt idx="0">
                  <c:v>Net Value of Experiment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Model!$M$172:$M$272</c:f>
              <c:numCache>
                <c:formatCode>General</c:formatCode>
                <c:ptCount val="101"/>
                <c:pt idx="0">
                  <c:v>1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  <c:pt idx="26">
                  <c:v>312</c:v>
                </c:pt>
                <c:pt idx="27">
                  <c:v>324</c:v>
                </c:pt>
                <c:pt idx="28">
                  <c:v>336</c:v>
                </c:pt>
                <c:pt idx="29">
                  <c:v>348</c:v>
                </c:pt>
                <c:pt idx="30">
                  <c:v>360</c:v>
                </c:pt>
                <c:pt idx="31">
                  <c:v>372</c:v>
                </c:pt>
                <c:pt idx="32">
                  <c:v>384</c:v>
                </c:pt>
                <c:pt idx="33">
                  <c:v>396</c:v>
                </c:pt>
                <c:pt idx="34">
                  <c:v>408</c:v>
                </c:pt>
                <c:pt idx="35">
                  <c:v>420</c:v>
                </c:pt>
                <c:pt idx="36">
                  <c:v>432</c:v>
                </c:pt>
                <c:pt idx="37">
                  <c:v>444</c:v>
                </c:pt>
                <c:pt idx="38">
                  <c:v>456</c:v>
                </c:pt>
                <c:pt idx="39">
                  <c:v>468</c:v>
                </c:pt>
                <c:pt idx="40">
                  <c:v>480</c:v>
                </c:pt>
                <c:pt idx="41">
                  <c:v>492</c:v>
                </c:pt>
                <c:pt idx="42">
                  <c:v>504</c:v>
                </c:pt>
                <c:pt idx="43">
                  <c:v>516</c:v>
                </c:pt>
                <c:pt idx="44">
                  <c:v>528</c:v>
                </c:pt>
                <c:pt idx="45">
                  <c:v>540</c:v>
                </c:pt>
                <c:pt idx="46">
                  <c:v>552</c:v>
                </c:pt>
                <c:pt idx="47">
                  <c:v>564</c:v>
                </c:pt>
                <c:pt idx="48">
                  <c:v>576</c:v>
                </c:pt>
                <c:pt idx="49">
                  <c:v>588</c:v>
                </c:pt>
                <c:pt idx="50">
                  <c:v>600</c:v>
                </c:pt>
                <c:pt idx="51">
                  <c:v>612</c:v>
                </c:pt>
                <c:pt idx="52">
                  <c:v>624</c:v>
                </c:pt>
                <c:pt idx="53">
                  <c:v>636</c:v>
                </c:pt>
                <c:pt idx="54">
                  <c:v>648</c:v>
                </c:pt>
                <c:pt idx="55">
                  <c:v>660</c:v>
                </c:pt>
                <c:pt idx="56">
                  <c:v>672</c:v>
                </c:pt>
                <c:pt idx="57">
                  <c:v>684</c:v>
                </c:pt>
                <c:pt idx="58">
                  <c:v>696</c:v>
                </c:pt>
                <c:pt idx="59">
                  <c:v>708</c:v>
                </c:pt>
                <c:pt idx="60">
                  <c:v>720</c:v>
                </c:pt>
                <c:pt idx="61">
                  <c:v>732</c:v>
                </c:pt>
                <c:pt idx="62">
                  <c:v>744</c:v>
                </c:pt>
                <c:pt idx="63">
                  <c:v>756</c:v>
                </c:pt>
                <c:pt idx="64">
                  <c:v>768</c:v>
                </c:pt>
                <c:pt idx="65">
                  <c:v>780</c:v>
                </c:pt>
                <c:pt idx="66">
                  <c:v>792</c:v>
                </c:pt>
                <c:pt idx="67">
                  <c:v>804</c:v>
                </c:pt>
                <c:pt idx="68">
                  <c:v>816</c:v>
                </c:pt>
                <c:pt idx="69">
                  <c:v>828</c:v>
                </c:pt>
                <c:pt idx="70">
                  <c:v>840</c:v>
                </c:pt>
                <c:pt idx="71">
                  <c:v>852</c:v>
                </c:pt>
                <c:pt idx="72">
                  <c:v>864</c:v>
                </c:pt>
                <c:pt idx="73">
                  <c:v>876</c:v>
                </c:pt>
                <c:pt idx="74">
                  <c:v>888</c:v>
                </c:pt>
                <c:pt idx="75">
                  <c:v>900</c:v>
                </c:pt>
                <c:pt idx="76">
                  <c:v>912</c:v>
                </c:pt>
                <c:pt idx="77">
                  <c:v>924</c:v>
                </c:pt>
                <c:pt idx="78">
                  <c:v>936</c:v>
                </c:pt>
                <c:pt idx="79">
                  <c:v>948</c:v>
                </c:pt>
                <c:pt idx="80">
                  <c:v>960</c:v>
                </c:pt>
                <c:pt idx="81">
                  <c:v>972</c:v>
                </c:pt>
                <c:pt idx="82">
                  <c:v>984</c:v>
                </c:pt>
                <c:pt idx="83">
                  <c:v>996</c:v>
                </c:pt>
                <c:pt idx="84">
                  <c:v>1008</c:v>
                </c:pt>
                <c:pt idx="85">
                  <c:v>1020</c:v>
                </c:pt>
                <c:pt idx="86">
                  <c:v>1032</c:v>
                </c:pt>
                <c:pt idx="87">
                  <c:v>1044</c:v>
                </c:pt>
                <c:pt idx="88">
                  <c:v>1056</c:v>
                </c:pt>
                <c:pt idx="89">
                  <c:v>1068</c:v>
                </c:pt>
                <c:pt idx="90">
                  <c:v>1080</c:v>
                </c:pt>
                <c:pt idx="91">
                  <c:v>1092</c:v>
                </c:pt>
                <c:pt idx="92">
                  <c:v>1104</c:v>
                </c:pt>
                <c:pt idx="93">
                  <c:v>1116</c:v>
                </c:pt>
                <c:pt idx="94">
                  <c:v>1128</c:v>
                </c:pt>
                <c:pt idx="95">
                  <c:v>1140</c:v>
                </c:pt>
                <c:pt idx="96">
                  <c:v>1152</c:v>
                </c:pt>
                <c:pt idx="97">
                  <c:v>1164</c:v>
                </c:pt>
                <c:pt idx="98">
                  <c:v>1176</c:v>
                </c:pt>
                <c:pt idx="99">
                  <c:v>1188</c:v>
                </c:pt>
                <c:pt idx="100">
                  <c:v>1200</c:v>
                </c:pt>
              </c:numCache>
            </c:numRef>
          </c:xVal>
          <c:yVal>
            <c:numRef>
              <c:f>Model!$N$172:$N$272</c:f>
              <c:numCache>
                <c:formatCode>"$"#,##0</c:formatCode>
                <c:ptCount val="101"/>
                <c:pt idx="0">
                  <c:v>20091.981603679262</c:v>
                </c:pt>
                <c:pt idx="1">
                  <c:v>21101.356743814846</c:v>
                </c:pt>
                <c:pt idx="2">
                  <c:v>22197.452229299364</c:v>
                </c:pt>
                <c:pt idx="3">
                  <c:v>23288.324066719622</c:v>
                </c:pt>
                <c:pt idx="4">
                  <c:v>24374.009508716328</c:v>
                </c:pt>
                <c:pt idx="5">
                  <c:v>25454.545454545456</c:v>
                </c:pt>
                <c:pt idx="6">
                  <c:v>26529.968454258677</c:v>
                </c:pt>
                <c:pt idx="7">
                  <c:v>27600.314712824547</c:v>
                </c:pt>
                <c:pt idx="8">
                  <c:v>28665.620094191523</c:v>
                </c:pt>
                <c:pt idx="9">
                  <c:v>29725.920125293655</c:v>
                </c:pt>
                <c:pt idx="10">
                  <c:v>30781.250000000007</c:v>
                </c:pt>
                <c:pt idx="11">
                  <c:v>31831.644583008572</c:v>
                </c:pt>
                <c:pt idx="12">
                  <c:v>32877.138413685847</c:v>
                </c:pt>
                <c:pt idx="13">
                  <c:v>33917.765709852603</c:v>
                </c:pt>
                <c:pt idx="14">
                  <c:v>34953.560371517022</c:v>
                </c:pt>
                <c:pt idx="15">
                  <c:v>35984.555984555984</c:v>
                </c:pt>
                <c:pt idx="16">
                  <c:v>37010.785824345148</c:v>
                </c:pt>
                <c:pt idx="17">
                  <c:v>38032.282859338964</c:v>
                </c:pt>
                <c:pt idx="18">
                  <c:v>39049.079754601233</c:v>
                </c:pt>
                <c:pt idx="19">
                  <c:v>40061.208875286917</c:v>
                </c:pt>
                <c:pt idx="20">
                  <c:v>41068.702290076348</c:v>
                </c:pt>
                <c:pt idx="21">
                  <c:v>42071.591774562061</c:v>
                </c:pt>
                <c:pt idx="22">
                  <c:v>43069.908814589668</c:v>
                </c:pt>
                <c:pt idx="23">
                  <c:v>44063.684609552693</c:v>
                </c:pt>
                <c:pt idx="24">
                  <c:v>45052.950075642962</c:v>
                </c:pt>
                <c:pt idx="25">
                  <c:v>46037.735849056582</c:v>
                </c:pt>
                <c:pt idx="26">
                  <c:v>47018.072289156626</c:v>
                </c:pt>
                <c:pt idx="27">
                  <c:v>47993.989481592798</c:v>
                </c:pt>
                <c:pt idx="28">
                  <c:v>48965.517241379304</c:v>
                </c:pt>
                <c:pt idx="29">
                  <c:v>49932.685115931192</c:v>
                </c:pt>
                <c:pt idx="30">
                  <c:v>50895.522388059704</c:v>
                </c:pt>
                <c:pt idx="31">
                  <c:v>51854.058078927759</c:v>
                </c:pt>
                <c:pt idx="32">
                  <c:v>52808.320950965834</c:v>
                </c:pt>
                <c:pt idx="33">
                  <c:v>53758.339510748716</c:v>
                </c:pt>
                <c:pt idx="34">
                  <c:v>54704.142011834309</c:v>
                </c:pt>
                <c:pt idx="35">
                  <c:v>55645.756457564581</c:v>
                </c:pt>
                <c:pt idx="36">
                  <c:v>56583.210603829168</c:v>
                </c:pt>
                <c:pt idx="37">
                  <c:v>57516.531961792818</c:v>
                </c:pt>
                <c:pt idx="38">
                  <c:v>58445.747800586512</c:v>
                </c:pt>
                <c:pt idx="39">
                  <c:v>59370.885149963433</c:v>
                </c:pt>
                <c:pt idx="40">
                  <c:v>60291.970802919721</c:v>
                </c:pt>
                <c:pt idx="41">
                  <c:v>61209.031318281137</c:v>
                </c:pt>
                <c:pt idx="42">
                  <c:v>62122.093023255802</c:v>
                </c:pt>
                <c:pt idx="43">
                  <c:v>63031.1820159536</c:v>
                </c:pt>
                <c:pt idx="44">
                  <c:v>63936.324167872648</c:v>
                </c:pt>
                <c:pt idx="45">
                  <c:v>64837.545126353783</c:v>
                </c:pt>
                <c:pt idx="46">
                  <c:v>65734.870317002889</c:v>
                </c:pt>
                <c:pt idx="47">
                  <c:v>66628.32494608195</c:v>
                </c:pt>
                <c:pt idx="48">
                  <c:v>67517.934002869442</c:v>
                </c:pt>
                <c:pt idx="49">
                  <c:v>68403.722261989969</c:v>
                </c:pt>
                <c:pt idx="50">
                  <c:v>69285.714285714275</c:v>
                </c:pt>
                <c:pt idx="51">
                  <c:v>70163.934426229505</c:v>
                </c:pt>
                <c:pt idx="52">
                  <c:v>71038.406827880506</c:v>
                </c:pt>
                <c:pt idx="53">
                  <c:v>71909.155429382532</c:v>
                </c:pt>
                <c:pt idx="54">
                  <c:v>72776.203966005676</c:v>
                </c:pt>
                <c:pt idx="55">
                  <c:v>73639.575971731436</c:v>
                </c:pt>
                <c:pt idx="56">
                  <c:v>74499.294781382254</c:v>
                </c:pt>
                <c:pt idx="57">
                  <c:v>75355.383532723441</c:v>
                </c:pt>
                <c:pt idx="58">
                  <c:v>76207.865168539327</c:v>
                </c:pt>
                <c:pt idx="59">
                  <c:v>77056.762438682563</c:v>
                </c:pt>
                <c:pt idx="60">
                  <c:v>77902.097902097899</c:v>
                </c:pt>
                <c:pt idx="61">
                  <c:v>78743.893928820675</c:v>
                </c:pt>
                <c:pt idx="62">
                  <c:v>79582.17270194985</c:v>
                </c:pt>
                <c:pt idx="63">
                  <c:v>80416.956219596934</c:v>
                </c:pt>
                <c:pt idx="64">
                  <c:v>81248.26629680999</c:v>
                </c:pt>
                <c:pt idx="65">
                  <c:v>82076.124567474049</c:v>
                </c:pt>
                <c:pt idx="66">
                  <c:v>82900.552486187866</c:v>
                </c:pt>
                <c:pt idx="67">
                  <c:v>83721.571330117149</c:v>
                </c:pt>
                <c:pt idx="68">
                  <c:v>84539.202200825312</c:v>
                </c:pt>
                <c:pt idx="69">
                  <c:v>85353.466026080976</c:v>
                </c:pt>
                <c:pt idx="70">
                  <c:v>86164.383561643845</c:v>
                </c:pt>
                <c:pt idx="71">
                  <c:v>86971.975393028042</c:v>
                </c:pt>
                <c:pt idx="72">
                  <c:v>87776.261937244199</c:v>
                </c:pt>
                <c:pt idx="73">
                  <c:v>88577.263444520082</c:v>
                </c:pt>
                <c:pt idx="74">
                  <c:v>89375.000000000015</c:v>
                </c:pt>
                <c:pt idx="75">
                  <c:v>90169.491525423728</c:v>
                </c:pt>
                <c:pt idx="76">
                  <c:v>90960.757780784843</c:v>
                </c:pt>
                <c:pt idx="77">
                  <c:v>91748.818365968953</c:v>
                </c:pt>
                <c:pt idx="78">
                  <c:v>92533.692722371969</c:v>
                </c:pt>
                <c:pt idx="79">
                  <c:v>93315.400134498996</c:v>
                </c:pt>
                <c:pt idx="80">
                  <c:v>94093.95973154364</c:v>
                </c:pt>
                <c:pt idx="81">
                  <c:v>94869.390488948411</c:v>
                </c:pt>
                <c:pt idx="82">
                  <c:v>95641.711229946523</c:v>
                </c:pt>
                <c:pt idx="83">
                  <c:v>96410.940627084725</c:v>
                </c:pt>
                <c:pt idx="84">
                  <c:v>97177.09720372835</c:v>
                </c:pt>
                <c:pt idx="85">
                  <c:v>97940.199335548154</c:v>
                </c:pt>
                <c:pt idx="86">
                  <c:v>98700.265251989404</c:v>
                </c:pt>
                <c:pt idx="87">
                  <c:v>99457.313037723361</c:v>
                </c:pt>
                <c:pt idx="88">
                  <c:v>100211.36063408191</c:v>
                </c:pt>
                <c:pt idx="89">
                  <c:v>100962.42584047462</c:v>
                </c:pt>
                <c:pt idx="90">
                  <c:v>101710.52631578947</c:v>
                </c:pt>
                <c:pt idx="91">
                  <c:v>102455.67957977677</c:v>
                </c:pt>
                <c:pt idx="92">
                  <c:v>103197.90301441679</c:v>
                </c:pt>
                <c:pt idx="93">
                  <c:v>103937.21386527143</c:v>
                </c:pt>
                <c:pt idx="94">
                  <c:v>104673.62924281984</c:v>
                </c:pt>
                <c:pt idx="95">
                  <c:v>105407.1661237785</c:v>
                </c:pt>
                <c:pt idx="96">
                  <c:v>106137.84135240571</c:v>
                </c:pt>
                <c:pt idx="97">
                  <c:v>106865.67164179105</c:v>
                </c:pt>
                <c:pt idx="98">
                  <c:v>107590.67357512955</c:v>
                </c:pt>
                <c:pt idx="99">
                  <c:v>108312.86360698126</c:v>
                </c:pt>
                <c:pt idx="100">
                  <c:v>109032.25806451612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98-A445-89F3-DA5C0A59A504}"/>
            </c:ext>
          </c:extLst>
        </c:ser>
        <c:ser>
          <c:idx val="1"/>
          <c:order val="1"/>
          <c:tx>
            <c:strRef>
              <c:f>Model!$O$170</c:f>
              <c:strCache>
                <c:ptCount val="1"/>
                <c:pt idx="0">
                  <c:v>Value through Control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Model!$M$172:$M$272</c:f>
              <c:numCache>
                <c:formatCode>General</c:formatCode>
                <c:ptCount val="101"/>
                <c:pt idx="0">
                  <c:v>1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  <c:pt idx="26">
                  <c:v>312</c:v>
                </c:pt>
                <c:pt idx="27">
                  <c:v>324</c:v>
                </c:pt>
                <c:pt idx="28">
                  <c:v>336</c:v>
                </c:pt>
                <c:pt idx="29">
                  <c:v>348</c:v>
                </c:pt>
                <c:pt idx="30">
                  <c:v>360</c:v>
                </c:pt>
                <c:pt idx="31">
                  <c:v>372</c:v>
                </c:pt>
                <c:pt idx="32">
                  <c:v>384</c:v>
                </c:pt>
                <c:pt idx="33">
                  <c:v>396</c:v>
                </c:pt>
                <c:pt idx="34">
                  <c:v>408</c:v>
                </c:pt>
                <c:pt idx="35">
                  <c:v>420</c:v>
                </c:pt>
                <c:pt idx="36">
                  <c:v>432</c:v>
                </c:pt>
                <c:pt idx="37">
                  <c:v>444</c:v>
                </c:pt>
                <c:pt idx="38">
                  <c:v>456</c:v>
                </c:pt>
                <c:pt idx="39">
                  <c:v>468</c:v>
                </c:pt>
                <c:pt idx="40">
                  <c:v>480</c:v>
                </c:pt>
                <c:pt idx="41">
                  <c:v>492</c:v>
                </c:pt>
                <c:pt idx="42">
                  <c:v>504</c:v>
                </c:pt>
                <c:pt idx="43">
                  <c:v>516</c:v>
                </c:pt>
                <c:pt idx="44">
                  <c:v>528</c:v>
                </c:pt>
                <c:pt idx="45">
                  <c:v>540</c:v>
                </c:pt>
                <c:pt idx="46">
                  <c:v>552</c:v>
                </c:pt>
                <c:pt idx="47">
                  <c:v>564</c:v>
                </c:pt>
                <c:pt idx="48">
                  <c:v>576</c:v>
                </c:pt>
                <c:pt idx="49">
                  <c:v>588</c:v>
                </c:pt>
                <c:pt idx="50">
                  <c:v>600</c:v>
                </c:pt>
                <c:pt idx="51">
                  <c:v>612</c:v>
                </c:pt>
                <c:pt idx="52">
                  <c:v>624</c:v>
                </c:pt>
                <c:pt idx="53">
                  <c:v>636</c:v>
                </c:pt>
                <c:pt idx="54">
                  <c:v>648</c:v>
                </c:pt>
                <c:pt idx="55">
                  <c:v>660</c:v>
                </c:pt>
                <c:pt idx="56">
                  <c:v>672</c:v>
                </c:pt>
                <c:pt idx="57">
                  <c:v>684</c:v>
                </c:pt>
                <c:pt idx="58">
                  <c:v>696</c:v>
                </c:pt>
                <c:pt idx="59">
                  <c:v>708</c:v>
                </c:pt>
                <c:pt idx="60">
                  <c:v>720</c:v>
                </c:pt>
                <c:pt idx="61">
                  <c:v>732</c:v>
                </c:pt>
                <c:pt idx="62">
                  <c:v>744</c:v>
                </c:pt>
                <c:pt idx="63">
                  <c:v>756</c:v>
                </c:pt>
                <c:pt idx="64">
                  <c:v>768</c:v>
                </c:pt>
                <c:pt idx="65">
                  <c:v>780</c:v>
                </c:pt>
                <c:pt idx="66">
                  <c:v>792</c:v>
                </c:pt>
                <c:pt idx="67">
                  <c:v>804</c:v>
                </c:pt>
                <c:pt idx="68">
                  <c:v>816</c:v>
                </c:pt>
                <c:pt idx="69">
                  <c:v>828</c:v>
                </c:pt>
                <c:pt idx="70">
                  <c:v>840</c:v>
                </c:pt>
                <c:pt idx="71">
                  <c:v>852</c:v>
                </c:pt>
                <c:pt idx="72">
                  <c:v>864</c:v>
                </c:pt>
                <c:pt idx="73">
                  <c:v>876</c:v>
                </c:pt>
                <c:pt idx="74">
                  <c:v>888</c:v>
                </c:pt>
                <c:pt idx="75">
                  <c:v>900</c:v>
                </c:pt>
                <c:pt idx="76">
                  <c:v>912</c:v>
                </c:pt>
                <c:pt idx="77">
                  <c:v>924</c:v>
                </c:pt>
                <c:pt idx="78">
                  <c:v>936</c:v>
                </c:pt>
                <c:pt idx="79">
                  <c:v>948</c:v>
                </c:pt>
                <c:pt idx="80">
                  <c:v>960</c:v>
                </c:pt>
                <c:pt idx="81">
                  <c:v>972</c:v>
                </c:pt>
                <c:pt idx="82">
                  <c:v>984</c:v>
                </c:pt>
                <c:pt idx="83">
                  <c:v>996</c:v>
                </c:pt>
                <c:pt idx="84">
                  <c:v>1008</c:v>
                </c:pt>
                <c:pt idx="85">
                  <c:v>1020</c:v>
                </c:pt>
                <c:pt idx="86">
                  <c:v>1032</c:v>
                </c:pt>
                <c:pt idx="87">
                  <c:v>1044</c:v>
                </c:pt>
                <c:pt idx="88">
                  <c:v>1056</c:v>
                </c:pt>
                <c:pt idx="89">
                  <c:v>1068</c:v>
                </c:pt>
                <c:pt idx="90">
                  <c:v>1080</c:v>
                </c:pt>
                <c:pt idx="91">
                  <c:v>1092</c:v>
                </c:pt>
                <c:pt idx="92">
                  <c:v>1104</c:v>
                </c:pt>
                <c:pt idx="93">
                  <c:v>1116</c:v>
                </c:pt>
                <c:pt idx="94">
                  <c:v>1128</c:v>
                </c:pt>
                <c:pt idx="95">
                  <c:v>1140</c:v>
                </c:pt>
                <c:pt idx="96">
                  <c:v>1152</c:v>
                </c:pt>
                <c:pt idx="97">
                  <c:v>1164</c:v>
                </c:pt>
                <c:pt idx="98">
                  <c:v>1176</c:v>
                </c:pt>
                <c:pt idx="99">
                  <c:v>1188</c:v>
                </c:pt>
                <c:pt idx="100">
                  <c:v>1200</c:v>
                </c:pt>
              </c:numCache>
            </c:numRef>
          </c:xVal>
          <c:yVal>
            <c:numRef>
              <c:f>Model!$O$172:$O$272</c:f>
              <c:numCache>
                <c:formatCode>"$"#,##0</c:formatCode>
                <c:ptCount val="101"/>
                <c:pt idx="0">
                  <c:v>30093.981203759249</c:v>
                </c:pt>
                <c:pt idx="1">
                  <c:v>31125.299281723863</c:v>
                </c:pt>
                <c:pt idx="2">
                  <c:v>32245.222929936306</c:v>
                </c:pt>
                <c:pt idx="3">
                  <c:v>33359.809372517877</c:v>
                </c:pt>
                <c:pt idx="4">
                  <c:v>34469.096671949286</c:v>
                </c:pt>
                <c:pt idx="5">
                  <c:v>35573.122529644272</c:v>
                </c:pt>
                <c:pt idx="6">
                  <c:v>36671.924290220821</c:v>
                </c:pt>
                <c:pt idx="7">
                  <c:v>37765.53894571204</c:v>
                </c:pt>
                <c:pt idx="8">
                  <c:v>38854.003139717424</c:v>
                </c:pt>
                <c:pt idx="9">
                  <c:v>39937.353171495684</c:v>
                </c:pt>
                <c:pt idx="10">
                  <c:v>41015.625</c:v>
                </c:pt>
                <c:pt idx="11">
                  <c:v>42088.854247856594</c:v>
                </c:pt>
                <c:pt idx="12">
                  <c:v>43157.076205287718</c:v>
                </c:pt>
                <c:pt idx="13">
                  <c:v>44220.325833979834</c:v>
                </c:pt>
                <c:pt idx="14">
                  <c:v>45278.637770897825</c:v>
                </c:pt>
                <c:pt idx="15">
                  <c:v>46332.046332046339</c:v>
                </c:pt>
                <c:pt idx="16">
                  <c:v>47380.585516178733</c:v>
                </c:pt>
                <c:pt idx="17">
                  <c:v>48424.289008455031</c:v>
                </c:pt>
                <c:pt idx="18">
                  <c:v>49463.190184049075</c:v>
                </c:pt>
                <c:pt idx="19">
                  <c:v>50497.322111706198</c:v>
                </c:pt>
                <c:pt idx="20">
                  <c:v>51526.717557251912</c:v>
                </c:pt>
                <c:pt idx="21">
                  <c:v>52551.408987052549</c:v>
                </c:pt>
                <c:pt idx="22">
                  <c:v>53571.42857142858</c:v>
                </c:pt>
                <c:pt idx="23">
                  <c:v>54586.808188021227</c:v>
                </c:pt>
                <c:pt idx="24">
                  <c:v>55597.579425113472</c:v>
                </c:pt>
                <c:pt idx="25">
                  <c:v>56603.773584905655</c:v>
                </c:pt>
                <c:pt idx="26">
                  <c:v>57605.421686746988</c:v>
                </c:pt>
                <c:pt idx="27">
                  <c:v>58602.55447032307</c:v>
                </c:pt>
                <c:pt idx="28">
                  <c:v>59595.202398800597</c:v>
                </c:pt>
                <c:pt idx="29">
                  <c:v>60583.395661929695</c:v>
                </c:pt>
                <c:pt idx="30">
                  <c:v>61567.164179104482</c:v>
                </c:pt>
                <c:pt idx="31">
                  <c:v>62546.537602382727</c:v>
                </c:pt>
                <c:pt idx="32">
                  <c:v>63521.545319465076</c:v>
                </c:pt>
                <c:pt idx="33">
                  <c:v>64492.216456634538</c:v>
                </c:pt>
                <c:pt idx="34">
                  <c:v>65458.579881656806</c:v>
                </c:pt>
                <c:pt idx="35">
                  <c:v>66420.664206642075</c:v>
                </c:pt>
                <c:pt idx="36">
                  <c:v>67378.497790868918</c:v>
                </c:pt>
                <c:pt idx="37">
                  <c:v>68332.108743570905</c:v>
                </c:pt>
                <c:pt idx="38">
                  <c:v>69281.524926686208</c:v>
                </c:pt>
                <c:pt idx="39">
                  <c:v>70226.77395757132</c:v>
                </c:pt>
                <c:pt idx="40">
                  <c:v>71167.88321167884</c:v>
                </c:pt>
                <c:pt idx="41">
                  <c:v>72104.879825200289</c:v>
                </c:pt>
                <c:pt idx="42">
                  <c:v>73037.790697674427</c:v>
                </c:pt>
                <c:pt idx="43">
                  <c:v>73966.642494561282</c:v>
                </c:pt>
                <c:pt idx="44">
                  <c:v>74891.461649782941</c:v>
                </c:pt>
                <c:pt idx="45">
                  <c:v>75812.274368231039</c:v>
                </c:pt>
                <c:pt idx="46">
                  <c:v>76729.10662824208</c:v>
                </c:pt>
                <c:pt idx="47">
                  <c:v>77641.984184040251</c:v>
                </c:pt>
                <c:pt idx="48">
                  <c:v>78550.932568149219</c:v>
                </c:pt>
                <c:pt idx="49">
                  <c:v>79455.977093772381</c:v>
                </c:pt>
                <c:pt idx="50">
                  <c:v>80357.142857142855</c:v>
                </c:pt>
                <c:pt idx="51">
                  <c:v>81254.454739843204</c:v>
                </c:pt>
                <c:pt idx="52">
                  <c:v>82147.937411095321</c:v>
                </c:pt>
                <c:pt idx="53">
                  <c:v>83037.61533002129</c:v>
                </c:pt>
                <c:pt idx="54">
                  <c:v>83923.512747875371</c:v>
                </c:pt>
                <c:pt idx="55">
                  <c:v>84805.653710247338</c:v>
                </c:pt>
                <c:pt idx="56">
                  <c:v>85684.062059238364</c:v>
                </c:pt>
                <c:pt idx="57">
                  <c:v>86558.761435608714</c:v>
                </c:pt>
                <c:pt idx="58">
                  <c:v>87429.775280898873</c:v>
                </c:pt>
                <c:pt idx="59">
                  <c:v>88297.12683952348</c:v>
                </c:pt>
                <c:pt idx="60">
                  <c:v>89160.839160839168</c:v>
                </c:pt>
                <c:pt idx="61">
                  <c:v>90020.935101186318</c:v>
                </c:pt>
                <c:pt idx="62">
                  <c:v>90877.437325905295</c:v>
                </c:pt>
                <c:pt idx="63">
                  <c:v>91730.3683113273</c:v>
                </c:pt>
                <c:pt idx="64">
                  <c:v>92579.750346740635</c:v>
                </c:pt>
                <c:pt idx="65">
                  <c:v>93425.605536332165</c:v>
                </c:pt>
                <c:pt idx="66">
                  <c:v>94267.955801104981</c:v>
                </c:pt>
                <c:pt idx="67">
                  <c:v>95106.822880771884</c:v>
                </c:pt>
                <c:pt idx="68">
                  <c:v>95942.228335625856</c:v>
                </c:pt>
                <c:pt idx="69">
                  <c:v>96774.193548387091</c:v>
                </c:pt>
                <c:pt idx="70">
                  <c:v>97602.739726027401</c:v>
                </c:pt>
                <c:pt idx="71">
                  <c:v>98427.887901572118</c:v>
                </c:pt>
                <c:pt idx="72">
                  <c:v>99249.658935879939</c:v>
                </c:pt>
                <c:pt idx="73">
                  <c:v>100068.07351940096</c:v>
                </c:pt>
                <c:pt idx="74">
                  <c:v>100883.15217391304</c:v>
                </c:pt>
                <c:pt idx="75">
                  <c:v>101694.91525423728</c:v>
                </c:pt>
                <c:pt idx="76">
                  <c:v>102503.38294993233</c:v>
                </c:pt>
                <c:pt idx="77">
                  <c:v>103308.57528696825</c:v>
                </c:pt>
                <c:pt idx="78">
                  <c:v>104110.51212938005</c:v>
                </c:pt>
                <c:pt idx="79">
                  <c:v>104909.21318090115</c:v>
                </c:pt>
                <c:pt idx="80">
                  <c:v>105704.69798657719</c:v>
                </c:pt>
                <c:pt idx="81">
                  <c:v>106496.98593436035</c:v>
                </c:pt>
                <c:pt idx="82">
                  <c:v>107286.0962566845</c:v>
                </c:pt>
                <c:pt idx="83">
                  <c:v>108072.04803202134</c:v>
                </c:pt>
                <c:pt idx="84">
                  <c:v>108854.86018641811</c:v>
                </c:pt>
                <c:pt idx="85">
                  <c:v>109634.55149501661</c:v>
                </c:pt>
                <c:pt idx="86">
                  <c:v>110411.14058355438</c:v>
                </c:pt>
                <c:pt idx="87">
                  <c:v>111184.64592984777</c:v>
                </c:pt>
                <c:pt idx="88">
                  <c:v>111955.08586525761</c:v>
                </c:pt>
                <c:pt idx="89">
                  <c:v>112722.47857613712</c:v>
                </c:pt>
                <c:pt idx="90">
                  <c:v>113486.84210526315</c:v>
                </c:pt>
                <c:pt idx="91">
                  <c:v>114248.19435325016</c:v>
                </c:pt>
                <c:pt idx="92">
                  <c:v>115006.55307994758</c:v>
                </c:pt>
                <c:pt idx="93">
                  <c:v>115761.93590582081</c:v>
                </c:pt>
                <c:pt idx="94">
                  <c:v>116514.36031331592</c:v>
                </c:pt>
                <c:pt idx="95">
                  <c:v>117263.84364820845</c:v>
                </c:pt>
                <c:pt idx="96">
                  <c:v>118010.40312093629</c:v>
                </c:pt>
                <c:pt idx="97">
                  <c:v>118754.05580791696</c:v>
                </c:pt>
                <c:pt idx="98">
                  <c:v>119494.81865284975</c:v>
                </c:pt>
                <c:pt idx="99">
                  <c:v>120232.7084680026</c:v>
                </c:pt>
                <c:pt idx="100">
                  <c:v>120967.74193548386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98-A445-89F3-DA5C0A59A504}"/>
            </c:ext>
          </c:extLst>
        </c:ser>
        <c:ser>
          <c:idx val="2"/>
          <c:order val="2"/>
          <c:tx>
            <c:strRef>
              <c:f>Model!$P$171</c:f>
              <c:strCache>
                <c:ptCount val="1"/>
                <c:pt idx="0">
                  <c:v>Added Value over Control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Model!$M$172:$M$272</c:f>
              <c:numCache>
                <c:formatCode>General</c:formatCode>
                <c:ptCount val="101"/>
                <c:pt idx="0">
                  <c:v>1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  <c:pt idx="26">
                  <c:v>312</c:v>
                </c:pt>
                <c:pt idx="27">
                  <c:v>324</c:v>
                </c:pt>
                <c:pt idx="28">
                  <c:v>336</c:v>
                </c:pt>
                <c:pt idx="29">
                  <c:v>348</c:v>
                </c:pt>
                <c:pt idx="30">
                  <c:v>360</c:v>
                </c:pt>
                <c:pt idx="31">
                  <c:v>372</c:v>
                </c:pt>
                <c:pt idx="32">
                  <c:v>384</c:v>
                </c:pt>
                <c:pt idx="33">
                  <c:v>396</c:v>
                </c:pt>
                <c:pt idx="34">
                  <c:v>408</c:v>
                </c:pt>
                <c:pt idx="35">
                  <c:v>420</c:v>
                </c:pt>
                <c:pt idx="36">
                  <c:v>432</c:v>
                </c:pt>
                <c:pt idx="37">
                  <c:v>444</c:v>
                </c:pt>
                <c:pt idx="38">
                  <c:v>456</c:v>
                </c:pt>
                <c:pt idx="39">
                  <c:v>468</c:v>
                </c:pt>
                <c:pt idx="40">
                  <c:v>480</c:v>
                </c:pt>
                <c:pt idx="41">
                  <c:v>492</c:v>
                </c:pt>
                <c:pt idx="42">
                  <c:v>504</c:v>
                </c:pt>
                <c:pt idx="43">
                  <c:v>516</c:v>
                </c:pt>
                <c:pt idx="44">
                  <c:v>528</c:v>
                </c:pt>
                <c:pt idx="45">
                  <c:v>540</c:v>
                </c:pt>
                <c:pt idx="46">
                  <c:v>552</c:v>
                </c:pt>
                <c:pt idx="47">
                  <c:v>564</c:v>
                </c:pt>
                <c:pt idx="48">
                  <c:v>576</c:v>
                </c:pt>
                <c:pt idx="49">
                  <c:v>588</c:v>
                </c:pt>
                <c:pt idx="50">
                  <c:v>600</c:v>
                </c:pt>
                <c:pt idx="51">
                  <c:v>612</c:v>
                </c:pt>
                <c:pt idx="52">
                  <c:v>624</c:v>
                </c:pt>
                <c:pt idx="53">
                  <c:v>636</c:v>
                </c:pt>
                <c:pt idx="54">
                  <c:v>648</c:v>
                </c:pt>
                <c:pt idx="55">
                  <c:v>660</c:v>
                </c:pt>
                <c:pt idx="56">
                  <c:v>672</c:v>
                </c:pt>
                <c:pt idx="57">
                  <c:v>684</c:v>
                </c:pt>
                <c:pt idx="58">
                  <c:v>696</c:v>
                </c:pt>
                <c:pt idx="59">
                  <c:v>708</c:v>
                </c:pt>
                <c:pt idx="60">
                  <c:v>720</c:v>
                </c:pt>
                <c:pt idx="61">
                  <c:v>732</c:v>
                </c:pt>
                <c:pt idx="62">
                  <c:v>744</c:v>
                </c:pt>
                <c:pt idx="63">
                  <c:v>756</c:v>
                </c:pt>
                <c:pt idx="64">
                  <c:v>768</c:v>
                </c:pt>
                <c:pt idx="65">
                  <c:v>780</c:v>
                </c:pt>
                <c:pt idx="66">
                  <c:v>792</c:v>
                </c:pt>
                <c:pt idx="67">
                  <c:v>804</c:v>
                </c:pt>
                <c:pt idx="68">
                  <c:v>816</c:v>
                </c:pt>
                <c:pt idx="69">
                  <c:v>828</c:v>
                </c:pt>
                <c:pt idx="70">
                  <c:v>840</c:v>
                </c:pt>
                <c:pt idx="71">
                  <c:v>852</c:v>
                </c:pt>
                <c:pt idx="72">
                  <c:v>864</c:v>
                </c:pt>
                <c:pt idx="73">
                  <c:v>876</c:v>
                </c:pt>
                <c:pt idx="74">
                  <c:v>888</c:v>
                </c:pt>
                <c:pt idx="75">
                  <c:v>900</c:v>
                </c:pt>
                <c:pt idx="76">
                  <c:v>912</c:v>
                </c:pt>
                <c:pt idx="77">
                  <c:v>924</c:v>
                </c:pt>
                <c:pt idx="78">
                  <c:v>936</c:v>
                </c:pt>
                <c:pt idx="79">
                  <c:v>948</c:v>
                </c:pt>
                <c:pt idx="80">
                  <c:v>960</c:v>
                </c:pt>
                <c:pt idx="81">
                  <c:v>972</c:v>
                </c:pt>
                <c:pt idx="82">
                  <c:v>984</c:v>
                </c:pt>
                <c:pt idx="83">
                  <c:v>996</c:v>
                </c:pt>
                <c:pt idx="84">
                  <c:v>1008</c:v>
                </c:pt>
                <c:pt idx="85">
                  <c:v>1020</c:v>
                </c:pt>
                <c:pt idx="86">
                  <c:v>1032</c:v>
                </c:pt>
                <c:pt idx="87">
                  <c:v>1044</c:v>
                </c:pt>
                <c:pt idx="88">
                  <c:v>1056</c:v>
                </c:pt>
                <c:pt idx="89">
                  <c:v>1068</c:v>
                </c:pt>
                <c:pt idx="90">
                  <c:v>1080</c:v>
                </c:pt>
                <c:pt idx="91">
                  <c:v>1092</c:v>
                </c:pt>
                <c:pt idx="92">
                  <c:v>1104</c:v>
                </c:pt>
                <c:pt idx="93">
                  <c:v>1116</c:v>
                </c:pt>
                <c:pt idx="94">
                  <c:v>1128</c:v>
                </c:pt>
                <c:pt idx="95">
                  <c:v>1140</c:v>
                </c:pt>
                <c:pt idx="96">
                  <c:v>1152</c:v>
                </c:pt>
                <c:pt idx="97">
                  <c:v>1164</c:v>
                </c:pt>
                <c:pt idx="98">
                  <c:v>1176</c:v>
                </c:pt>
                <c:pt idx="99">
                  <c:v>1188</c:v>
                </c:pt>
                <c:pt idx="100">
                  <c:v>1200</c:v>
                </c:pt>
              </c:numCache>
            </c:numRef>
          </c:xVal>
          <c:yVal>
            <c:numRef>
              <c:f>Model!$P$172:$P$272</c:f>
              <c:numCache>
                <c:formatCode>"$"#,##0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98-A445-89F3-DA5C0A59A504}"/>
            </c:ext>
          </c:extLst>
        </c:ser>
        <c:ser>
          <c:idx val="3"/>
          <c:order val="3"/>
          <c:tx>
            <c:v>Current Value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Model!$C$287:$C$288</c:f>
              <c:numCache>
                <c:formatCode>General</c:formatCode>
                <c:ptCount val="2"/>
                <c:pt idx="0">
                  <c:v>500</c:v>
                </c:pt>
                <c:pt idx="1">
                  <c:v>500</c:v>
                </c:pt>
              </c:numCache>
            </c:numRef>
          </c:xVal>
          <c:yVal>
            <c:numRef>
              <c:f>Model!$D$287:$D$288</c:f>
              <c:numCache>
                <c:formatCode>"$"#,##0</c:formatCode>
                <c:ptCount val="2"/>
                <c:pt idx="0" formatCode="General">
                  <c:v>0</c:v>
                </c:pt>
                <c:pt idx="1">
                  <c:v>120967.74193548386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06-0249-93D7-1C2C754D1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541648"/>
        <c:axId val="357808496"/>
      </c:scatterChart>
      <c:valAx>
        <c:axId val="74354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Posterior Scale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08496"/>
        <c:crosses val="autoZero"/>
        <c:crossBetween val="midCat"/>
      </c:valAx>
      <c:valAx>
        <c:axId val="3578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4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Model!$B$282</c:f>
          <c:strCache>
            <c:ptCount val="1"/>
            <c:pt idx="0">
              <c:v>Sensitivity to button-click on home page in Control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Model!$N$170</c:f>
              <c:strCache>
                <c:ptCount val="1"/>
                <c:pt idx="0">
                  <c:v>Net Value of Experiment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Model!$S$172:$S$272</c:f>
              <c:numCache>
                <c:formatCode>General</c:formatCode>
                <c:ptCount val="101"/>
                <c:pt idx="0">
                  <c:v>1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  <c:pt idx="26">
                  <c:v>312</c:v>
                </c:pt>
                <c:pt idx="27">
                  <c:v>324</c:v>
                </c:pt>
                <c:pt idx="28">
                  <c:v>336</c:v>
                </c:pt>
                <c:pt idx="29">
                  <c:v>348</c:v>
                </c:pt>
                <c:pt idx="30">
                  <c:v>360</c:v>
                </c:pt>
                <c:pt idx="31">
                  <c:v>372</c:v>
                </c:pt>
                <c:pt idx="32">
                  <c:v>384</c:v>
                </c:pt>
                <c:pt idx="33">
                  <c:v>396</c:v>
                </c:pt>
                <c:pt idx="34">
                  <c:v>408</c:v>
                </c:pt>
                <c:pt idx="35">
                  <c:v>420</c:v>
                </c:pt>
                <c:pt idx="36">
                  <c:v>432</c:v>
                </c:pt>
                <c:pt idx="37">
                  <c:v>444</c:v>
                </c:pt>
                <c:pt idx="38">
                  <c:v>456</c:v>
                </c:pt>
                <c:pt idx="39">
                  <c:v>468</c:v>
                </c:pt>
                <c:pt idx="40">
                  <c:v>480</c:v>
                </c:pt>
                <c:pt idx="41">
                  <c:v>492</c:v>
                </c:pt>
                <c:pt idx="42">
                  <c:v>504</c:v>
                </c:pt>
                <c:pt idx="43">
                  <c:v>516</c:v>
                </c:pt>
                <c:pt idx="44">
                  <c:v>528</c:v>
                </c:pt>
                <c:pt idx="45">
                  <c:v>540</c:v>
                </c:pt>
                <c:pt idx="46">
                  <c:v>552</c:v>
                </c:pt>
                <c:pt idx="47">
                  <c:v>564</c:v>
                </c:pt>
                <c:pt idx="48">
                  <c:v>576</c:v>
                </c:pt>
                <c:pt idx="49">
                  <c:v>588</c:v>
                </c:pt>
                <c:pt idx="50">
                  <c:v>600</c:v>
                </c:pt>
                <c:pt idx="51">
                  <c:v>612</c:v>
                </c:pt>
                <c:pt idx="52">
                  <c:v>624</c:v>
                </c:pt>
                <c:pt idx="53">
                  <c:v>636</c:v>
                </c:pt>
                <c:pt idx="54">
                  <c:v>648</c:v>
                </c:pt>
                <c:pt idx="55">
                  <c:v>660</c:v>
                </c:pt>
                <c:pt idx="56">
                  <c:v>672</c:v>
                </c:pt>
                <c:pt idx="57">
                  <c:v>684</c:v>
                </c:pt>
                <c:pt idx="58">
                  <c:v>696</c:v>
                </c:pt>
                <c:pt idx="59">
                  <c:v>708</c:v>
                </c:pt>
                <c:pt idx="60">
                  <c:v>720</c:v>
                </c:pt>
                <c:pt idx="61">
                  <c:v>732</c:v>
                </c:pt>
                <c:pt idx="62">
                  <c:v>744</c:v>
                </c:pt>
                <c:pt idx="63">
                  <c:v>756</c:v>
                </c:pt>
                <c:pt idx="64">
                  <c:v>768</c:v>
                </c:pt>
                <c:pt idx="65">
                  <c:v>780</c:v>
                </c:pt>
                <c:pt idx="66">
                  <c:v>792</c:v>
                </c:pt>
                <c:pt idx="67">
                  <c:v>804</c:v>
                </c:pt>
                <c:pt idx="68">
                  <c:v>816</c:v>
                </c:pt>
                <c:pt idx="69">
                  <c:v>828</c:v>
                </c:pt>
                <c:pt idx="70">
                  <c:v>840</c:v>
                </c:pt>
                <c:pt idx="71">
                  <c:v>852</c:v>
                </c:pt>
                <c:pt idx="72">
                  <c:v>864</c:v>
                </c:pt>
                <c:pt idx="73">
                  <c:v>876</c:v>
                </c:pt>
                <c:pt idx="74">
                  <c:v>888</c:v>
                </c:pt>
                <c:pt idx="75">
                  <c:v>900</c:v>
                </c:pt>
                <c:pt idx="76">
                  <c:v>912</c:v>
                </c:pt>
                <c:pt idx="77">
                  <c:v>924</c:v>
                </c:pt>
                <c:pt idx="78">
                  <c:v>936</c:v>
                </c:pt>
                <c:pt idx="79">
                  <c:v>948</c:v>
                </c:pt>
                <c:pt idx="80">
                  <c:v>960</c:v>
                </c:pt>
                <c:pt idx="81">
                  <c:v>972</c:v>
                </c:pt>
                <c:pt idx="82">
                  <c:v>984</c:v>
                </c:pt>
                <c:pt idx="83">
                  <c:v>996</c:v>
                </c:pt>
                <c:pt idx="84">
                  <c:v>1008</c:v>
                </c:pt>
                <c:pt idx="85">
                  <c:v>1020</c:v>
                </c:pt>
                <c:pt idx="86">
                  <c:v>1032</c:v>
                </c:pt>
                <c:pt idx="87">
                  <c:v>1044</c:v>
                </c:pt>
                <c:pt idx="88">
                  <c:v>1056</c:v>
                </c:pt>
                <c:pt idx="89">
                  <c:v>1068</c:v>
                </c:pt>
                <c:pt idx="90">
                  <c:v>1080</c:v>
                </c:pt>
                <c:pt idx="91">
                  <c:v>1092</c:v>
                </c:pt>
                <c:pt idx="92">
                  <c:v>1104</c:v>
                </c:pt>
                <c:pt idx="93">
                  <c:v>1116</c:v>
                </c:pt>
                <c:pt idx="94">
                  <c:v>1128</c:v>
                </c:pt>
                <c:pt idx="95">
                  <c:v>1140</c:v>
                </c:pt>
                <c:pt idx="96">
                  <c:v>1152</c:v>
                </c:pt>
                <c:pt idx="97">
                  <c:v>1164</c:v>
                </c:pt>
                <c:pt idx="98">
                  <c:v>1176</c:v>
                </c:pt>
                <c:pt idx="99">
                  <c:v>1188</c:v>
                </c:pt>
                <c:pt idx="100">
                  <c:v>1200</c:v>
                </c:pt>
              </c:numCache>
            </c:numRef>
          </c:xVal>
          <c:yVal>
            <c:numRef>
              <c:f>Model!$T$172:$T$272</c:f>
              <c:numCache>
                <c:formatCode>"$"#,##0</c:formatCode>
                <c:ptCount val="101"/>
                <c:pt idx="0">
                  <c:v>61818.181818181823</c:v>
                </c:pt>
                <c:pt idx="1">
                  <c:v>61818.181818181823</c:v>
                </c:pt>
                <c:pt idx="2">
                  <c:v>61818.181818181823</c:v>
                </c:pt>
                <c:pt idx="3">
                  <c:v>61818.181818181823</c:v>
                </c:pt>
                <c:pt idx="4">
                  <c:v>61818.181818181823</c:v>
                </c:pt>
                <c:pt idx="5">
                  <c:v>61818.181818181823</c:v>
                </c:pt>
                <c:pt idx="6">
                  <c:v>61818.181818181823</c:v>
                </c:pt>
                <c:pt idx="7">
                  <c:v>61818.181818181823</c:v>
                </c:pt>
                <c:pt idx="8">
                  <c:v>61818.181818181823</c:v>
                </c:pt>
                <c:pt idx="9">
                  <c:v>61818.181818181823</c:v>
                </c:pt>
                <c:pt idx="10">
                  <c:v>61818.181818181823</c:v>
                </c:pt>
                <c:pt idx="11">
                  <c:v>61818.181818181823</c:v>
                </c:pt>
                <c:pt idx="12">
                  <c:v>61818.181818181823</c:v>
                </c:pt>
                <c:pt idx="13">
                  <c:v>61818.181818181823</c:v>
                </c:pt>
                <c:pt idx="14">
                  <c:v>61818.181818181823</c:v>
                </c:pt>
                <c:pt idx="15">
                  <c:v>61818.181818181823</c:v>
                </c:pt>
                <c:pt idx="16">
                  <c:v>61818.181818181823</c:v>
                </c:pt>
                <c:pt idx="17">
                  <c:v>61818.181818181823</c:v>
                </c:pt>
                <c:pt idx="18">
                  <c:v>61818.181818181823</c:v>
                </c:pt>
                <c:pt idx="19">
                  <c:v>61818.181818181823</c:v>
                </c:pt>
                <c:pt idx="20">
                  <c:v>61818.181818181823</c:v>
                </c:pt>
                <c:pt idx="21">
                  <c:v>61818.181818181823</c:v>
                </c:pt>
                <c:pt idx="22">
                  <c:v>61818.181818181823</c:v>
                </c:pt>
                <c:pt idx="23">
                  <c:v>61818.181818181823</c:v>
                </c:pt>
                <c:pt idx="24">
                  <c:v>61818.181818181823</c:v>
                </c:pt>
                <c:pt idx="25">
                  <c:v>61818.181818181823</c:v>
                </c:pt>
                <c:pt idx="26">
                  <c:v>61818.181818181823</c:v>
                </c:pt>
                <c:pt idx="27">
                  <c:v>61818.181818181823</c:v>
                </c:pt>
                <c:pt idx="28">
                  <c:v>61818.181818181823</c:v>
                </c:pt>
                <c:pt idx="29">
                  <c:v>61818.181818181823</c:v>
                </c:pt>
                <c:pt idx="30">
                  <c:v>61818.181818181823</c:v>
                </c:pt>
                <c:pt idx="31">
                  <c:v>61818.181818181823</c:v>
                </c:pt>
                <c:pt idx="32">
                  <c:v>61818.181818181823</c:v>
                </c:pt>
                <c:pt idx="33">
                  <c:v>61818.181818181823</c:v>
                </c:pt>
                <c:pt idx="34">
                  <c:v>61818.181818181823</c:v>
                </c:pt>
                <c:pt idx="35">
                  <c:v>61818.181818181823</c:v>
                </c:pt>
                <c:pt idx="36">
                  <c:v>61818.181818181823</c:v>
                </c:pt>
                <c:pt idx="37">
                  <c:v>61818.181818181823</c:v>
                </c:pt>
                <c:pt idx="38">
                  <c:v>61818.181818181823</c:v>
                </c:pt>
                <c:pt idx="39">
                  <c:v>61818.181818181823</c:v>
                </c:pt>
                <c:pt idx="40">
                  <c:v>61818.181818181823</c:v>
                </c:pt>
                <c:pt idx="41">
                  <c:v>61818.181818181823</c:v>
                </c:pt>
                <c:pt idx="42">
                  <c:v>61818.181818181823</c:v>
                </c:pt>
                <c:pt idx="43">
                  <c:v>61818.181818181823</c:v>
                </c:pt>
                <c:pt idx="44">
                  <c:v>61818.181818181823</c:v>
                </c:pt>
                <c:pt idx="45">
                  <c:v>61818.181818181823</c:v>
                </c:pt>
                <c:pt idx="46">
                  <c:v>61818.181818181823</c:v>
                </c:pt>
                <c:pt idx="47">
                  <c:v>61818.181818181823</c:v>
                </c:pt>
                <c:pt idx="48">
                  <c:v>61818.181818181823</c:v>
                </c:pt>
                <c:pt idx="49">
                  <c:v>61818.181818181823</c:v>
                </c:pt>
                <c:pt idx="50">
                  <c:v>61818.181818181823</c:v>
                </c:pt>
                <c:pt idx="51">
                  <c:v>61818.181818181823</c:v>
                </c:pt>
                <c:pt idx="52">
                  <c:v>61818.181818181823</c:v>
                </c:pt>
                <c:pt idx="53">
                  <c:v>61818.181818181823</c:v>
                </c:pt>
                <c:pt idx="54">
                  <c:v>61818.181818181823</c:v>
                </c:pt>
                <c:pt idx="55">
                  <c:v>61818.181818181823</c:v>
                </c:pt>
                <c:pt idx="56">
                  <c:v>61818.181818181823</c:v>
                </c:pt>
                <c:pt idx="57">
                  <c:v>61818.181818181823</c:v>
                </c:pt>
                <c:pt idx="58">
                  <c:v>61818.181818181823</c:v>
                </c:pt>
                <c:pt idx="59">
                  <c:v>61818.181818181823</c:v>
                </c:pt>
                <c:pt idx="60">
                  <c:v>61818.181818181823</c:v>
                </c:pt>
                <c:pt idx="61">
                  <c:v>61818.181818181823</c:v>
                </c:pt>
                <c:pt idx="62">
                  <c:v>61818.181818181823</c:v>
                </c:pt>
                <c:pt idx="63">
                  <c:v>61818.181818181823</c:v>
                </c:pt>
                <c:pt idx="64">
                  <c:v>61818.181818181823</c:v>
                </c:pt>
                <c:pt idx="65">
                  <c:v>61818.181818181823</c:v>
                </c:pt>
                <c:pt idx="66">
                  <c:v>61818.181818181823</c:v>
                </c:pt>
                <c:pt idx="67">
                  <c:v>61818.181818181823</c:v>
                </c:pt>
                <c:pt idx="68">
                  <c:v>61818.181818181823</c:v>
                </c:pt>
                <c:pt idx="69">
                  <c:v>61818.181818181823</c:v>
                </c:pt>
                <c:pt idx="70">
                  <c:v>61818.181818181823</c:v>
                </c:pt>
                <c:pt idx="71">
                  <c:v>61818.181818181823</c:v>
                </c:pt>
                <c:pt idx="72">
                  <c:v>61818.181818181823</c:v>
                </c:pt>
                <c:pt idx="73">
                  <c:v>61818.181818181823</c:v>
                </c:pt>
                <c:pt idx="74">
                  <c:v>61818.181818181823</c:v>
                </c:pt>
                <c:pt idx="75">
                  <c:v>61818.181818181823</c:v>
                </c:pt>
                <c:pt idx="76">
                  <c:v>61818.181818181823</c:v>
                </c:pt>
                <c:pt idx="77">
                  <c:v>61818.181818181823</c:v>
                </c:pt>
                <c:pt idx="78">
                  <c:v>61818.181818181823</c:v>
                </c:pt>
                <c:pt idx="79">
                  <c:v>61818.181818181823</c:v>
                </c:pt>
                <c:pt idx="80">
                  <c:v>61818.181818181823</c:v>
                </c:pt>
                <c:pt idx="81">
                  <c:v>61818.181818181823</c:v>
                </c:pt>
                <c:pt idx="82">
                  <c:v>61818.181818181823</c:v>
                </c:pt>
                <c:pt idx="83">
                  <c:v>61818.181818181823</c:v>
                </c:pt>
                <c:pt idx="84">
                  <c:v>61818.181818181823</c:v>
                </c:pt>
                <c:pt idx="85">
                  <c:v>61818.181818181823</c:v>
                </c:pt>
                <c:pt idx="86">
                  <c:v>61818.181818181823</c:v>
                </c:pt>
                <c:pt idx="87">
                  <c:v>61818.181818181823</c:v>
                </c:pt>
                <c:pt idx="88">
                  <c:v>61818.181818181823</c:v>
                </c:pt>
                <c:pt idx="89">
                  <c:v>61818.181818181823</c:v>
                </c:pt>
                <c:pt idx="90">
                  <c:v>61818.181818181823</c:v>
                </c:pt>
                <c:pt idx="91">
                  <c:v>61818.181818181823</c:v>
                </c:pt>
                <c:pt idx="92">
                  <c:v>61818.181818181823</c:v>
                </c:pt>
                <c:pt idx="93">
                  <c:v>61818.181818181823</c:v>
                </c:pt>
                <c:pt idx="94">
                  <c:v>61818.181818181823</c:v>
                </c:pt>
                <c:pt idx="95">
                  <c:v>61818.181818181823</c:v>
                </c:pt>
                <c:pt idx="96">
                  <c:v>61818.181818181823</c:v>
                </c:pt>
                <c:pt idx="97">
                  <c:v>61818.181818181823</c:v>
                </c:pt>
                <c:pt idx="98">
                  <c:v>61818.181818181823</c:v>
                </c:pt>
                <c:pt idx="99">
                  <c:v>61818.181818181823</c:v>
                </c:pt>
                <c:pt idx="100">
                  <c:v>61818.181818181823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85-904A-A8B3-ED589A2D2780}"/>
            </c:ext>
          </c:extLst>
        </c:ser>
        <c:ser>
          <c:idx val="1"/>
          <c:order val="1"/>
          <c:tx>
            <c:strRef>
              <c:f>Model!$O$170</c:f>
              <c:strCache>
                <c:ptCount val="1"/>
                <c:pt idx="0">
                  <c:v>Value through Control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Model!$S$172:$S$272</c:f>
              <c:numCache>
                <c:formatCode>General</c:formatCode>
                <c:ptCount val="101"/>
                <c:pt idx="0">
                  <c:v>1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  <c:pt idx="26">
                  <c:v>312</c:v>
                </c:pt>
                <c:pt idx="27">
                  <c:v>324</c:v>
                </c:pt>
                <c:pt idx="28">
                  <c:v>336</c:v>
                </c:pt>
                <c:pt idx="29">
                  <c:v>348</c:v>
                </c:pt>
                <c:pt idx="30">
                  <c:v>360</c:v>
                </c:pt>
                <c:pt idx="31">
                  <c:v>372</c:v>
                </c:pt>
                <c:pt idx="32">
                  <c:v>384</c:v>
                </c:pt>
                <c:pt idx="33">
                  <c:v>396</c:v>
                </c:pt>
                <c:pt idx="34">
                  <c:v>408</c:v>
                </c:pt>
                <c:pt idx="35">
                  <c:v>420</c:v>
                </c:pt>
                <c:pt idx="36">
                  <c:v>432</c:v>
                </c:pt>
                <c:pt idx="37">
                  <c:v>444</c:v>
                </c:pt>
                <c:pt idx="38">
                  <c:v>456</c:v>
                </c:pt>
                <c:pt idx="39">
                  <c:v>468</c:v>
                </c:pt>
                <c:pt idx="40">
                  <c:v>480</c:v>
                </c:pt>
                <c:pt idx="41">
                  <c:v>492</c:v>
                </c:pt>
                <c:pt idx="42">
                  <c:v>504</c:v>
                </c:pt>
                <c:pt idx="43">
                  <c:v>516</c:v>
                </c:pt>
                <c:pt idx="44">
                  <c:v>528</c:v>
                </c:pt>
                <c:pt idx="45">
                  <c:v>540</c:v>
                </c:pt>
                <c:pt idx="46">
                  <c:v>552</c:v>
                </c:pt>
                <c:pt idx="47">
                  <c:v>564</c:v>
                </c:pt>
                <c:pt idx="48">
                  <c:v>576</c:v>
                </c:pt>
                <c:pt idx="49">
                  <c:v>588</c:v>
                </c:pt>
                <c:pt idx="50">
                  <c:v>600</c:v>
                </c:pt>
                <c:pt idx="51">
                  <c:v>612</c:v>
                </c:pt>
                <c:pt idx="52">
                  <c:v>624</c:v>
                </c:pt>
                <c:pt idx="53">
                  <c:v>636</c:v>
                </c:pt>
                <c:pt idx="54">
                  <c:v>648</c:v>
                </c:pt>
                <c:pt idx="55">
                  <c:v>660</c:v>
                </c:pt>
                <c:pt idx="56">
                  <c:v>672</c:v>
                </c:pt>
                <c:pt idx="57">
                  <c:v>684</c:v>
                </c:pt>
                <c:pt idx="58">
                  <c:v>696</c:v>
                </c:pt>
                <c:pt idx="59">
                  <c:v>708</c:v>
                </c:pt>
                <c:pt idx="60">
                  <c:v>720</c:v>
                </c:pt>
                <c:pt idx="61">
                  <c:v>732</c:v>
                </c:pt>
                <c:pt idx="62">
                  <c:v>744</c:v>
                </c:pt>
                <c:pt idx="63">
                  <c:v>756</c:v>
                </c:pt>
                <c:pt idx="64">
                  <c:v>768</c:v>
                </c:pt>
                <c:pt idx="65">
                  <c:v>780</c:v>
                </c:pt>
                <c:pt idx="66">
                  <c:v>792</c:v>
                </c:pt>
                <c:pt idx="67">
                  <c:v>804</c:v>
                </c:pt>
                <c:pt idx="68">
                  <c:v>816</c:v>
                </c:pt>
                <c:pt idx="69">
                  <c:v>828</c:v>
                </c:pt>
                <c:pt idx="70">
                  <c:v>840</c:v>
                </c:pt>
                <c:pt idx="71">
                  <c:v>852</c:v>
                </c:pt>
                <c:pt idx="72">
                  <c:v>864</c:v>
                </c:pt>
                <c:pt idx="73">
                  <c:v>876</c:v>
                </c:pt>
                <c:pt idx="74">
                  <c:v>888</c:v>
                </c:pt>
                <c:pt idx="75">
                  <c:v>900</c:v>
                </c:pt>
                <c:pt idx="76">
                  <c:v>912</c:v>
                </c:pt>
                <c:pt idx="77">
                  <c:v>924</c:v>
                </c:pt>
                <c:pt idx="78">
                  <c:v>936</c:v>
                </c:pt>
                <c:pt idx="79">
                  <c:v>948</c:v>
                </c:pt>
                <c:pt idx="80">
                  <c:v>960</c:v>
                </c:pt>
                <c:pt idx="81">
                  <c:v>972</c:v>
                </c:pt>
                <c:pt idx="82">
                  <c:v>984</c:v>
                </c:pt>
                <c:pt idx="83">
                  <c:v>996</c:v>
                </c:pt>
                <c:pt idx="84">
                  <c:v>1008</c:v>
                </c:pt>
                <c:pt idx="85">
                  <c:v>1020</c:v>
                </c:pt>
                <c:pt idx="86">
                  <c:v>1032</c:v>
                </c:pt>
                <c:pt idx="87">
                  <c:v>1044</c:v>
                </c:pt>
                <c:pt idx="88">
                  <c:v>1056</c:v>
                </c:pt>
                <c:pt idx="89">
                  <c:v>1068</c:v>
                </c:pt>
                <c:pt idx="90">
                  <c:v>1080</c:v>
                </c:pt>
                <c:pt idx="91">
                  <c:v>1092</c:v>
                </c:pt>
                <c:pt idx="92">
                  <c:v>1104</c:v>
                </c:pt>
                <c:pt idx="93">
                  <c:v>1116</c:v>
                </c:pt>
                <c:pt idx="94">
                  <c:v>1128</c:v>
                </c:pt>
                <c:pt idx="95">
                  <c:v>1140</c:v>
                </c:pt>
                <c:pt idx="96">
                  <c:v>1152</c:v>
                </c:pt>
                <c:pt idx="97">
                  <c:v>1164</c:v>
                </c:pt>
                <c:pt idx="98">
                  <c:v>1176</c:v>
                </c:pt>
                <c:pt idx="99">
                  <c:v>1188</c:v>
                </c:pt>
                <c:pt idx="100">
                  <c:v>1200</c:v>
                </c:pt>
              </c:numCache>
            </c:numRef>
          </c:xVal>
          <c:yVal>
            <c:numRef>
              <c:f>Model!$U$172:$U$272</c:f>
              <c:numCache>
                <c:formatCode>"$"#,##0</c:formatCode>
                <c:ptCount val="101"/>
                <c:pt idx="0">
                  <c:v>45545.454545454551</c:v>
                </c:pt>
                <c:pt idx="1">
                  <c:v>46545.454545454551</c:v>
                </c:pt>
                <c:pt idx="2">
                  <c:v>47636.36363636364</c:v>
                </c:pt>
                <c:pt idx="3">
                  <c:v>48727.272727272728</c:v>
                </c:pt>
                <c:pt idx="4">
                  <c:v>49818.181818181823</c:v>
                </c:pt>
                <c:pt idx="5">
                  <c:v>50909.090909090912</c:v>
                </c:pt>
                <c:pt idx="6">
                  <c:v>52000</c:v>
                </c:pt>
                <c:pt idx="7">
                  <c:v>53090.909090909081</c:v>
                </c:pt>
                <c:pt idx="8">
                  <c:v>54181.818181818177</c:v>
                </c:pt>
                <c:pt idx="9">
                  <c:v>55272.727272727272</c:v>
                </c:pt>
                <c:pt idx="10">
                  <c:v>56363.636363636368</c:v>
                </c:pt>
                <c:pt idx="11">
                  <c:v>57454.545454545456</c:v>
                </c:pt>
                <c:pt idx="12">
                  <c:v>58545.454545454544</c:v>
                </c:pt>
                <c:pt idx="13">
                  <c:v>59636.36363636364</c:v>
                </c:pt>
                <c:pt idx="14">
                  <c:v>60727.272727272735</c:v>
                </c:pt>
                <c:pt idx="15">
                  <c:v>61818.181818181816</c:v>
                </c:pt>
                <c:pt idx="16">
                  <c:v>62909.090909090897</c:v>
                </c:pt>
                <c:pt idx="17">
                  <c:v>64000</c:v>
                </c:pt>
                <c:pt idx="18">
                  <c:v>65090.909090909088</c:v>
                </c:pt>
                <c:pt idx="19">
                  <c:v>66181.818181818177</c:v>
                </c:pt>
                <c:pt idx="20">
                  <c:v>67272.727272727279</c:v>
                </c:pt>
                <c:pt idx="21">
                  <c:v>68363.636363636368</c:v>
                </c:pt>
                <c:pt idx="22">
                  <c:v>69454.545454545456</c:v>
                </c:pt>
                <c:pt idx="23">
                  <c:v>70545.454545454544</c:v>
                </c:pt>
                <c:pt idx="24">
                  <c:v>71636.363636363632</c:v>
                </c:pt>
                <c:pt idx="25">
                  <c:v>72727.272727272735</c:v>
                </c:pt>
                <c:pt idx="26">
                  <c:v>73818.181818181823</c:v>
                </c:pt>
                <c:pt idx="27">
                  <c:v>74909.090909090912</c:v>
                </c:pt>
                <c:pt idx="28">
                  <c:v>76000.000000000015</c:v>
                </c:pt>
                <c:pt idx="29">
                  <c:v>77090.909090909088</c:v>
                </c:pt>
                <c:pt idx="30">
                  <c:v>78181.818181818191</c:v>
                </c:pt>
                <c:pt idx="31">
                  <c:v>79272.727272727279</c:v>
                </c:pt>
                <c:pt idx="32">
                  <c:v>80363.636363636353</c:v>
                </c:pt>
                <c:pt idx="33">
                  <c:v>81454.545454545456</c:v>
                </c:pt>
                <c:pt idx="34">
                  <c:v>82545.45454545453</c:v>
                </c:pt>
                <c:pt idx="35">
                  <c:v>83636.363636363632</c:v>
                </c:pt>
                <c:pt idx="36">
                  <c:v>84727.272727272721</c:v>
                </c:pt>
                <c:pt idx="37">
                  <c:v>85818.181818181809</c:v>
                </c:pt>
                <c:pt idx="38">
                  <c:v>86909.090909090912</c:v>
                </c:pt>
                <c:pt idx="39">
                  <c:v>88000</c:v>
                </c:pt>
                <c:pt idx="40">
                  <c:v>89090.909090909103</c:v>
                </c:pt>
                <c:pt idx="41">
                  <c:v>90181.818181818177</c:v>
                </c:pt>
                <c:pt idx="42">
                  <c:v>91272.727272727265</c:v>
                </c:pt>
                <c:pt idx="43">
                  <c:v>92363.636363636368</c:v>
                </c:pt>
                <c:pt idx="44">
                  <c:v>93454.545454545456</c:v>
                </c:pt>
                <c:pt idx="45">
                  <c:v>94545.454545454544</c:v>
                </c:pt>
                <c:pt idx="46">
                  <c:v>95636.363636363647</c:v>
                </c:pt>
                <c:pt idx="47">
                  <c:v>96727.272727272735</c:v>
                </c:pt>
                <c:pt idx="48">
                  <c:v>97818.181818181823</c:v>
                </c:pt>
                <c:pt idx="49">
                  <c:v>98909.090909090912</c:v>
                </c:pt>
                <c:pt idx="50">
                  <c:v>100000</c:v>
                </c:pt>
                <c:pt idx="51">
                  <c:v>101090.9090909091</c:v>
                </c:pt>
                <c:pt idx="52">
                  <c:v>102181.81818181819</c:v>
                </c:pt>
                <c:pt idx="53">
                  <c:v>103272.72727272728</c:v>
                </c:pt>
                <c:pt idx="54">
                  <c:v>104363.63636363638</c:v>
                </c:pt>
                <c:pt idx="55">
                  <c:v>105454.54545454547</c:v>
                </c:pt>
                <c:pt idx="56">
                  <c:v>106545.45454545456</c:v>
                </c:pt>
                <c:pt idx="57">
                  <c:v>107636.36363636366</c:v>
                </c:pt>
                <c:pt idx="58">
                  <c:v>108727.27272727274</c:v>
                </c:pt>
                <c:pt idx="59">
                  <c:v>109818.18181818181</c:v>
                </c:pt>
                <c:pt idx="60">
                  <c:v>110909.0909090909</c:v>
                </c:pt>
                <c:pt idx="61">
                  <c:v>112000</c:v>
                </c:pt>
                <c:pt idx="62">
                  <c:v>113090.90909090909</c:v>
                </c:pt>
                <c:pt idx="63">
                  <c:v>114181.81818181818</c:v>
                </c:pt>
                <c:pt idx="64">
                  <c:v>115272.72727272728</c:v>
                </c:pt>
                <c:pt idx="65">
                  <c:v>116363.63636363637</c:v>
                </c:pt>
                <c:pt idx="66">
                  <c:v>117454.54545454547</c:v>
                </c:pt>
                <c:pt idx="67">
                  <c:v>118545.45454545454</c:v>
                </c:pt>
                <c:pt idx="68">
                  <c:v>119636.36363636362</c:v>
                </c:pt>
                <c:pt idx="69">
                  <c:v>120727.27272727271</c:v>
                </c:pt>
                <c:pt idx="70">
                  <c:v>121818.18181818181</c:v>
                </c:pt>
                <c:pt idx="71">
                  <c:v>122909.0909090909</c:v>
                </c:pt>
                <c:pt idx="72">
                  <c:v>123999.99999999999</c:v>
                </c:pt>
                <c:pt idx="73">
                  <c:v>125090.90909090909</c:v>
                </c:pt>
                <c:pt idx="74">
                  <c:v>126181.81818181818</c:v>
                </c:pt>
                <c:pt idx="75">
                  <c:v>127272.72727272726</c:v>
                </c:pt>
                <c:pt idx="76">
                  <c:v>128363.63636363635</c:v>
                </c:pt>
                <c:pt idx="77">
                  <c:v>129454.54545454546</c:v>
                </c:pt>
                <c:pt idx="78">
                  <c:v>130545.45454545454</c:v>
                </c:pt>
                <c:pt idx="79">
                  <c:v>131636.36363636365</c:v>
                </c:pt>
                <c:pt idx="80">
                  <c:v>132727.27272727274</c:v>
                </c:pt>
                <c:pt idx="81">
                  <c:v>133818.18181818179</c:v>
                </c:pt>
                <c:pt idx="82">
                  <c:v>134909.09090909088</c:v>
                </c:pt>
                <c:pt idx="83">
                  <c:v>136000</c:v>
                </c:pt>
                <c:pt idx="84">
                  <c:v>137090.90909090909</c:v>
                </c:pt>
                <c:pt idx="85">
                  <c:v>138181.81818181818</c:v>
                </c:pt>
                <c:pt idx="86">
                  <c:v>139272.72727272726</c:v>
                </c:pt>
                <c:pt idx="87">
                  <c:v>140363.63636363635</c:v>
                </c:pt>
                <c:pt idx="88">
                  <c:v>141454.54545454547</c:v>
                </c:pt>
                <c:pt idx="89">
                  <c:v>142545.45454545456</c:v>
                </c:pt>
                <c:pt idx="90">
                  <c:v>143636.36363636365</c:v>
                </c:pt>
                <c:pt idx="91">
                  <c:v>144727.27272727274</c:v>
                </c:pt>
                <c:pt idx="92">
                  <c:v>145818.18181818182</c:v>
                </c:pt>
                <c:pt idx="93">
                  <c:v>146909.09090909091</c:v>
                </c:pt>
                <c:pt idx="94">
                  <c:v>148000</c:v>
                </c:pt>
                <c:pt idx="95">
                  <c:v>149090.90909090909</c:v>
                </c:pt>
                <c:pt idx="96">
                  <c:v>150181.81818181818</c:v>
                </c:pt>
                <c:pt idx="97">
                  <c:v>151272.72727272726</c:v>
                </c:pt>
                <c:pt idx="98">
                  <c:v>152363.63636363638</c:v>
                </c:pt>
                <c:pt idx="99">
                  <c:v>153454.54545454544</c:v>
                </c:pt>
                <c:pt idx="100">
                  <c:v>154545.45454545453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85-904A-A8B3-ED589A2D2780}"/>
            </c:ext>
          </c:extLst>
        </c:ser>
        <c:ser>
          <c:idx val="2"/>
          <c:order val="2"/>
          <c:tx>
            <c:strRef>
              <c:f>Model!$P$171</c:f>
              <c:strCache>
                <c:ptCount val="1"/>
                <c:pt idx="0">
                  <c:v>Added Value over Control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Model!$S$172:$S$272</c:f>
              <c:numCache>
                <c:formatCode>General</c:formatCode>
                <c:ptCount val="101"/>
                <c:pt idx="0">
                  <c:v>1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  <c:pt idx="26">
                  <c:v>312</c:v>
                </c:pt>
                <c:pt idx="27">
                  <c:v>324</c:v>
                </c:pt>
                <c:pt idx="28">
                  <c:v>336</c:v>
                </c:pt>
                <c:pt idx="29">
                  <c:v>348</c:v>
                </c:pt>
                <c:pt idx="30">
                  <c:v>360</c:v>
                </c:pt>
                <c:pt idx="31">
                  <c:v>372</c:v>
                </c:pt>
                <c:pt idx="32">
                  <c:v>384</c:v>
                </c:pt>
                <c:pt idx="33">
                  <c:v>396</c:v>
                </c:pt>
                <c:pt idx="34">
                  <c:v>408</c:v>
                </c:pt>
                <c:pt idx="35">
                  <c:v>420</c:v>
                </c:pt>
                <c:pt idx="36">
                  <c:v>432</c:v>
                </c:pt>
                <c:pt idx="37">
                  <c:v>444</c:v>
                </c:pt>
                <c:pt idx="38">
                  <c:v>456</c:v>
                </c:pt>
                <c:pt idx="39">
                  <c:v>468</c:v>
                </c:pt>
                <c:pt idx="40">
                  <c:v>480</c:v>
                </c:pt>
                <c:pt idx="41">
                  <c:v>492</c:v>
                </c:pt>
                <c:pt idx="42">
                  <c:v>504</c:v>
                </c:pt>
                <c:pt idx="43">
                  <c:v>516</c:v>
                </c:pt>
                <c:pt idx="44">
                  <c:v>528</c:v>
                </c:pt>
                <c:pt idx="45">
                  <c:v>540</c:v>
                </c:pt>
                <c:pt idx="46">
                  <c:v>552</c:v>
                </c:pt>
                <c:pt idx="47">
                  <c:v>564</c:v>
                </c:pt>
                <c:pt idx="48">
                  <c:v>576</c:v>
                </c:pt>
                <c:pt idx="49">
                  <c:v>588</c:v>
                </c:pt>
                <c:pt idx="50">
                  <c:v>600</c:v>
                </c:pt>
                <c:pt idx="51">
                  <c:v>612</c:v>
                </c:pt>
                <c:pt idx="52">
                  <c:v>624</c:v>
                </c:pt>
                <c:pt idx="53">
                  <c:v>636</c:v>
                </c:pt>
                <c:pt idx="54">
                  <c:v>648</c:v>
                </c:pt>
                <c:pt idx="55">
                  <c:v>660</c:v>
                </c:pt>
                <c:pt idx="56">
                  <c:v>672</c:v>
                </c:pt>
                <c:pt idx="57">
                  <c:v>684</c:v>
                </c:pt>
                <c:pt idx="58">
                  <c:v>696</c:v>
                </c:pt>
                <c:pt idx="59">
                  <c:v>708</c:v>
                </c:pt>
                <c:pt idx="60">
                  <c:v>720</c:v>
                </c:pt>
                <c:pt idx="61">
                  <c:v>732</c:v>
                </c:pt>
                <c:pt idx="62">
                  <c:v>744</c:v>
                </c:pt>
                <c:pt idx="63">
                  <c:v>756</c:v>
                </c:pt>
                <c:pt idx="64">
                  <c:v>768</c:v>
                </c:pt>
                <c:pt idx="65">
                  <c:v>780</c:v>
                </c:pt>
                <c:pt idx="66">
                  <c:v>792</c:v>
                </c:pt>
                <c:pt idx="67">
                  <c:v>804</c:v>
                </c:pt>
                <c:pt idx="68">
                  <c:v>816</c:v>
                </c:pt>
                <c:pt idx="69">
                  <c:v>828</c:v>
                </c:pt>
                <c:pt idx="70">
                  <c:v>840</c:v>
                </c:pt>
                <c:pt idx="71">
                  <c:v>852</c:v>
                </c:pt>
                <c:pt idx="72">
                  <c:v>864</c:v>
                </c:pt>
                <c:pt idx="73">
                  <c:v>876</c:v>
                </c:pt>
                <c:pt idx="74">
                  <c:v>888</c:v>
                </c:pt>
                <c:pt idx="75">
                  <c:v>900</c:v>
                </c:pt>
                <c:pt idx="76">
                  <c:v>912</c:v>
                </c:pt>
                <c:pt idx="77">
                  <c:v>924</c:v>
                </c:pt>
                <c:pt idx="78">
                  <c:v>936</c:v>
                </c:pt>
                <c:pt idx="79">
                  <c:v>948</c:v>
                </c:pt>
                <c:pt idx="80">
                  <c:v>960</c:v>
                </c:pt>
                <c:pt idx="81">
                  <c:v>972</c:v>
                </c:pt>
                <c:pt idx="82">
                  <c:v>984</c:v>
                </c:pt>
                <c:pt idx="83">
                  <c:v>996</c:v>
                </c:pt>
                <c:pt idx="84">
                  <c:v>1008</c:v>
                </c:pt>
                <c:pt idx="85">
                  <c:v>1020</c:v>
                </c:pt>
                <c:pt idx="86">
                  <c:v>1032</c:v>
                </c:pt>
                <c:pt idx="87">
                  <c:v>1044</c:v>
                </c:pt>
                <c:pt idx="88">
                  <c:v>1056</c:v>
                </c:pt>
                <c:pt idx="89">
                  <c:v>1068</c:v>
                </c:pt>
                <c:pt idx="90">
                  <c:v>1080</c:v>
                </c:pt>
                <c:pt idx="91">
                  <c:v>1092</c:v>
                </c:pt>
                <c:pt idx="92">
                  <c:v>1104</c:v>
                </c:pt>
                <c:pt idx="93">
                  <c:v>1116</c:v>
                </c:pt>
                <c:pt idx="94">
                  <c:v>1128</c:v>
                </c:pt>
                <c:pt idx="95">
                  <c:v>1140</c:v>
                </c:pt>
                <c:pt idx="96">
                  <c:v>1152</c:v>
                </c:pt>
                <c:pt idx="97">
                  <c:v>1164</c:v>
                </c:pt>
                <c:pt idx="98">
                  <c:v>1176</c:v>
                </c:pt>
                <c:pt idx="99">
                  <c:v>1188</c:v>
                </c:pt>
                <c:pt idx="100">
                  <c:v>1200</c:v>
                </c:pt>
              </c:numCache>
            </c:numRef>
          </c:xVal>
          <c:yVal>
            <c:numRef>
              <c:f>Model!$V$172:$V$272</c:f>
              <c:numCache>
                <c:formatCode>"$"#,##0</c:formatCode>
                <c:ptCount val="101"/>
                <c:pt idx="0">
                  <c:v>16272.727272727272</c:v>
                </c:pt>
                <c:pt idx="1">
                  <c:v>15272.727272727272</c:v>
                </c:pt>
                <c:pt idx="2">
                  <c:v>14181.818181818184</c:v>
                </c:pt>
                <c:pt idx="3">
                  <c:v>13090.909090909096</c:v>
                </c:pt>
                <c:pt idx="4">
                  <c:v>12000</c:v>
                </c:pt>
                <c:pt idx="5">
                  <c:v>10909.090909090912</c:v>
                </c:pt>
                <c:pt idx="6">
                  <c:v>9818.1818181818235</c:v>
                </c:pt>
                <c:pt idx="7">
                  <c:v>8727.2727272727425</c:v>
                </c:pt>
                <c:pt idx="8">
                  <c:v>7636.3636363636469</c:v>
                </c:pt>
                <c:pt idx="9">
                  <c:v>6545.4545454545514</c:v>
                </c:pt>
                <c:pt idx="10">
                  <c:v>5454.5454545454559</c:v>
                </c:pt>
                <c:pt idx="11">
                  <c:v>4363.6363636363676</c:v>
                </c:pt>
                <c:pt idx="12">
                  <c:v>3272.7272727272793</c:v>
                </c:pt>
                <c:pt idx="13">
                  <c:v>2181.8181818181838</c:v>
                </c:pt>
                <c:pt idx="14">
                  <c:v>1090.9090909090883</c:v>
                </c:pt>
                <c:pt idx="15">
                  <c:v>7.2759576141834259E-12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85-904A-A8B3-ED589A2D2780}"/>
            </c:ext>
          </c:extLst>
        </c:ser>
        <c:ser>
          <c:idx val="3"/>
          <c:order val="3"/>
          <c:tx>
            <c:v>Current Value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Model!$C$290:$C$291</c:f>
              <c:numCache>
                <c:formatCode>General</c:formatCode>
                <c:ptCount val="2"/>
                <c:pt idx="0">
                  <c:v>300</c:v>
                </c:pt>
                <c:pt idx="1">
                  <c:v>300</c:v>
                </c:pt>
              </c:numCache>
            </c:numRef>
          </c:xVal>
          <c:yVal>
            <c:numRef>
              <c:f>Model!$D$290:$D$291</c:f>
              <c:numCache>
                <c:formatCode>"$"#,##0</c:formatCode>
                <c:ptCount val="2"/>
                <c:pt idx="0" formatCode="General">
                  <c:v>0</c:v>
                </c:pt>
                <c:pt idx="1">
                  <c:v>154545.45454545453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49-6B4E-894D-F3C4FB3BD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541648"/>
        <c:axId val="357808496"/>
      </c:scatterChart>
      <c:valAx>
        <c:axId val="743541648"/>
        <c:scaling>
          <c:orientation val="minMax"/>
        </c:scaling>
        <c:delete val="0"/>
        <c:axPos val="b"/>
        <c:title>
          <c:tx>
            <c:strRef>
              <c:f>Model!$B$285</c:f>
              <c:strCache>
                <c:ptCount val="1"/>
                <c:pt idx="0">
                  <c:v>number of button-click on home page in Control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08496"/>
        <c:crosses val="autoZero"/>
        <c:crossBetween val="midCat"/>
      </c:valAx>
      <c:valAx>
        <c:axId val="3578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4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reativecommons.org/publicdomain/zero/1.0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</xdr:col>
      <xdr:colOff>292100</xdr:colOff>
      <xdr:row>5</xdr:row>
      <xdr:rowOff>190500</xdr:rowOff>
    </xdr:to>
    <xdr:pic>
      <xdr:nvPicPr>
        <xdr:cNvPr id="3" name="Picture 2" descr="CC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0BA25F-7913-2841-8460-34EC243F6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41400"/>
          <a:ext cx="11176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47</xdr:row>
      <xdr:rowOff>0</xdr:rowOff>
    </xdr:from>
    <xdr:to>
      <xdr:col>6</xdr:col>
      <xdr:colOff>444500</xdr:colOff>
      <xdr:row>66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94F253-F6FE-6D48-B735-1E5E2A532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698500</xdr:colOff>
      <xdr:row>47</xdr:row>
      <xdr:rowOff>12700</xdr:rowOff>
    </xdr:from>
    <xdr:to>
      <xdr:col>13</xdr:col>
      <xdr:colOff>723900</xdr:colOff>
      <xdr:row>66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D80E4F-D3CC-8C4D-8DA0-FDAEE56F8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101600</xdr:colOff>
      <xdr:row>91</xdr:row>
      <xdr:rowOff>0</xdr:rowOff>
    </xdr:from>
    <xdr:to>
      <xdr:col>6</xdr:col>
      <xdr:colOff>1747520</xdr:colOff>
      <xdr:row>110</xdr:row>
      <xdr:rowOff>144825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FC1E73-1ED7-1B41-9D90-D8A28DE09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1963821</xdr:colOff>
      <xdr:row>90</xdr:row>
      <xdr:rowOff>93178</xdr:rowOff>
    </xdr:from>
    <xdr:to>
      <xdr:col>13</xdr:col>
      <xdr:colOff>1747520</xdr:colOff>
      <xdr:row>110</xdr:row>
      <xdr:rowOff>80478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286428C-EF86-D246-8C63-6737F92CD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824502</xdr:colOff>
      <xdr:row>128</xdr:row>
      <xdr:rowOff>206125</xdr:rowOff>
    </xdr:from>
    <xdr:to>
      <xdr:col>4</xdr:col>
      <xdr:colOff>904292</xdr:colOff>
      <xdr:row>148</xdr:row>
      <xdr:rowOff>139633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9CCCC31-9BC0-B648-8A78-86D8341EF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129</xdr:row>
      <xdr:rowOff>0</xdr:rowOff>
    </xdr:from>
    <xdr:to>
      <xdr:col>8</xdr:col>
      <xdr:colOff>933230</xdr:colOff>
      <xdr:row>148</xdr:row>
      <xdr:rowOff>136708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0D6EC49-287E-C645-AA8B-AA056F373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towardsdatascience.com/decision-analytic-a-b-testing-for-product-leaders-417b3a33178f?source=friends_link&amp;sk=00e22a7b304d47a0c845edf9650d18bc" TargetMode="External"/><Relationship Id="rId1" Type="http://schemas.openxmlformats.org/officeDocument/2006/relationships/hyperlink" Target="https://github.com/behappyrightnow/DA-Tools/tree/master/ABTes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E582D-1DFA-7349-9B5C-952306D01B31}">
  <dimension ref="B2:C19"/>
  <sheetViews>
    <sheetView workbookViewId="0">
      <selection activeCell="F3" sqref="F3"/>
    </sheetView>
  </sheetViews>
  <sheetFormatPr baseColWidth="10" defaultRowHeight="16" x14ac:dyDescent="0.2"/>
  <cols>
    <col min="1" max="16384" width="10.83203125" style="1"/>
  </cols>
  <sheetData>
    <row r="2" spans="2:3" ht="31" x14ac:dyDescent="0.35">
      <c r="B2" s="2" t="s">
        <v>0</v>
      </c>
    </row>
    <row r="3" spans="2:3" ht="19" x14ac:dyDescent="0.25">
      <c r="B3" s="3" t="s">
        <v>72</v>
      </c>
    </row>
    <row r="6" spans="2:3" ht="24" x14ac:dyDescent="0.25">
      <c r="B6" s="83"/>
    </row>
    <row r="7" spans="2:3" ht="24" x14ac:dyDescent="0.3">
      <c r="B7" s="84" t="s">
        <v>68</v>
      </c>
    </row>
    <row r="8" spans="2:3" ht="18" x14ac:dyDescent="0.2">
      <c r="B8" s="4"/>
    </row>
    <row r="9" spans="2:3" ht="24" x14ac:dyDescent="0.3">
      <c r="B9" s="87" t="s">
        <v>69</v>
      </c>
    </row>
    <row r="10" spans="2:3" ht="24" x14ac:dyDescent="0.3">
      <c r="B10" s="5">
        <v>1</v>
      </c>
      <c r="C10" s="85" t="s">
        <v>70</v>
      </c>
    </row>
    <row r="11" spans="2:3" ht="24" x14ac:dyDescent="0.3">
      <c r="B11" s="5">
        <v>2</v>
      </c>
      <c r="C11" s="86" t="s">
        <v>71</v>
      </c>
    </row>
    <row r="12" spans="2:3" ht="18" x14ac:dyDescent="0.2">
      <c r="B12" s="5"/>
    </row>
    <row r="13" spans="2:3" ht="18" x14ac:dyDescent="0.2">
      <c r="B13" s="5"/>
    </row>
    <row r="14" spans="2:3" ht="18" x14ac:dyDescent="0.2">
      <c r="B14" s="5"/>
    </row>
    <row r="16" spans="2:3" ht="18" x14ac:dyDescent="0.2">
      <c r="B16" s="5"/>
    </row>
    <row r="17" spans="2:2" ht="18" x14ac:dyDescent="0.2">
      <c r="B17" s="5"/>
    </row>
    <row r="18" spans="2:2" ht="18" x14ac:dyDescent="0.2">
      <c r="B18" s="5"/>
    </row>
    <row r="19" spans="2:2" ht="18" x14ac:dyDescent="0.2">
      <c r="B19" s="5"/>
    </row>
  </sheetData>
  <hyperlinks>
    <hyperlink ref="C10" r:id="rId1" xr:uid="{2CC87532-2482-8E44-950C-4FA7CEAD0B40}"/>
    <hyperlink ref="C11" r:id="rId2" xr:uid="{501ED524-5320-ED4C-90E3-2B433FE87901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59869-BE16-0B4B-AD45-157736597034}">
  <dimension ref="B2:V291"/>
  <sheetViews>
    <sheetView tabSelected="1" topLeftCell="A32" zoomScale="125" zoomScaleNormal="68" workbookViewId="0">
      <selection activeCell="E38" sqref="E38"/>
    </sheetView>
  </sheetViews>
  <sheetFormatPr baseColWidth="10" defaultRowHeight="16" x14ac:dyDescent="0.2"/>
  <cols>
    <col min="1" max="1" width="10.83203125" style="1"/>
    <col min="2" max="2" width="37.83203125" style="1" customWidth="1"/>
    <col min="3" max="3" width="15.83203125" style="1" bestFit="1" customWidth="1"/>
    <col min="4" max="4" width="17.33203125" style="1" customWidth="1"/>
    <col min="5" max="5" width="17.83203125" style="1" customWidth="1"/>
    <col min="6" max="6" width="20.6640625" style="1" customWidth="1"/>
    <col min="7" max="7" width="23.1640625" style="1" customWidth="1"/>
    <col min="8" max="8" width="26.83203125" style="1" customWidth="1"/>
    <col min="9" max="9" width="36.1640625" style="1" customWidth="1"/>
    <col min="10" max="11" width="15" style="1" bestFit="1" customWidth="1"/>
    <col min="12" max="12" width="11.83203125" style="1" customWidth="1"/>
    <col min="13" max="13" width="19.1640625" style="1" bestFit="1" customWidth="1"/>
    <col min="14" max="14" width="23" style="1" customWidth="1"/>
    <col min="15" max="15" width="22.5" style="1" customWidth="1"/>
    <col min="16" max="16" width="22.1640625" style="1" bestFit="1" customWidth="1"/>
    <col min="17" max="20" width="10.83203125" style="1"/>
    <col min="21" max="21" width="19.33203125" style="1" bestFit="1" customWidth="1"/>
    <col min="22" max="22" width="22.1640625" style="1" bestFit="1" customWidth="1"/>
    <col min="23" max="16384" width="10.83203125" style="1"/>
  </cols>
  <sheetData>
    <row r="2" spans="2:11" ht="93" x14ac:dyDescent="1.05">
      <c r="B2" s="6" t="s">
        <v>1</v>
      </c>
    </row>
    <row r="5" spans="2:11" ht="26" x14ac:dyDescent="0.3">
      <c r="B5" s="8" t="s">
        <v>2</v>
      </c>
      <c r="C5" s="8"/>
      <c r="E5" s="91" t="s">
        <v>62</v>
      </c>
      <c r="F5" s="91"/>
      <c r="G5" s="91"/>
      <c r="H5" s="91"/>
    </row>
    <row r="7" spans="2:11" ht="26" x14ac:dyDescent="0.3">
      <c r="B7" s="8" t="s">
        <v>13</v>
      </c>
      <c r="C7" s="8"/>
      <c r="E7" s="91" t="s">
        <v>14</v>
      </c>
      <c r="F7" s="91"/>
      <c r="G7" s="91"/>
      <c r="H7" s="91"/>
    </row>
    <row r="9" spans="2:11" ht="26" x14ac:dyDescent="0.3">
      <c r="B9" s="8" t="s">
        <v>3</v>
      </c>
      <c r="E9" s="91" t="s">
        <v>4</v>
      </c>
      <c r="F9" s="91"/>
      <c r="G9" s="91"/>
      <c r="H9" s="91"/>
    </row>
    <row r="11" spans="2:11" ht="26" x14ac:dyDescent="0.3">
      <c r="B11" s="8" t="s">
        <v>5</v>
      </c>
      <c r="E11" s="91" t="s">
        <v>6</v>
      </c>
      <c r="F11" s="91"/>
      <c r="G11" s="91"/>
      <c r="H11" s="91"/>
    </row>
    <row r="13" spans="2:11" ht="26" x14ac:dyDescent="0.3">
      <c r="B13" s="8" t="s">
        <v>7</v>
      </c>
      <c r="E13" s="88">
        <v>1</v>
      </c>
      <c r="F13" s="88"/>
      <c r="G13" s="88"/>
      <c r="H13" s="88"/>
    </row>
    <row r="15" spans="2:11" ht="26" x14ac:dyDescent="0.3">
      <c r="B15" s="8" t="s">
        <v>8</v>
      </c>
      <c r="E15" s="88" t="s">
        <v>9</v>
      </c>
      <c r="F15" s="88"/>
      <c r="G15" s="88"/>
      <c r="H15" s="88"/>
      <c r="I15" s="88"/>
      <c r="J15" s="88"/>
      <c r="K15" s="88"/>
    </row>
    <row r="17" spans="2:11" ht="26" x14ac:dyDescent="0.3">
      <c r="B17" s="8" t="s">
        <v>10</v>
      </c>
      <c r="E17" s="88" t="s">
        <v>11</v>
      </c>
      <c r="F17" s="88"/>
      <c r="G17" s="88"/>
      <c r="H17" s="88"/>
      <c r="I17" s="88"/>
      <c r="J17" s="88"/>
      <c r="K17" s="88"/>
    </row>
    <row r="19" spans="2:11" ht="26" x14ac:dyDescent="0.3">
      <c r="B19" s="8" t="s">
        <v>12</v>
      </c>
      <c r="E19" s="89">
        <v>20000</v>
      </c>
      <c r="F19" s="89"/>
      <c r="G19" s="89"/>
      <c r="H19" s="89"/>
    </row>
    <row r="21" spans="2:11" ht="26" x14ac:dyDescent="0.3">
      <c r="B21" s="8" t="str">
        <f>CONCATENATE("Number of ",unitOfDiversion," at launch")</f>
        <v>Number of users at launch</v>
      </c>
      <c r="E21" s="90">
        <v>1000000</v>
      </c>
      <c r="F21" s="90"/>
      <c r="G21" s="90"/>
      <c r="H21" s="90"/>
    </row>
    <row r="22" spans="2:11" ht="17" customHeight="1" x14ac:dyDescent="0.2">
      <c r="E22" s="11"/>
    </row>
    <row r="23" spans="2:11" ht="26" x14ac:dyDescent="0.3">
      <c r="B23" s="81" t="s">
        <v>64</v>
      </c>
      <c r="E23" s="11"/>
    </row>
    <row r="24" spans="2:11" ht="21" x14ac:dyDescent="0.25">
      <c r="B24" s="7" t="str">
        <f>CONCATENATE("The unit of diversion in the experiment is ",unitOfDiversion,".", "The metric of interest is ",metricOfInterest,". This metric ranges from 0 to 1. The")</f>
        <v>The unit of diversion in the experiment is users.The metric of interest is Long-run fraction of clicks. This metric ranges from 0 to 1. The</v>
      </c>
      <c r="E24" s="11"/>
    </row>
    <row r="25" spans="2:11" ht="21" x14ac:dyDescent="0.25">
      <c r="B25" s="7" t="str">
        <f>CONCATENATE("experiment will be modeled as coin tosses, and each coin toss corresponds to a ",tossEquivalent,". Each time the coin lands head, that corresponds to a ",headEquivalent,".")</f>
        <v>experiment will be modeled as coin tosses, and each coin toss corresponds to a page view. Each time the coin lands head, that corresponds to a button-click on home page.</v>
      </c>
      <c r="E25" s="11"/>
    </row>
    <row r="26" spans="2:11" ht="21" x14ac:dyDescent="0.25">
      <c r="B26" s="7" t="str">
        <f>CONCATENATE("This has a value of $",ROUND(valueOfHead,1),".","The experiment is to ",E15,". The control is to ",E17,".")</f>
        <v>This has a value of $1.The experiment is to show a large button titled 'Start Now' on homepage. The control is to show a normal button titled 'Start Now' on homepage.</v>
      </c>
      <c r="E26" s="11"/>
    </row>
    <row r="27" spans="2:11" ht="21" x14ac:dyDescent="0.25">
      <c r="B27" s="7" t="str">
        <f>CONCATENATE("Based on the experiment, if the decision is taken to launch, the target audience will be ",numUsersAtLaunch," ",unitOfDiversion,". The cost of launching the feature is ",TEXT(costOfLaunchingFeature,"$#,###,###"),".")</f>
        <v>Based on the experiment, if the decision is taken to launch, the target audience will be 1000000 users. The cost of launching the feature is $20,000.</v>
      </c>
      <c r="E27" s="11"/>
    </row>
    <row r="28" spans="2:11" s="12" customFormat="1" x14ac:dyDescent="0.2">
      <c r="E28" s="13"/>
    </row>
    <row r="29" spans="2:11" ht="93" x14ac:dyDescent="1.05">
      <c r="B29" s="6" t="s">
        <v>15</v>
      </c>
    </row>
    <row r="32" spans="2:11" ht="47" x14ac:dyDescent="0.55000000000000004">
      <c r="B32" s="14" t="s">
        <v>16</v>
      </c>
      <c r="I32" s="14" t="s">
        <v>17</v>
      </c>
    </row>
    <row r="33" spans="2:10" ht="26" x14ac:dyDescent="0.3">
      <c r="B33" s="9" t="s">
        <v>22</v>
      </c>
      <c r="I33" s="9" t="s">
        <v>22</v>
      </c>
    </row>
    <row r="35" spans="2:10" ht="17" thickBot="1" x14ac:dyDescent="0.25"/>
    <row r="36" spans="2:10" ht="26" x14ac:dyDescent="0.3">
      <c r="B36" s="44" t="s">
        <v>44</v>
      </c>
      <c r="C36" s="42"/>
      <c r="I36" s="44" t="s">
        <v>44</v>
      </c>
      <c r="J36" s="42"/>
    </row>
    <row r="37" spans="2:10" x14ac:dyDescent="0.2">
      <c r="B37" s="24" t="s">
        <v>25</v>
      </c>
      <c r="C37" s="49">
        <f>IF(OR(priorType_experiment="Uniform",priorType_experiment="Symmetric"),alpha_experiment_original_prior,(alpha_experiment_original_prior + beta_experiment_original_prior) * mean_prior_experiment * priorScalePower_experiment)</f>
        <v>1</v>
      </c>
      <c r="I37" s="24" t="s">
        <v>25</v>
      </c>
      <c r="J37" s="25">
        <f>IF(OR(priorType_control="Uniform",priorType_control="Symmetric"),alpha_control_original_prior,(alpha_control_original_prior + beta_control_original_prior) * mean_prior_control * priorScalePower_control)</f>
        <v>1</v>
      </c>
    </row>
    <row r="38" spans="2:10" ht="17" thickBot="1" x14ac:dyDescent="0.25">
      <c r="B38" s="26" t="s">
        <v>26</v>
      </c>
      <c r="C38" s="50">
        <f>IF(OR(priorType_experiment="Uniform",priorType_experiment="Symmetric"),beta_experiment_original_prior, (beta_experiment_original_prior  + alpha_experiment_original_prior  - (alpha_experiment_original_prior + beta_experiment_original_prior) * mean_prior_experiment) * priorScalePower_experiment)</f>
        <v>1</v>
      </c>
      <c r="I38" s="26" t="s">
        <v>26</v>
      </c>
      <c r="J38" s="27">
        <f>IF(OR(priorType_control="Uniform",priorType_control="Symmetric"),beta_control_original_prior, (beta_control_original_prior  + alpha_control_original_prior  - (alpha_control_original_prior + beta_control_original_prior) * mean_prior_control) * priorScalePower_control)</f>
        <v>1</v>
      </c>
    </row>
    <row r="39" spans="2:10" x14ac:dyDescent="0.2">
      <c r="B39" s="29"/>
      <c r="C39" s="54"/>
      <c r="I39" s="29"/>
      <c r="J39" s="29"/>
    </row>
    <row r="40" spans="2:10" x14ac:dyDescent="0.2">
      <c r="B40" s="1" t="s">
        <v>33</v>
      </c>
      <c r="C40" s="11">
        <f>alpha_experiment_prior/(alpha_experiment_prior+beta_experiment_prior)</f>
        <v>0.5</v>
      </c>
      <c r="I40" s="1" t="s">
        <v>33</v>
      </c>
      <c r="J40" s="11">
        <f>alpha_control_prior/(alpha_control_prior+beta_control_prior)</f>
        <v>0.5</v>
      </c>
    </row>
    <row r="41" spans="2:10" x14ac:dyDescent="0.2">
      <c r="B41" s="1" t="s">
        <v>43</v>
      </c>
      <c r="C41" s="32">
        <f xml:space="preserve"> (alpha_experiment_prior * beta_experiment_prior) / ((alpha_experiment_prior+beta_experiment_prior)^2 * (1+alpha_experiment_prior+beta_experiment_prior))</f>
        <v>8.3333333333333329E-2</v>
      </c>
      <c r="I41" s="1" t="s">
        <v>43</v>
      </c>
      <c r="J41" s="32">
        <f xml:space="preserve"> (alpha_control_prior * beta_control_prior) / ((alpha_control_prior+beta_control_prior)^2 * (1+alpha_control_prior+beta_control_prior))</f>
        <v>8.3333333333333329E-2</v>
      </c>
    </row>
    <row r="43" spans="2:10" ht="26" x14ac:dyDescent="0.3">
      <c r="B43" s="8" t="s">
        <v>27</v>
      </c>
      <c r="I43" s="8" t="s">
        <v>28</v>
      </c>
    </row>
    <row r="44" spans="2:10" ht="26" x14ac:dyDescent="0.3">
      <c r="B44" s="10">
        <v>1</v>
      </c>
      <c r="C44" s="48" t="str">
        <f>IF(priorType_experiment="Uniform",IF(priorScalePower_experiment&lt;&gt;1,"ERROR! Make this 1",""),"")</f>
        <v/>
      </c>
      <c r="D44" s="8"/>
      <c r="E44" s="8"/>
      <c r="F44" s="8"/>
      <c r="G44" s="8"/>
      <c r="H44" s="8"/>
      <c r="I44" s="10">
        <v>1</v>
      </c>
      <c r="J44" s="48" t="str">
        <f>IF(priorType_control="Uniform",IF(priorScalePower_control&lt;&gt;1,"ERROR! Make this 1",""),"")</f>
        <v/>
      </c>
    </row>
    <row r="46" spans="2:10" ht="26" x14ac:dyDescent="0.3">
      <c r="B46" s="8" t="s">
        <v>33</v>
      </c>
      <c r="I46" s="8" t="s">
        <v>33</v>
      </c>
    </row>
    <row r="47" spans="2:10" ht="26" x14ac:dyDescent="0.3">
      <c r="B47" s="10">
        <v>0.95</v>
      </c>
      <c r="C47" s="48" t="str">
        <f>IF(OR(priorType_experiment="Uniform",priorType_experiment="Symmetric"),IF(priorScalePower_experiment&lt;&gt;0.5,"NOT CHANGEABLE FROM 0.5",""),"")</f>
        <v>NOT CHANGEABLE FROM 0.5</v>
      </c>
      <c r="D47" s="8"/>
      <c r="E47" s="8"/>
      <c r="F47" s="8"/>
      <c r="G47" s="8"/>
      <c r="H47" s="8"/>
      <c r="I47" s="10">
        <v>0.1</v>
      </c>
      <c r="J47" s="48" t="str">
        <f>IF(OR(priorType_control="Uniform",priorType_control="Symmetric"),IF(priorScalePower_control&lt;&gt;0.5,"NOT CHANGEABLE FROM 0.5",""),"")</f>
        <v>NOT CHANGEABLE FROM 0.5</v>
      </c>
    </row>
    <row r="67" spans="2:12" ht="17" thickBot="1" x14ac:dyDescent="0.25"/>
    <row r="68" spans="2:12" ht="26" x14ac:dyDescent="0.3">
      <c r="C68" s="33">
        <v>0.1</v>
      </c>
      <c r="D68" s="34">
        <v>0.5</v>
      </c>
      <c r="E68" s="35">
        <v>0.9</v>
      </c>
      <c r="J68" s="33">
        <v>0.1</v>
      </c>
      <c r="K68" s="34">
        <v>0.5</v>
      </c>
      <c r="L68" s="35">
        <v>0.9</v>
      </c>
    </row>
    <row r="69" spans="2:12" ht="27" thickBot="1" x14ac:dyDescent="0.35">
      <c r="C69" s="36">
        <f>_xlfn.BETA.INV(C68,alpha_experiment_prior,beta_experiment_prior)</f>
        <v>0.10000000000000002</v>
      </c>
      <c r="D69" s="37">
        <f>_xlfn.BETA.INV(D68,alpha_experiment_prior,beta_experiment_prior)</f>
        <v>0.5</v>
      </c>
      <c r="E69" s="38">
        <f>_xlfn.BETA.INV(E68,alpha_experiment_prior,beta_experiment_prior)</f>
        <v>0.9</v>
      </c>
      <c r="J69" s="36">
        <f>_xlfn.BETA.INV(J68,alpha_control_prior,beta_control_prior)</f>
        <v>0.10000000000000002</v>
      </c>
      <c r="K69" s="37">
        <f>_xlfn.BETA.INV(K68,alpha_control_prior,beta_control_prior)</f>
        <v>0.5</v>
      </c>
      <c r="L69" s="38">
        <f>_xlfn.BETA.INV(L68,alpha_control_prior,beta_control_prior)</f>
        <v>0.9</v>
      </c>
    </row>
    <row r="70" spans="2:12" s="12" customFormat="1" ht="26" x14ac:dyDescent="0.3">
      <c r="C70" s="51"/>
      <c r="D70" s="51"/>
      <c r="E70" s="51"/>
      <c r="J70" s="51"/>
      <c r="K70" s="51"/>
      <c r="L70" s="51"/>
    </row>
    <row r="71" spans="2:12" ht="93" x14ac:dyDescent="1.05">
      <c r="B71" s="6" t="s">
        <v>19</v>
      </c>
    </row>
    <row r="72" spans="2:12" ht="47" x14ac:dyDescent="0.55000000000000004">
      <c r="B72" s="14" t="s">
        <v>16</v>
      </c>
      <c r="I72" s="14" t="s">
        <v>17</v>
      </c>
    </row>
    <row r="73" spans="2:12" ht="26" x14ac:dyDescent="0.3">
      <c r="B73" s="8" t="str">
        <f>CONCATENATE("Number of tosses (or, ",tossEquivalent,"s)")</f>
        <v>Number of tosses (or, page views)</v>
      </c>
      <c r="I73" s="8" t="str">
        <f>CONCATENATE("Number of tosses (or, ",tossEquivalent,"s)")</f>
        <v>Number of tosses (or, page views)</v>
      </c>
    </row>
    <row r="74" spans="2:12" ht="26" x14ac:dyDescent="0.3">
      <c r="B74" s="10">
        <v>10000</v>
      </c>
      <c r="I74" s="10">
        <v>10000</v>
      </c>
    </row>
    <row r="77" spans="2:12" ht="26" x14ac:dyDescent="0.3">
      <c r="B77" s="8" t="str">
        <f>CONCATENATE("Number of heads (or, ",headEquivalent," from 0 to ",B74,")")</f>
        <v>Number of heads (or, button-click on home page from 0 to 10000)</v>
      </c>
      <c r="I77" s="8" t="str">
        <f>CONCATENATE("Number of heads (or, ",headEquivalent," from 0 to ",I74,")")</f>
        <v>Number of heads (or, button-click on home page from 0 to 10000)</v>
      </c>
    </row>
    <row r="78" spans="2:12" ht="26" x14ac:dyDescent="0.3">
      <c r="B78" s="10">
        <v>400</v>
      </c>
      <c r="C78" s="67" t="str">
        <f>IF(numHeads_experiment&gt;numTosses_experiment,CONCATENATE("ERROR! Must be less than ",numTosses_experiment),"")</f>
        <v/>
      </c>
      <c r="I78" s="10">
        <v>300</v>
      </c>
      <c r="J78" s="67" t="str">
        <f>IF(numHeads_control&gt;numTosses_control,CONCATENATE("ERROR! Must be less than ",numTosses_experiment),"")</f>
        <v/>
      </c>
    </row>
    <row r="82" spans="2:10" ht="26" x14ac:dyDescent="0.3">
      <c r="B82" s="8" t="s">
        <v>34</v>
      </c>
    </row>
    <row r="83" spans="2:10" ht="26" x14ac:dyDescent="0.3">
      <c r="B83" s="10">
        <v>500</v>
      </c>
    </row>
    <row r="84" spans="2:10" ht="17" thickBot="1" x14ac:dyDescent="0.25"/>
    <row r="85" spans="2:10" ht="26" x14ac:dyDescent="0.3">
      <c r="B85" s="44" t="s">
        <v>42</v>
      </c>
      <c r="C85" s="45"/>
      <c r="D85" s="42"/>
      <c r="I85" s="44" t="s">
        <v>42</v>
      </c>
      <c r="J85" s="42"/>
    </row>
    <row r="86" spans="2:10" x14ac:dyDescent="0.2">
      <c r="B86" s="24" t="s">
        <v>25</v>
      </c>
      <c r="C86" s="54">
        <f>alpha_experiment_posterior</f>
        <v>1.8</v>
      </c>
      <c r="D86" s="25"/>
      <c r="I86" s="24" t="s">
        <v>25</v>
      </c>
      <c r="J86" s="49">
        <f>alpha_control_posterior</f>
        <v>1.6</v>
      </c>
    </row>
    <row r="87" spans="2:10" ht="17" thickBot="1" x14ac:dyDescent="0.25">
      <c r="B87" s="26" t="s">
        <v>26</v>
      </c>
      <c r="C87" s="55">
        <f>beta_experiment_posterior</f>
        <v>20.2</v>
      </c>
      <c r="D87" s="27"/>
      <c r="I87" s="26" t="s">
        <v>26</v>
      </c>
      <c r="J87" s="50">
        <f>beta_control_posterior</f>
        <v>20.399999999999999</v>
      </c>
    </row>
    <row r="88" spans="2:10" x14ac:dyDescent="0.2">
      <c r="C88" s="11"/>
      <c r="J88" s="11"/>
    </row>
    <row r="89" spans="2:10" x14ac:dyDescent="0.2">
      <c r="B89" s="1" t="s">
        <v>33</v>
      </c>
      <c r="C89" s="32">
        <f>alpha_experiment_posterior/(alpha_experiment_posterior+beta_experiment_posterior)</f>
        <v>8.1818181818181818E-2</v>
      </c>
      <c r="I89" s="1" t="s">
        <v>33</v>
      </c>
      <c r="J89" s="32">
        <f>alpha_control_posterior/(alpha_control_posterior++beta_control_posterior)</f>
        <v>7.2727272727272738E-2</v>
      </c>
    </row>
    <row r="90" spans="2:10" x14ac:dyDescent="0.2">
      <c r="B90" s="1" t="s">
        <v>43</v>
      </c>
      <c r="C90" s="31">
        <f xml:space="preserve"> (alpha_experiment_posterior * beta_experiment_posterior) / ((alpha_experiment_posterior+beta_experiment_posterior)^2 * (1+alpha_experiment_posterior+beta_experiment_posterior))</f>
        <v>3.2662594322673375E-3</v>
      </c>
      <c r="I90" s="1" t="s">
        <v>43</v>
      </c>
      <c r="J90" s="31">
        <f xml:space="preserve"> (alpha_control_posterior * beta_control_posterior) / ((alpha_control_posterior+beta_control_posterior)^2 * (1+alpha_control_posterior+beta_control_posterior))</f>
        <v>2.9320876751706792E-3</v>
      </c>
    </row>
    <row r="110" spans="2:14" ht="17" customHeight="1" x14ac:dyDescent="0.2"/>
    <row r="111" spans="2:14" ht="17" thickBot="1" x14ac:dyDescent="0.25"/>
    <row r="112" spans="2:14" ht="26" x14ac:dyDescent="0.3">
      <c r="B112" s="15" t="s">
        <v>45</v>
      </c>
      <c r="C112" s="45"/>
      <c r="D112" s="45"/>
      <c r="E112" s="45"/>
      <c r="F112" s="45"/>
      <c r="G112" s="42"/>
      <c r="I112" s="15" t="s">
        <v>45</v>
      </c>
      <c r="J112" s="45"/>
      <c r="K112" s="45"/>
      <c r="L112" s="45"/>
      <c r="M112" s="45"/>
      <c r="N112" s="42"/>
    </row>
    <row r="113" spans="2:14" ht="24" x14ac:dyDescent="0.3">
      <c r="B113" s="62"/>
      <c r="C113" s="74">
        <v>2.5000000000000001E-2</v>
      </c>
      <c r="D113" s="59">
        <v>0.1</v>
      </c>
      <c r="E113" s="59">
        <v>0.5</v>
      </c>
      <c r="F113" s="59">
        <v>0.9</v>
      </c>
      <c r="G113" s="75">
        <v>0.97499999999999998</v>
      </c>
      <c r="I113" s="62"/>
      <c r="J113" s="74">
        <v>2.5000000000000001E-2</v>
      </c>
      <c r="K113" s="59">
        <v>0.1</v>
      </c>
      <c r="L113" s="59">
        <v>0.5</v>
      </c>
      <c r="M113" s="59">
        <v>0.9</v>
      </c>
      <c r="N113" s="75">
        <v>0.97499999999999998</v>
      </c>
    </row>
    <row r="114" spans="2:14" ht="26" x14ac:dyDescent="0.3">
      <c r="B114" s="18" t="str">
        <f>metricOfInterest</f>
        <v>Long-run fraction of clicks</v>
      </c>
      <c r="C114" s="60">
        <f>_xlfn.BETA.INV(C113,alpha_experiment_posterior,beta_experiment_posterior)</f>
        <v>8.8531831655240482E-3</v>
      </c>
      <c r="D114" s="60">
        <f>_xlfn.BETA.INV(D113,alpha_experiment_posterior,beta_experiment_posterior)</f>
        <v>2.0716196387976851E-2</v>
      </c>
      <c r="E114" s="60">
        <f>_xlfn.BETA.INV(E113,alpha_experiment_posterior,beta_experiment_posterior)</f>
        <v>6.9340542355422335E-2</v>
      </c>
      <c r="F114" s="60">
        <f>_xlfn.BETA.INV(F113,alpha_experiment_posterior,beta_experiment_posterior)</f>
        <v>0.15997570422778451</v>
      </c>
      <c r="G114" s="61">
        <f>_xlfn.BETA.INV(G113,alpha_experiment_posterior,beta_experiment_posterior)</f>
        <v>0.22397816747245503</v>
      </c>
      <c r="I114" s="18" t="str">
        <f>metricOfInterest</f>
        <v>Long-run fraction of clicks</v>
      </c>
      <c r="J114" s="60">
        <f>_xlfn.BETA.INV(J113,alpha_control_posterior,beta_control_posterior)</f>
        <v>6.3123102492112729E-3</v>
      </c>
      <c r="K114" s="60">
        <f>_xlfn.BETA.INV(K113,alpha_control_posterior,beta_control_posterior)</f>
        <v>1.6136424049301334E-2</v>
      </c>
      <c r="L114" s="60">
        <f>_xlfn.BETA.INV(L113,alpha_control_posterior,beta_control_posterior)</f>
        <v>6.0057471362770572E-2</v>
      </c>
      <c r="M114" s="60">
        <f>_xlfn.BETA.INV(M113,alpha_control_posterior,beta_control_posterior)</f>
        <v>0.14667432337501507</v>
      </c>
      <c r="N114" s="61">
        <f>_xlfn.BETA.INV(N113,alpha_control_posterior,beta_control_posterior)</f>
        <v>0.20930600276236311</v>
      </c>
    </row>
    <row r="115" spans="2:14" ht="27" thickBot="1" x14ac:dyDescent="0.35">
      <c r="B115" s="21" t="s">
        <v>46</v>
      </c>
      <c r="C115" s="63">
        <f>C114*valueOfHead*numUsersAtLaunch</f>
        <v>8853.1831655240476</v>
      </c>
      <c r="D115" s="63">
        <f>D114*valueOfHead*numUsersAtLaunch</f>
        <v>20716.196387976852</v>
      </c>
      <c r="E115" s="63">
        <f>E114*valueOfHead*numUsersAtLaunch</f>
        <v>69340.542355422338</v>
      </c>
      <c r="F115" s="63">
        <f>F114*valueOfHead*numUsersAtLaunch</f>
        <v>159975.7042277845</v>
      </c>
      <c r="G115" s="66">
        <f>G114*valueOfHead*numUsersAtLaunch</f>
        <v>223978.16747245504</v>
      </c>
      <c r="I115" s="21" t="s">
        <v>46</v>
      </c>
      <c r="J115" s="63">
        <f>J114*valueOfHead*numUsersAtLaunch</f>
        <v>6312.310249211273</v>
      </c>
      <c r="K115" s="63">
        <f>K114*valueOfHead*numUsersAtLaunch</f>
        <v>16136.424049301333</v>
      </c>
      <c r="L115" s="63">
        <f>L114*valueOfHead*numUsersAtLaunch</f>
        <v>60057.471362770571</v>
      </c>
      <c r="M115" s="63">
        <f>M114*valueOfHead*numUsersAtLaunch</f>
        <v>146674.32337501508</v>
      </c>
      <c r="N115" s="66">
        <f>N114*valueOfHead*numUsersAtLaunch</f>
        <v>209306.00276236312</v>
      </c>
    </row>
    <row r="116" spans="2:14" ht="17" thickBot="1" x14ac:dyDescent="0.25"/>
    <row r="117" spans="2:14" ht="26" x14ac:dyDescent="0.3">
      <c r="B117" s="8" t="s">
        <v>47</v>
      </c>
      <c r="C117" s="65">
        <f>mean_posterior_experiment*valueOfHead*numUsersAtLaunch</f>
        <v>81818.181818181823</v>
      </c>
      <c r="E117" s="78" t="s">
        <v>57</v>
      </c>
      <c r="F117" s="45"/>
      <c r="G117" s="42"/>
      <c r="I117" s="8" t="s">
        <v>47</v>
      </c>
      <c r="J117" s="65">
        <f>mean_posterior_control*valueOfHead*numUsersAtLaunch</f>
        <v>72727.272727272735</v>
      </c>
      <c r="L117" s="78" t="s">
        <v>57</v>
      </c>
      <c r="M117" s="45"/>
      <c r="N117" s="42"/>
    </row>
    <row r="118" spans="2:14" ht="26" x14ac:dyDescent="0.3">
      <c r="B118" s="8" t="s">
        <v>48</v>
      </c>
      <c r="C118" s="64">
        <f>costOfLaunchingFeature</f>
        <v>20000</v>
      </c>
      <c r="E118" s="79" t="str">
        <f>metricOfInterest</f>
        <v>Long-run fraction of clicks</v>
      </c>
      <c r="F118" s="29"/>
      <c r="G118" s="80" t="s">
        <v>63</v>
      </c>
      <c r="I118" s="73" t="s">
        <v>58</v>
      </c>
      <c r="L118" s="79" t="str">
        <f>metricOfInterest</f>
        <v>Long-run fraction of clicks</v>
      </c>
      <c r="M118" s="29"/>
      <c r="N118" s="80" t="s">
        <v>63</v>
      </c>
    </row>
    <row r="119" spans="2:14" ht="27" thickBot="1" x14ac:dyDescent="0.35">
      <c r="B119" s="8" t="s">
        <v>49</v>
      </c>
      <c r="C119" s="64">
        <f>C117-C118</f>
        <v>61818.181818181823</v>
      </c>
      <c r="E119" s="57" t="str">
        <f>CONCATENATE(ROUND(C114,3)," to ",ROUND(G114,3))</f>
        <v>0.009 to 0.224</v>
      </c>
      <c r="F119" s="30"/>
      <c r="G119" s="58" t="str">
        <f>CONCATENATE(TEXT(ROUND(C115,0),"$#,###,##0")," to ",TEXT(ROUND(G115,0),"$#,###,###"))</f>
        <v>$8,853 to $223,978</v>
      </c>
      <c r="I119" s="73" t="s">
        <v>59</v>
      </c>
      <c r="L119" s="57" t="str">
        <f>CONCATENATE(ROUND(J114,3)," to ",ROUND(N114,3))</f>
        <v>0.006 to 0.209</v>
      </c>
      <c r="M119" s="30"/>
      <c r="N119" s="58" t="str">
        <f>CONCATENATE(TEXT(ROUND(J115,0),"$#,###,##0")," to ",TEXT(ROUND(N115,0),"$#,###,###"))</f>
        <v>$6,312 to $209,306</v>
      </c>
    </row>
    <row r="120" spans="2:14" ht="26" x14ac:dyDescent="0.3">
      <c r="B120" s="8" t="s">
        <v>54</v>
      </c>
      <c r="C120" s="64">
        <f>C119-J117</f>
        <v>-10909.090909090912</v>
      </c>
    </row>
    <row r="121" spans="2:14" s="12" customFormat="1" x14ac:dyDescent="0.2"/>
    <row r="124" spans="2:14" ht="93" x14ac:dyDescent="1.05">
      <c r="B124" s="6" t="s">
        <v>20</v>
      </c>
    </row>
    <row r="126" spans="2:14" ht="26" x14ac:dyDescent="0.3">
      <c r="B126" s="8" t="s">
        <v>50</v>
      </c>
      <c r="F126" s="8" t="s">
        <v>60</v>
      </c>
    </row>
    <row r="127" spans="2:14" ht="24" x14ac:dyDescent="0.3">
      <c r="B127" s="68">
        <v>1200</v>
      </c>
      <c r="F127" s="68">
        <v>1200</v>
      </c>
    </row>
    <row r="156" spans="2:2" s="12" customFormat="1" x14ac:dyDescent="0.2"/>
    <row r="158" spans="2:2" ht="93" x14ac:dyDescent="1.05">
      <c r="B158" s="6" t="s">
        <v>21</v>
      </c>
    </row>
    <row r="160" spans="2:2" ht="17" thickBot="1" x14ac:dyDescent="0.25"/>
    <row r="161" spans="2:22" ht="26" x14ac:dyDescent="0.3">
      <c r="B161" s="15" t="s">
        <v>18</v>
      </c>
      <c r="C161" s="16" t="s">
        <v>25</v>
      </c>
      <c r="D161" s="17" t="s">
        <v>26</v>
      </c>
      <c r="F161" s="44" t="s">
        <v>37</v>
      </c>
      <c r="G161" s="42"/>
      <c r="H161" s="29"/>
      <c r="I161" s="44" t="s">
        <v>38</v>
      </c>
      <c r="J161" s="42"/>
      <c r="K161" s="29"/>
      <c r="L161" s="29"/>
    </row>
    <row r="162" spans="2:22" ht="26" x14ac:dyDescent="0.3">
      <c r="B162" s="18" t="s">
        <v>22</v>
      </c>
      <c r="C162" s="19">
        <v>1</v>
      </c>
      <c r="D162" s="20">
        <v>1</v>
      </c>
      <c r="F162" s="18" t="s">
        <v>25</v>
      </c>
      <c r="G162" s="46">
        <f>VLOOKUP(priorType_experiment,choiceTable,2,FALSE)</f>
        <v>1</v>
      </c>
      <c r="H162" s="29"/>
      <c r="I162" s="18" t="s">
        <v>25</v>
      </c>
      <c r="J162" s="46">
        <f>VLOOKUP(priorType_control,choiceTable,2,FALSE)</f>
        <v>1</v>
      </c>
      <c r="K162" s="28"/>
      <c r="L162" s="29"/>
    </row>
    <row r="163" spans="2:22" ht="27" thickBot="1" x14ac:dyDescent="0.35">
      <c r="B163" s="18" t="s">
        <v>23</v>
      </c>
      <c r="C163" s="19">
        <v>5</v>
      </c>
      <c r="D163" s="20">
        <v>5</v>
      </c>
      <c r="F163" s="21" t="s">
        <v>26</v>
      </c>
      <c r="G163" s="47">
        <f>VLOOKUP(priorType_experiment,choiceTable,3,FALSE)</f>
        <v>1</v>
      </c>
      <c r="H163" s="29"/>
      <c r="I163" s="21" t="s">
        <v>26</v>
      </c>
      <c r="J163" s="47">
        <f>VLOOKUP(priorType_control,choiceTable,3,FALSE)</f>
        <v>1</v>
      </c>
      <c r="K163" s="28"/>
      <c r="L163" s="29"/>
    </row>
    <row r="164" spans="2:22" ht="27" thickBot="1" x14ac:dyDescent="0.35">
      <c r="B164" s="21" t="s">
        <v>24</v>
      </c>
      <c r="C164" s="22">
        <v>2</v>
      </c>
      <c r="D164" s="23">
        <v>18</v>
      </c>
    </row>
    <row r="165" spans="2:22" ht="27" thickBot="1" x14ac:dyDescent="0.35">
      <c r="B165" s="28"/>
      <c r="C165" s="19"/>
      <c r="D165" s="19"/>
    </row>
    <row r="166" spans="2:22" ht="26" x14ac:dyDescent="0.3">
      <c r="B166" s="44" t="s">
        <v>31</v>
      </c>
      <c r="C166" s="42"/>
      <c r="D166" s="44" t="s">
        <v>36</v>
      </c>
      <c r="E166" s="42"/>
      <c r="G166" s="44" t="s">
        <v>32</v>
      </c>
      <c r="H166" s="42"/>
      <c r="I166" s="44" t="s">
        <v>41</v>
      </c>
      <c r="J166" s="42"/>
    </row>
    <row r="167" spans="2:22" ht="26" x14ac:dyDescent="0.3">
      <c r="B167" s="18" t="s">
        <v>25</v>
      </c>
      <c r="C167" s="46">
        <f>alpha_experiment_prior</f>
        <v>1</v>
      </c>
      <c r="D167" s="18" t="s">
        <v>25</v>
      </c>
      <c r="E167" s="46">
        <f>alpha_experiment_prior+numHeads_experiment/posteriorScalePower</f>
        <v>1.8</v>
      </c>
      <c r="G167" s="18" t="s">
        <v>25</v>
      </c>
      <c r="H167" s="46">
        <f>alpha_control_prior</f>
        <v>1</v>
      </c>
      <c r="I167" s="18" t="s">
        <v>25</v>
      </c>
      <c r="J167" s="46">
        <f>alpha_control_prior+numHeads_control/posteriorScalePower</f>
        <v>1.6</v>
      </c>
    </row>
    <row r="168" spans="2:22" ht="27" thickBot="1" x14ac:dyDescent="0.35">
      <c r="B168" s="21" t="s">
        <v>26</v>
      </c>
      <c r="C168" s="47">
        <f>beta_experiment_prior</f>
        <v>1</v>
      </c>
      <c r="D168" s="21" t="s">
        <v>26</v>
      </c>
      <c r="E168" s="47">
        <f>numTosses_experiment/posteriorScalePower+alpha_experiment_prior+beta_experiment_prior-numHeads_experiment/posteriorScalePower-alpha_experiment_prior</f>
        <v>20.2</v>
      </c>
      <c r="G168" s="21" t="s">
        <v>26</v>
      </c>
      <c r="H168" s="47">
        <f>beta_control_prior</f>
        <v>1</v>
      </c>
      <c r="I168" s="21" t="s">
        <v>26</v>
      </c>
      <c r="J168" s="47">
        <f>numTosses_control/posteriorScalePower+alpha_control_prior+beta_control_prior-numHeads_control/posteriorScalePower-alpha_control_prior</f>
        <v>20.399999999999999</v>
      </c>
    </row>
    <row r="169" spans="2:22" ht="27" thickBot="1" x14ac:dyDescent="0.35">
      <c r="B169" s="28"/>
      <c r="C169" s="28"/>
      <c r="D169" s="19"/>
    </row>
    <row r="170" spans="2:22" ht="27" thickBot="1" x14ac:dyDescent="0.35">
      <c r="B170" s="8" t="s">
        <v>31</v>
      </c>
      <c r="G170" s="8" t="s">
        <v>32</v>
      </c>
      <c r="L170" s="41"/>
      <c r="M170" s="45"/>
      <c r="N170" s="56" t="s">
        <v>49</v>
      </c>
      <c r="O170" s="40" t="s">
        <v>55</v>
      </c>
      <c r="P170" s="42"/>
      <c r="R170" s="41"/>
      <c r="S170" s="45"/>
      <c r="T170" s="56" t="s">
        <v>49</v>
      </c>
      <c r="U170" s="40" t="s">
        <v>55</v>
      </c>
      <c r="V170" s="42"/>
    </row>
    <row r="171" spans="2:22" x14ac:dyDescent="0.2">
      <c r="B171" s="39" t="s">
        <v>30</v>
      </c>
      <c r="C171" s="40" t="s">
        <v>29</v>
      </c>
      <c r="D171" s="56" t="s">
        <v>39</v>
      </c>
      <c r="E171" s="43" t="s">
        <v>35</v>
      </c>
      <c r="G171" s="39" t="s">
        <v>30</v>
      </c>
      <c r="H171" s="40" t="s">
        <v>29</v>
      </c>
      <c r="I171" s="40" t="s">
        <v>39</v>
      </c>
      <c r="J171" s="43" t="s">
        <v>35</v>
      </c>
      <c r="L171" s="76" t="s">
        <v>52</v>
      </c>
      <c r="M171" s="53" t="s">
        <v>51</v>
      </c>
      <c r="N171" s="69">
        <f>mean_posterior_experiment*valueOfHead*numUsersAtLaunch-costOfLaunchingFeature</f>
        <v>61818.181818181823</v>
      </c>
      <c r="O171" s="69">
        <f>mean_posterior_control*valueOfHead*numUsersAtLaunch</f>
        <v>72727.272727272735</v>
      </c>
      <c r="P171" s="77" t="s">
        <v>53</v>
      </c>
      <c r="R171" s="76" t="s">
        <v>52</v>
      </c>
      <c r="S171" s="53" t="s">
        <v>61</v>
      </c>
      <c r="T171" s="69">
        <f>mean_posterior_experiment*valueOfHead*numUsersAtLaunch-costOfLaunchingFeature</f>
        <v>61818.181818181823</v>
      </c>
      <c r="U171" s="69">
        <f>mean_posterior_control*valueOfHead*numUsersAtLaunch</f>
        <v>72727.272727272735</v>
      </c>
      <c r="V171" s="77" t="s">
        <v>53</v>
      </c>
    </row>
    <row r="172" spans="2:22" x14ac:dyDescent="0.2">
      <c r="B172" s="24">
        <v>0</v>
      </c>
      <c r="C172" s="54">
        <f t="shared" ref="C172:C203" si="0">IF($B172=0,0,IF($B172=1,0,_xlfn.BETA.DIST($B172,alpha_experiment_prior,beta_experiment_prior,FALSE)))</f>
        <v>0</v>
      </c>
      <c r="D172" s="54">
        <f t="shared" ref="D172:D203" si="1">E172*maxPriorValue_experiment/maxPosteriorValue_experiment</f>
        <v>0</v>
      </c>
      <c r="E172" s="49" cm="1">
        <f t="array" ref="E172">IF($B172=0,0,IF($B172=1,0,_xlfn.BETA.DIST($B172,alpha_experiment_posterior,beta_experiment_posterior,FALSE)))</f>
        <v>0</v>
      </c>
      <c r="G172" s="24">
        <v>0</v>
      </c>
      <c r="H172" s="54">
        <f t="shared" ref="H172:H203" si="2">IF(G172=0,0,IF(G172=1,0,_xlfn.BETA.DIST(G172,alpha_control_prior,beta_control_prior,FALSE)))</f>
        <v>0</v>
      </c>
      <c r="I172" s="54" cm="1">
        <f t="array" ref="I172">J172*maxPriorValue_control/maxPosteriorValue_control</f>
        <v>0</v>
      </c>
      <c r="J172" s="49" cm="1">
        <f t="array" ref="J172">IF($B172=0,0,IF($B172=1,0,_xlfn.BETA.DIST($B172,alpha_control_posterior,beta_control_posterior,FALSE)))</f>
        <v>0</v>
      </c>
      <c r="L172" s="24">
        <v>0</v>
      </c>
      <c r="M172" s="29">
        <f t="shared" ref="M172:M203" si="3">IF(L172=0,1,L172*(maxPosteriorScalePower/100))</f>
        <v>1</v>
      </c>
      <c r="N172" s="69">
        <f t="dataTable" ref="N172:O272" dt2D="0" dtr="0" r1="B83" ca="1"/>
        <v>20091.981603679262</v>
      </c>
      <c r="O172" s="69">
        <v>30093.981203759249</v>
      </c>
      <c r="P172" s="70">
        <f>MAX(0,N172-O172)</f>
        <v>0</v>
      </c>
      <c r="R172" s="24">
        <v>0</v>
      </c>
      <c r="S172" s="29">
        <f t="shared" ref="S172:S203" si="4">IF(R172=0,1,R172*(maxHeadsInControl/100))</f>
        <v>1</v>
      </c>
      <c r="T172" s="69">
        <f t="dataTable" ref="T172:U272" dt2D="0" dtr="0" r1="I78"/>
        <v>61818.181818181823</v>
      </c>
      <c r="U172" s="69">
        <v>45545.454545454551</v>
      </c>
      <c r="V172" s="70">
        <f>MAX(0,T172-U172)</f>
        <v>16272.727272727272</v>
      </c>
    </row>
    <row r="173" spans="2:22" x14ac:dyDescent="0.2">
      <c r="B173" s="24">
        <f>B172+0.01</f>
        <v>0.01</v>
      </c>
      <c r="C173" s="54">
        <f t="shared" si="0"/>
        <v>1</v>
      </c>
      <c r="D173" s="54">
        <f t="shared" si="1"/>
        <v>0.59557994986733054</v>
      </c>
      <c r="E173" s="49" cm="1">
        <f t="array" ref="E173">IF($B173=0,0,IF($B173=1,0,_xlfn.BETA.DIST($B173,alpha_experiment_posterior,beta_experiment_posterior,FALSE)))</f>
        <v>5.1505796329077809</v>
      </c>
      <c r="G173" s="24">
        <f>G172+0.01</f>
        <v>0.01</v>
      </c>
      <c r="H173" s="54">
        <f t="shared" si="2"/>
        <v>1</v>
      </c>
      <c r="I173" s="54" cm="1">
        <f t="array" ref="I173">J173*maxPriorValue_control/maxPosteriorValue_control</f>
        <v>0.76856106163203342</v>
      </c>
      <c r="J173" s="49" cm="1">
        <f t="array" ref="J173">IF($B173=0,0,IF($B173=1,0,_xlfn.BETA.DIST($B173,alpha_control_posterior,beta_control_posterior,FALSE)))</f>
        <v>7.4074358223275709</v>
      </c>
      <c r="L173" s="24">
        <v>1</v>
      </c>
      <c r="M173" s="29">
        <f t="shared" si="3"/>
        <v>12</v>
      </c>
      <c r="N173" s="69">
        <v>21101.356743814846</v>
      </c>
      <c r="O173" s="69">
        <v>31125.299281723863</v>
      </c>
      <c r="P173" s="70">
        <f t="shared" ref="P173:P236" si="5">MAX(0,N173-O173)</f>
        <v>0</v>
      </c>
      <c r="R173" s="24">
        <v>1</v>
      </c>
      <c r="S173" s="29">
        <f t="shared" si="4"/>
        <v>12</v>
      </c>
      <c r="T173" s="69">
        <v>61818.181818181823</v>
      </c>
      <c r="U173" s="69">
        <v>46545.454545454551</v>
      </c>
      <c r="V173" s="70">
        <f t="shared" ref="V173:V236" si="6">MAX(0,T173-U173)</f>
        <v>15272.727272727272</v>
      </c>
    </row>
    <row r="174" spans="2:22" x14ac:dyDescent="0.2">
      <c r="B174" s="24">
        <f t="shared" ref="B174:B237" si="7">B173+0.01</f>
        <v>0.02</v>
      </c>
      <c r="C174" s="54">
        <f t="shared" si="0"/>
        <v>1</v>
      </c>
      <c r="D174" s="54">
        <f t="shared" si="1"/>
        <v>0.85331421889884607</v>
      </c>
      <c r="E174" s="49" cm="1">
        <f t="array" ref="E174">IF($B174=0,0,IF($B174=1,0,_xlfn.BETA.DIST($B174,alpha_experiment_posterior,beta_experiment_posterior,FALSE)))</f>
        <v>7.3794674204698101</v>
      </c>
      <c r="G174" s="24">
        <f t="shared" ref="G174:G237" si="8">G173+0.01</f>
        <v>0.02</v>
      </c>
      <c r="H174" s="54">
        <f t="shared" si="2"/>
        <v>1</v>
      </c>
      <c r="I174" s="54" cm="1">
        <f t="array" ref="I174">J174*maxPriorValue_control/maxPosteriorValue_control</f>
        <v>0.95666408106338741</v>
      </c>
      <c r="J174" s="49" cm="1">
        <f t="array" ref="J174">IF($B174=0,0,IF($B174=1,0,_xlfn.BETA.DIST($B174,alpha_control_posterior,beta_control_posterior,FALSE)))</f>
        <v>9.2203835684246727</v>
      </c>
      <c r="L174" s="24">
        <v>2</v>
      </c>
      <c r="M174" s="29">
        <f t="shared" si="3"/>
        <v>24</v>
      </c>
      <c r="N174" s="69">
        <v>22197.452229299364</v>
      </c>
      <c r="O174" s="69">
        <v>32245.222929936306</v>
      </c>
      <c r="P174" s="70">
        <f t="shared" si="5"/>
        <v>0</v>
      </c>
      <c r="R174" s="24">
        <v>2</v>
      </c>
      <c r="S174" s="29">
        <f t="shared" si="4"/>
        <v>24</v>
      </c>
      <c r="T174" s="69">
        <v>61818.181818181823</v>
      </c>
      <c r="U174" s="69">
        <v>47636.36363636364</v>
      </c>
      <c r="V174" s="70">
        <f t="shared" si="6"/>
        <v>14181.818181818184</v>
      </c>
    </row>
    <row r="175" spans="2:22" x14ac:dyDescent="0.2">
      <c r="B175" s="24">
        <f t="shared" si="7"/>
        <v>0.03</v>
      </c>
      <c r="C175" s="54">
        <f t="shared" si="0"/>
        <v>1</v>
      </c>
      <c r="D175" s="54">
        <f t="shared" si="1"/>
        <v>0.96930094080753826</v>
      </c>
      <c r="E175" s="49" cm="1">
        <f t="array" ref="E175">IF($B175=0,0,IF($B175=1,0,_xlfn.BETA.DIST($B175,alpha_experiment_posterior,beta_experiment_posterior,FALSE)))</f>
        <v>8.3825214146207614</v>
      </c>
      <c r="G175" s="24">
        <f t="shared" si="8"/>
        <v>0.03</v>
      </c>
      <c r="H175" s="54">
        <f t="shared" si="2"/>
        <v>1</v>
      </c>
      <c r="I175" s="54" cm="1">
        <f t="array" ref="I175">J175*maxPriorValue_control/maxPosteriorValue_control</f>
        <v>1</v>
      </c>
      <c r="J175" s="49" cm="1">
        <f t="array" ref="J175">IF($B175=0,0,IF($B175=1,0,_xlfn.BETA.DIST($B175,alpha_control_posterior,beta_control_posterior,FALSE)))</f>
        <v>9.6380576536078202</v>
      </c>
      <c r="L175" s="24">
        <v>3</v>
      </c>
      <c r="M175" s="29">
        <f t="shared" si="3"/>
        <v>36</v>
      </c>
      <c r="N175" s="69">
        <v>23288.324066719622</v>
      </c>
      <c r="O175" s="69">
        <v>33359.809372517877</v>
      </c>
      <c r="P175" s="70">
        <f t="shared" si="5"/>
        <v>0</v>
      </c>
      <c r="R175" s="24">
        <v>3</v>
      </c>
      <c r="S175" s="29">
        <f t="shared" si="4"/>
        <v>36</v>
      </c>
      <c r="T175" s="69">
        <v>61818.181818181823</v>
      </c>
      <c r="U175" s="69">
        <v>48727.272727272728</v>
      </c>
      <c r="V175" s="70">
        <f t="shared" si="6"/>
        <v>13090.909090909096</v>
      </c>
    </row>
    <row r="176" spans="2:22" x14ac:dyDescent="0.2">
      <c r="B176" s="24">
        <f t="shared" si="7"/>
        <v>0.04</v>
      </c>
      <c r="C176" s="54">
        <f t="shared" si="0"/>
        <v>1</v>
      </c>
      <c r="D176" s="54">
        <f t="shared" si="1"/>
        <v>1</v>
      </c>
      <c r="E176" s="49" cm="1">
        <f t="array" ref="E176">IF($B176=0,0,IF($B176=1,0,_xlfn.BETA.DIST($B176,alpha_experiment_posterior,beta_experiment_posterior,FALSE)))</f>
        <v>8.6480070963690228</v>
      </c>
      <c r="G176" s="24">
        <f t="shared" si="8"/>
        <v>0.04</v>
      </c>
      <c r="H176" s="54">
        <f t="shared" si="2"/>
        <v>1</v>
      </c>
      <c r="I176" s="54" cm="1">
        <f t="array" ref="I176">J176*maxPriorValue_control/maxPosteriorValue_control</f>
        <v>0.97197147173573573</v>
      </c>
      <c r="J176" s="49" cm="1">
        <f t="array" ref="J176">IF($B176=0,0,IF($B176=1,0,_xlfn.BETA.DIST($B176,alpha_control_posterior,beta_control_posterior,FALSE)))</f>
        <v>9.3679170822510649</v>
      </c>
      <c r="L176" s="24">
        <v>4</v>
      </c>
      <c r="M176" s="29">
        <f t="shared" si="3"/>
        <v>48</v>
      </c>
      <c r="N176" s="69">
        <v>24374.009508716328</v>
      </c>
      <c r="O176" s="69">
        <v>34469.096671949286</v>
      </c>
      <c r="P176" s="70">
        <f t="shared" si="5"/>
        <v>0</v>
      </c>
      <c r="R176" s="24">
        <v>4</v>
      </c>
      <c r="S176" s="29">
        <f t="shared" si="4"/>
        <v>48</v>
      </c>
      <c r="T176" s="69">
        <v>61818.181818181823</v>
      </c>
      <c r="U176" s="69">
        <v>49818.181818181823</v>
      </c>
      <c r="V176" s="70">
        <f t="shared" si="6"/>
        <v>12000</v>
      </c>
    </row>
    <row r="177" spans="2:22" x14ac:dyDescent="0.2">
      <c r="B177" s="24">
        <f t="shared" si="7"/>
        <v>0.05</v>
      </c>
      <c r="C177" s="54">
        <f t="shared" si="0"/>
        <v>1</v>
      </c>
      <c r="D177" s="54">
        <f t="shared" si="1"/>
        <v>0.97771788040934959</v>
      </c>
      <c r="E177" s="49" cm="1">
        <f t="array" ref="E177">IF($B177=0,0,IF($B177=1,0,_xlfn.BETA.DIST($B177,alpha_experiment_posterior,beta_experiment_posterior,FALSE)))</f>
        <v>8.4553111680269346</v>
      </c>
      <c r="G177" s="24">
        <f t="shared" si="8"/>
        <v>0.05</v>
      </c>
      <c r="H177" s="54">
        <f t="shared" si="2"/>
        <v>1</v>
      </c>
      <c r="I177" s="54" cm="1">
        <f t="array" ref="I177">J177*maxPriorValue_control/maxPosteriorValue_control</f>
        <v>0.90693371633292164</v>
      </c>
      <c r="J177" s="49" cm="1">
        <f t="array" ref="J177">IF($B177=0,0,IF($B177=1,0,_xlfn.BETA.DIST($B177,alpha_control_posterior,beta_control_posterior,FALSE)))</f>
        <v>8.7410794460174994</v>
      </c>
      <c r="L177" s="24">
        <v>5</v>
      </c>
      <c r="M177" s="29">
        <f t="shared" si="3"/>
        <v>60</v>
      </c>
      <c r="N177" s="69">
        <v>25454.545454545456</v>
      </c>
      <c r="O177" s="69">
        <v>35573.122529644272</v>
      </c>
      <c r="P177" s="70">
        <f t="shared" si="5"/>
        <v>0</v>
      </c>
      <c r="R177" s="24">
        <v>5</v>
      </c>
      <c r="S177" s="29">
        <f t="shared" si="4"/>
        <v>60</v>
      </c>
      <c r="T177" s="69">
        <v>61818.181818181823</v>
      </c>
      <c r="U177" s="69">
        <v>50909.090909090912</v>
      </c>
      <c r="V177" s="70">
        <f t="shared" si="6"/>
        <v>10909.090909090912</v>
      </c>
    </row>
    <row r="178" spans="2:22" x14ac:dyDescent="0.2">
      <c r="B178" s="24">
        <f t="shared" si="7"/>
        <v>6.0000000000000005E-2</v>
      </c>
      <c r="C178" s="54">
        <f t="shared" si="0"/>
        <v>1</v>
      </c>
      <c r="D178" s="54">
        <f t="shared" si="1"/>
        <v>0.9232517127573916</v>
      </c>
      <c r="E178" s="49" cm="1">
        <f t="array" ref="E178">IF($B178=0,0,IF($B178=1,0,_xlfn.BETA.DIST($B178,alpha_experiment_posterior,beta_experiment_posterior,FALSE)))</f>
        <v>7.9842873636607772</v>
      </c>
      <c r="G178" s="24">
        <f t="shared" si="8"/>
        <v>6.0000000000000005E-2</v>
      </c>
      <c r="H178" s="54">
        <f t="shared" si="2"/>
        <v>1</v>
      </c>
      <c r="I178" s="54" cm="1">
        <f t="array" ref="I178">J178*maxPriorValue_control/maxPosteriorValue_control</f>
        <v>0.8239990527969554</v>
      </c>
      <c r="J178" s="49" cm="1">
        <f t="array" ref="J178">IF($B178=0,0,IF($B178=1,0,_xlfn.BETA.DIST($B178,alpha_control_posterior,beta_control_posterior,FALSE)))</f>
        <v>7.94175037737529</v>
      </c>
      <c r="L178" s="24">
        <v>6</v>
      </c>
      <c r="M178" s="29">
        <f t="shared" si="3"/>
        <v>72</v>
      </c>
      <c r="N178" s="69">
        <v>26529.968454258677</v>
      </c>
      <c r="O178" s="69">
        <v>36671.924290220821</v>
      </c>
      <c r="P178" s="70">
        <f t="shared" si="5"/>
        <v>0</v>
      </c>
      <c r="R178" s="24">
        <v>6</v>
      </c>
      <c r="S178" s="29">
        <f t="shared" si="4"/>
        <v>72</v>
      </c>
      <c r="T178" s="69">
        <v>61818.181818181823</v>
      </c>
      <c r="U178" s="69">
        <v>52000</v>
      </c>
      <c r="V178" s="70">
        <f t="shared" si="6"/>
        <v>9818.1818181818235</v>
      </c>
    </row>
    <row r="179" spans="2:22" x14ac:dyDescent="0.2">
      <c r="B179" s="24">
        <f t="shared" si="7"/>
        <v>7.0000000000000007E-2</v>
      </c>
      <c r="C179" s="54">
        <f t="shared" si="0"/>
        <v>1</v>
      </c>
      <c r="D179" s="54">
        <f t="shared" si="1"/>
        <v>0.85054124162124378</v>
      </c>
      <c r="E179" s="49" cm="1">
        <f t="array" ref="E179">IF($B179=0,0,IF($B179=1,0,_xlfn.BETA.DIST($B179,alpha_experiment_posterior,beta_experiment_posterior,FALSE)))</f>
        <v>7.3554866932950356</v>
      </c>
      <c r="G179" s="24">
        <f t="shared" si="8"/>
        <v>7.0000000000000007E-2</v>
      </c>
      <c r="H179" s="54">
        <f t="shared" si="2"/>
        <v>1</v>
      </c>
      <c r="I179" s="54" cm="1">
        <f t="array" ref="I179">J179*maxPriorValue_control/maxPosteriorValue_control</f>
        <v>0.73448617963704788</v>
      </c>
      <c r="J179" s="49" cm="1">
        <f t="array" ref="J179">IF($B179=0,0,IF($B179=1,0,_xlfn.BETA.DIST($B179,alpha_control_posterior,beta_control_posterior,FALSE)))</f>
        <v>7.0790201451200172</v>
      </c>
      <c r="L179" s="24">
        <v>7</v>
      </c>
      <c r="M179" s="29">
        <f t="shared" si="3"/>
        <v>84</v>
      </c>
      <c r="N179" s="69">
        <v>27600.314712824547</v>
      </c>
      <c r="O179" s="69">
        <v>37765.53894571204</v>
      </c>
      <c r="P179" s="70">
        <f t="shared" si="5"/>
        <v>0</v>
      </c>
      <c r="R179" s="24">
        <v>7</v>
      </c>
      <c r="S179" s="29">
        <f t="shared" si="4"/>
        <v>84</v>
      </c>
      <c r="T179" s="69">
        <v>61818.181818181823</v>
      </c>
      <c r="U179" s="69">
        <v>53090.909090909081</v>
      </c>
      <c r="V179" s="70">
        <f t="shared" si="6"/>
        <v>8727.2727272727425</v>
      </c>
    </row>
    <row r="180" spans="2:22" x14ac:dyDescent="0.2">
      <c r="B180" s="24">
        <f t="shared" si="7"/>
        <v>0.08</v>
      </c>
      <c r="C180" s="54">
        <f t="shared" si="0"/>
        <v>1</v>
      </c>
      <c r="D180" s="54">
        <f t="shared" si="1"/>
        <v>0.76902880503673632</v>
      </c>
      <c r="E180" s="49" cm="1">
        <f t="array" ref="E180">IF($B180=0,0,IF($B180=1,0,_xlfn.BETA.DIST($B180,alpha_experiment_posterior,beta_experiment_posterior,FALSE)))</f>
        <v>6.6505665632698854</v>
      </c>
      <c r="G180" s="24">
        <f t="shared" si="8"/>
        <v>0.08</v>
      </c>
      <c r="H180" s="54">
        <f t="shared" si="2"/>
        <v>1</v>
      </c>
      <c r="I180" s="54" cm="1">
        <f t="array" ref="I180">J180*maxPriorValue_control/maxPosteriorValue_control</f>
        <v>0.64519864270959126</v>
      </c>
      <c r="J180" s="49" cm="1">
        <f t="array" ref="J180">IF($B180=0,0,IF($B180=1,0,_xlfn.BETA.DIST($B180,alpha_control_posterior,beta_control_posterior,FALSE)))</f>
        <v>6.2184617164645539</v>
      </c>
      <c r="L180" s="24">
        <v>8</v>
      </c>
      <c r="M180" s="29">
        <f t="shared" si="3"/>
        <v>96</v>
      </c>
      <c r="N180" s="69">
        <v>28665.620094191523</v>
      </c>
      <c r="O180" s="69">
        <v>38854.003139717424</v>
      </c>
      <c r="P180" s="70">
        <f t="shared" si="5"/>
        <v>0</v>
      </c>
      <c r="R180" s="24">
        <v>8</v>
      </c>
      <c r="S180" s="29">
        <f t="shared" si="4"/>
        <v>96</v>
      </c>
      <c r="T180" s="69">
        <v>61818.181818181823</v>
      </c>
      <c r="U180" s="69">
        <v>54181.818181818177</v>
      </c>
      <c r="V180" s="70">
        <f t="shared" si="6"/>
        <v>7636.3636363636469</v>
      </c>
    </row>
    <row r="181" spans="2:22" x14ac:dyDescent="0.2">
      <c r="B181" s="24">
        <f t="shared" si="7"/>
        <v>0.09</v>
      </c>
      <c r="C181" s="54">
        <f t="shared" si="0"/>
        <v>1</v>
      </c>
      <c r="D181" s="54">
        <f t="shared" si="1"/>
        <v>0.68506703918457945</v>
      </c>
      <c r="E181" s="49" cm="1">
        <f t="array" ref="E181">IF($B181=0,0,IF($B181=1,0,_xlfn.BETA.DIST($B181,alpha_experiment_posterior,beta_experiment_posterior,FALSE)))</f>
        <v>5.924464616356758</v>
      </c>
      <c r="G181" s="24">
        <f t="shared" si="8"/>
        <v>0.09</v>
      </c>
      <c r="H181" s="54">
        <f t="shared" si="2"/>
        <v>1</v>
      </c>
      <c r="I181" s="54" cm="1">
        <f t="array" ref="I181">J181*maxPriorValue_control/maxPosteriorValue_control</f>
        <v>0.56014971468180808</v>
      </c>
      <c r="J181" s="49" cm="1">
        <f t="array" ref="J181">IF($B181=0,0,IF($B181=1,0,_xlfn.BETA.DIST($B181,alpha_control_posterior,beta_control_posterior,FALSE)))</f>
        <v>5.3987552447552369</v>
      </c>
      <c r="L181" s="24">
        <v>9</v>
      </c>
      <c r="M181" s="29">
        <f t="shared" si="3"/>
        <v>108</v>
      </c>
      <c r="N181" s="69">
        <v>29725.920125293655</v>
      </c>
      <c r="O181" s="69">
        <v>39937.353171495684</v>
      </c>
      <c r="P181" s="70">
        <f t="shared" si="5"/>
        <v>0</v>
      </c>
      <c r="R181" s="24">
        <v>9</v>
      </c>
      <c r="S181" s="29">
        <f t="shared" si="4"/>
        <v>108</v>
      </c>
      <c r="T181" s="69">
        <v>61818.181818181823</v>
      </c>
      <c r="U181" s="69">
        <v>55272.727272727272</v>
      </c>
      <c r="V181" s="70">
        <f t="shared" si="6"/>
        <v>6545.4545454545514</v>
      </c>
    </row>
    <row r="182" spans="2:22" x14ac:dyDescent="0.2">
      <c r="B182" s="24">
        <f t="shared" si="7"/>
        <v>9.9999999999999992E-2</v>
      </c>
      <c r="C182" s="54">
        <f t="shared" si="0"/>
        <v>1</v>
      </c>
      <c r="D182" s="54">
        <f t="shared" si="1"/>
        <v>0.60283785213832952</v>
      </c>
      <c r="E182" s="49" cm="1">
        <f t="array" ref="E182">IF($B182=0,0,IF($B182=1,0,_xlfn.BETA.DIST($B182,alpha_experiment_posterior,beta_experiment_posterior,FALSE)))</f>
        <v>5.2133460232521331</v>
      </c>
      <c r="G182" s="24">
        <f t="shared" si="8"/>
        <v>9.9999999999999992E-2</v>
      </c>
      <c r="H182" s="54">
        <f t="shared" si="2"/>
        <v>1</v>
      </c>
      <c r="I182" s="54" cm="1">
        <f t="array" ref="I182">J182*maxPriorValue_control/maxPosteriorValue_control</f>
        <v>0.48157095511012055</v>
      </c>
      <c r="J182" s="49" cm="1">
        <f t="array" ref="J182">IF($B182=0,0,IF($B182=1,0,_xlfn.BETA.DIST($B182,alpha_control_posterior,beta_control_posterior,FALSE)))</f>
        <v>4.6414086296543253</v>
      </c>
      <c r="L182" s="24">
        <v>10</v>
      </c>
      <c r="M182" s="29">
        <f t="shared" si="3"/>
        <v>120</v>
      </c>
      <c r="N182" s="69">
        <v>30781.250000000007</v>
      </c>
      <c r="O182" s="69">
        <v>41015.625</v>
      </c>
      <c r="P182" s="70">
        <f t="shared" si="5"/>
        <v>0</v>
      </c>
      <c r="R182" s="24">
        <v>10</v>
      </c>
      <c r="S182" s="29">
        <f t="shared" si="4"/>
        <v>120</v>
      </c>
      <c r="T182" s="69">
        <v>61818.181818181823</v>
      </c>
      <c r="U182" s="69">
        <v>56363.636363636368</v>
      </c>
      <c r="V182" s="70">
        <f t="shared" si="6"/>
        <v>5454.5454545454559</v>
      </c>
    </row>
    <row r="183" spans="2:22" x14ac:dyDescent="0.2">
      <c r="B183" s="24">
        <f t="shared" si="7"/>
        <v>0.10999999999999999</v>
      </c>
      <c r="C183" s="54">
        <f t="shared" si="0"/>
        <v>1</v>
      </c>
      <c r="D183" s="54">
        <f t="shared" si="1"/>
        <v>0.5249846536384617</v>
      </c>
      <c r="E183" s="49" cm="1">
        <f t="array" ref="E183">IF($B183=0,0,IF($B183=1,0,_xlfn.BETA.DIST($B183,alpha_experiment_posterior,beta_experiment_posterior,FALSE)))</f>
        <v>4.5400710101502506</v>
      </c>
      <c r="G183" s="24">
        <f t="shared" si="8"/>
        <v>0.10999999999999999</v>
      </c>
      <c r="H183" s="54">
        <f t="shared" si="2"/>
        <v>1</v>
      </c>
      <c r="I183" s="54" cm="1">
        <f t="array" ref="I183">J183*maxPriorValue_control/maxPosteriorValue_control</f>
        <v>0.4105417624557583</v>
      </c>
      <c r="J183" s="49" cm="1">
        <f t="array" ref="J183">IF($B183=0,0,IF($B183=1,0,_xlfn.BETA.DIST($B183,alpha_control_posterior,beta_control_posterior,FALSE)))</f>
        <v>3.9568251757623649</v>
      </c>
      <c r="L183" s="24">
        <v>11</v>
      </c>
      <c r="M183" s="29">
        <f t="shared" si="3"/>
        <v>132</v>
      </c>
      <c r="N183" s="69">
        <v>31831.644583008572</v>
      </c>
      <c r="O183" s="69">
        <v>42088.854247856594</v>
      </c>
      <c r="P183" s="70">
        <f t="shared" si="5"/>
        <v>0</v>
      </c>
      <c r="R183" s="24">
        <v>11</v>
      </c>
      <c r="S183" s="29">
        <f t="shared" si="4"/>
        <v>132</v>
      </c>
      <c r="T183" s="69">
        <v>61818.181818181823</v>
      </c>
      <c r="U183" s="69">
        <v>57454.545454545456</v>
      </c>
      <c r="V183" s="70">
        <f t="shared" si="6"/>
        <v>4363.6363636363676</v>
      </c>
    </row>
    <row r="184" spans="2:22" x14ac:dyDescent="0.2">
      <c r="B184" s="24">
        <f t="shared" si="7"/>
        <v>0.11999999999999998</v>
      </c>
      <c r="C184" s="54">
        <f t="shared" si="0"/>
        <v>1</v>
      </c>
      <c r="D184" s="54">
        <f t="shared" si="1"/>
        <v>0.45306095354385578</v>
      </c>
      <c r="E184" s="49" cm="1">
        <f t="array" ref="E184">IF($B184=0,0,IF($B184=1,0,_xlfn.BETA.DIST($B184,alpha_experiment_posterior,beta_experiment_posterior,FALSE)))</f>
        <v>3.918074341334981</v>
      </c>
      <c r="G184" s="24">
        <f t="shared" si="8"/>
        <v>0.11999999999999998</v>
      </c>
      <c r="H184" s="54">
        <f t="shared" si="2"/>
        <v>1</v>
      </c>
      <c r="I184" s="54" cm="1">
        <f t="array" ref="I184">J184*maxPriorValue_control/maxPosteriorValue_control</f>
        <v>0.3473987006425836</v>
      </c>
      <c r="J184" s="49" cm="1">
        <f t="array" ref="J184">IF($B184=0,0,IF($B184=1,0,_xlfn.BETA.DIST($B184,alpha_control_posterior,beta_control_posterior,FALSE)))</f>
        <v>3.348248705581665</v>
      </c>
      <c r="L184" s="24">
        <v>12</v>
      </c>
      <c r="M184" s="29">
        <f t="shared" si="3"/>
        <v>144</v>
      </c>
      <c r="N184" s="69">
        <v>32877.138413685847</v>
      </c>
      <c r="O184" s="69">
        <v>43157.076205287718</v>
      </c>
      <c r="P184" s="70">
        <f t="shared" si="5"/>
        <v>0</v>
      </c>
      <c r="R184" s="24">
        <v>12</v>
      </c>
      <c r="S184" s="29">
        <f t="shared" si="4"/>
        <v>144</v>
      </c>
      <c r="T184" s="69">
        <v>61818.181818181823</v>
      </c>
      <c r="U184" s="69">
        <v>58545.454545454544</v>
      </c>
      <c r="V184" s="70">
        <f t="shared" si="6"/>
        <v>3272.7272727272793</v>
      </c>
    </row>
    <row r="185" spans="2:22" x14ac:dyDescent="0.2">
      <c r="B185" s="24">
        <f t="shared" si="7"/>
        <v>0.12999999999999998</v>
      </c>
      <c r="C185" s="54">
        <f t="shared" si="0"/>
        <v>1</v>
      </c>
      <c r="D185" s="54">
        <f t="shared" si="1"/>
        <v>0.38785434825110909</v>
      </c>
      <c r="E185" s="49" cm="1">
        <f t="array" ref="E185">IF($B185=0,0,IF($B185=1,0,_xlfn.BETA.DIST($B185,alpha_experiment_posterior,beta_experiment_posterior,FALSE)))</f>
        <v>3.3541671560331738</v>
      </c>
      <c r="G185" s="24">
        <f t="shared" si="8"/>
        <v>0.12999999999999998</v>
      </c>
      <c r="H185" s="54">
        <f t="shared" si="2"/>
        <v>1</v>
      </c>
      <c r="I185" s="54" cm="1">
        <f t="array" ref="I185">J185*maxPriorValue_control/maxPosteriorValue_control</f>
        <v>0.29200824529798741</v>
      </c>
      <c r="J185" s="49" cm="1">
        <f t="array" ref="J185">IF($B185=0,0,IF($B185=1,0,_xlfn.BETA.DIST($B185,alpha_control_posterior,beta_control_posterior,FALSE)))</f>
        <v>2.8143923035108576</v>
      </c>
      <c r="L185" s="24">
        <v>13</v>
      </c>
      <c r="M185" s="29">
        <f t="shared" si="3"/>
        <v>156</v>
      </c>
      <c r="N185" s="69">
        <v>33917.765709852603</v>
      </c>
      <c r="O185" s="69">
        <v>44220.325833979834</v>
      </c>
      <c r="P185" s="70">
        <f t="shared" si="5"/>
        <v>0</v>
      </c>
      <c r="R185" s="24">
        <v>13</v>
      </c>
      <c r="S185" s="29">
        <f t="shared" si="4"/>
        <v>156</v>
      </c>
      <c r="T185" s="69">
        <v>61818.181818181823</v>
      </c>
      <c r="U185" s="69">
        <v>59636.36363636364</v>
      </c>
      <c r="V185" s="70">
        <f t="shared" si="6"/>
        <v>2181.8181818181838</v>
      </c>
    </row>
    <row r="186" spans="2:22" x14ac:dyDescent="0.2">
      <c r="B186" s="24">
        <f t="shared" si="7"/>
        <v>0.13999999999999999</v>
      </c>
      <c r="C186" s="54">
        <f t="shared" si="0"/>
        <v>1</v>
      </c>
      <c r="D186" s="54">
        <f t="shared" si="1"/>
        <v>0.32962263362728117</v>
      </c>
      <c r="E186" s="49" cm="1">
        <f t="array" ref="E186">IF($B186=0,0,IF($B186=1,0,_xlfn.BETA.DIST($B186,alpha_experiment_posterior,beta_experiment_posterior,FALSE)))</f>
        <v>2.850578874732574</v>
      </c>
      <c r="G186" s="24">
        <f t="shared" si="8"/>
        <v>0.13999999999999999</v>
      </c>
      <c r="H186" s="54">
        <f t="shared" si="2"/>
        <v>1</v>
      </c>
      <c r="I186" s="54" cm="1">
        <f t="array" ref="I186">J186*maxPriorValue_control/maxPosteriorValue_control</f>
        <v>0.24395087374288763</v>
      </c>
      <c r="J186" s="49" cm="1">
        <f t="array" ref="J186">IF($B186=0,0,IF($B186=1,0,_xlfn.BETA.DIST($B186,alpha_control_posterior,beta_control_posterior,FALSE)))</f>
        <v>2.351212585781953</v>
      </c>
      <c r="L186" s="24">
        <v>14</v>
      </c>
      <c r="M186" s="29">
        <f t="shared" si="3"/>
        <v>168</v>
      </c>
      <c r="N186" s="69">
        <v>34953.560371517022</v>
      </c>
      <c r="O186" s="69">
        <v>45278.637770897825</v>
      </c>
      <c r="P186" s="70">
        <f t="shared" si="5"/>
        <v>0</v>
      </c>
      <c r="R186" s="24">
        <v>14</v>
      </c>
      <c r="S186" s="29">
        <f t="shared" si="4"/>
        <v>168</v>
      </c>
      <c r="T186" s="69">
        <v>61818.181818181823</v>
      </c>
      <c r="U186" s="69">
        <v>60727.272727272735</v>
      </c>
      <c r="V186" s="70">
        <f t="shared" si="6"/>
        <v>1090.9090909090883</v>
      </c>
    </row>
    <row r="187" spans="2:22" x14ac:dyDescent="0.2">
      <c r="B187" s="24">
        <f t="shared" si="7"/>
        <v>0.15</v>
      </c>
      <c r="C187" s="54">
        <f t="shared" si="0"/>
        <v>1</v>
      </c>
      <c r="D187" s="54">
        <f t="shared" si="1"/>
        <v>0.27826636415330852</v>
      </c>
      <c r="E187" s="49" cm="1">
        <f t="array" ref="E187">IF($B187=0,0,IF($B187=1,0,_xlfn.BETA.DIST($B187,alpha_experiment_posterior,beta_experiment_posterior,FALSE)))</f>
        <v>2.4064494918786186</v>
      </c>
      <c r="G187" s="24">
        <f t="shared" si="8"/>
        <v>0.15</v>
      </c>
      <c r="H187" s="54">
        <f t="shared" si="2"/>
        <v>1</v>
      </c>
      <c r="I187" s="54" cm="1">
        <f t="array" ref="I187">J187*maxPriorValue_control/maxPosteriorValue_control</f>
        <v>0.20264575783309491</v>
      </c>
      <c r="J187" s="49" cm="1">
        <f t="array" ref="J187">IF($B187=0,0,IF($B187=1,0,_xlfn.BETA.DIST($B187,alpha_control_posterior,beta_control_posterior,FALSE)))</f>
        <v>1.9531114972544172</v>
      </c>
      <c r="L187" s="24">
        <v>15</v>
      </c>
      <c r="M187" s="29">
        <f t="shared" si="3"/>
        <v>180</v>
      </c>
      <c r="N187" s="69">
        <v>35984.555984555984</v>
      </c>
      <c r="O187" s="69">
        <v>46332.046332046339</v>
      </c>
      <c r="P187" s="70">
        <f t="shared" si="5"/>
        <v>0</v>
      </c>
      <c r="R187" s="24">
        <v>15</v>
      </c>
      <c r="S187" s="29">
        <f t="shared" si="4"/>
        <v>180</v>
      </c>
      <c r="T187" s="69">
        <v>61818.181818181823</v>
      </c>
      <c r="U187" s="69">
        <v>61818.181818181816</v>
      </c>
      <c r="V187" s="70">
        <f t="shared" si="6"/>
        <v>7.2759576141834259E-12</v>
      </c>
    </row>
    <row r="188" spans="2:22" x14ac:dyDescent="0.2">
      <c r="B188" s="24">
        <f t="shared" si="7"/>
        <v>0.16</v>
      </c>
      <c r="C188" s="54">
        <f t="shared" si="0"/>
        <v>1</v>
      </c>
      <c r="D188" s="54">
        <f t="shared" si="1"/>
        <v>0.2334546942762005</v>
      </c>
      <c r="E188" s="49" cm="1">
        <f t="array" ref="E188">IF($B188=0,0,IF($B188=1,0,_xlfn.BETA.DIST($B188,alpha_experiment_posterior,beta_experiment_posterior,FALSE)))</f>
        <v>2.0189178527812426</v>
      </c>
      <c r="G188" s="24">
        <f t="shared" si="8"/>
        <v>0.16</v>
      </c>
      <c r="H188" s="54">
        <f t="shared" si="2"/>
        <v>1</v>
      </c>
      <c r="I188" s="54" cm="1">
        <f t="array" ref="I188">J188*maxPriorValue_control/maxPosteriorValue_control</f>
        <v>0.16743480535203983</v>
      </c>
      <c r="J188" s="49" cm="1">
        <f t="array" ref="J188">IF($B188=0,0,IF($B188=1,0,_xlfn.BETA.DIST($B188,alpha_control_posterior,beta_control_posterior,FALSE)))</f>
        <v>1.6137463072035632</v>
      </c>
      <c r="L188" s="24">
        <v>16</v>
      </c>
      <c r="M188" s="29">
        <f t="shared" si="3"/>
        <v>192</v>
      </c>
      <c r="N188" s="69">
        <v>37010.785824345148</v>
      </c>
      <c r="O188" s="69">
        <v>47380.585516178733</v>
      </c>
      <c r="P188" s="70">
        <f t="shared" si="5"/>
        <v>0</v>
      </c>
      <c r="R188" s="24">
        <v>16</v>
      </c>
      <c r="S188" s="29">
        <f t="shared" si="4"/>
        <v>192</v>
      </c>
      <c r="T188" s="69">
        <v>61818.181818181823</v>
      </c>
      <c r="U188" s="69">
        <v>62909.090909090897</v>
      </c>
      <c r="V188" s="70">
        <f t="shared" si="6"/>
        <v>0</v>
      </c>
    </row>
    <row r="189" spans="2:22" x14ac:dyDescent="0.2">
      <c r="B189" s="24">
        <f t="shared" si="7"/>
        <v>0.17</v>
      </c>
      <c r="C189" s="54">
        <f t="shared" si="0"/>
        <v>1</v>
      </c>
      <c r="D189" s="54">
        <f t="shared" si="1"/>
        <v>0.19471653977927542</v>
      </c>
      <c r="E189" s="49" cm="1">
        <f t="array" ref="E189">IF($B189=0,0,IF($B189=1,0,_xlfn.BETA.DIST($B189,alpha_experiment_posterior,beta_experiment_posterior,FALSE)))</f>
        <v>1.6839100177915949</v>
      </c>
      <c r="G189" s="24">
        <f t="shared" si="8"/>
        <v>0.17</v>
      </c>
      <c r="H189" s="54">
        <f t="shared" si="2"/>
        <v>1</v>
      </c>
      <c r="I189" s="54" cm="1">
        <f t="array" ref="I189">J189*maxPriorValue_control/maxPosteriorValue_control</f>
        <v>0.13763850517909557</v>
      </c>
      <c r="J189" s="49" cm="1">
        <f t="array" ref="J189">IF($B189=0,0,IF($B189=1,0,_xlfn.BETA.DIST($B189,alpha_control_posterior,beta_control_posterior,FALSE)))</f>
        <v>1.3265678482725216</v>
      </c>
      <c r="L189" s="24">
        <v>17</v>
      </c>
      <c r="M189" s="29">
        <f t="shared" si="3"/>
        <v>204</v>
      </c>
      <c r="N189" s="69">
        <v>38032.282859338964</v>
      </c>
      <c r="O189" s="69">
        <v>48424.289008455031</v>
      </c>
      <c r="P189" s="70">
        <f t="shared" si="5"/>
        <v>0</v>
      </c>
      <c r="R189" s="24">
        <v>17</v>
      </c>
      <c r="S189" s="29">
        <f t="shared" si="4"/>
        <v>204</v>
      </c>
      <c r="T189" s="69">
        <v>61818.181818181823</v>
      </c>
      <c r="U189" s="69">
        <v>64000</v>
      </c>
      <c r="V189" s="70">
        <f t="shared" si="6"/>
        <v>0</v>
      </c>
    </row>
    <row r="190" spans="2:22" x14ac:dyDescent="0.2">
      <c r="B190" s="24">
        <f t="shared" si="7"/>
        <v>0.18000000000000002</v>
      </c>
      <c r="C190" s="54">
        <f t="shared" si="0"/>
        <v>1</v>
      </c>
      <c r="D190" s="54">
        <f t="shared" si="1"/>
        <v>0.1615058665991628</v>
      </c>
      <c r="E190" s="49" cm="1">
        <f t="array" ref="E190">IF($B190=0,0,IF($B190=1,0,_xlfn.BETA.DIST($B190,alpha_experiment_posterior,beta_experiment_posterior,FALSE)))</f>
        <v>1.3967038804547887</v>
      </c>
      <c r="G190" s="24">
        <f t="shared" si="8"/>
        <v>0.18000000000000002</v>
      </c>
      <c r="H190" s="54">
        <f t="shared" si="2"/>
        <v>1</v>
      </c>
      <c r="I190" s="54" cm="1">
        <f t="array" ref="I190">J190*maxPriorValue_control/maxPosteriorValue_control</f>
        <v>0.1125920798565416</v>
      </c>
      <c r="J190" s="49" cm="1">
        <f t="array" ref="J190">IF($B190=0,0,IF($B190=1,0,_xlfn.BETA.DIST($B190,alpha_control_posterior,beta_control_posterior,FALSE)))</f>
        <v>1.0851689569969636</v>
      </c>
      <c r="L190" s="24">
        <v>18</v>
      </c>
      <c r="M190" s="29">
        <f t="shared" si="3"/>
        <v>216</v>
      </c>
      <c r="N190" s="69">
        <v>39049.079754601233</v>
      </c>
      <c r="O190" s="69">
        <v>49463.190184049075</v>
      </c>
      <c r="P190" s="70">
        <f t="shared" si="5"/>
        <v>0</v>
      </c>
      <c r="R190" s="24">
        <v>18</v>
      </c>
      <c r="S190" s="29">
        <f t="shared" si="4"/>
        <v>216</v>
      </c>
      <c r="T190" s="69">
        <v>61818.181818181823</v>
      </c>
      <c r="U190" s="69">
        <v>65090.909090909088</v>
      </c>
      <c r="V190" s="70">
        <f t="shared" si="6"/>
        <v>0</v>
      </c>
    </row>
    <row r="191" spans="2:22" x14ac:dyDescent="0.2">
      <c r="B191" s="24">
        <f t="shared" si="7"/>
        <v>0.19000000000000003</v>
      </c>
      <c r="C191" s="54">
        <f t="shared" si="0"/>
        <v>1</v>
      </c>
      <c r="D191" s="54">
        <f t="shared" si="1"/>
        <v>0.13324765534054211</v>
      </c>
      <c r="E191" s="49" cm="1">
        <f t="array" ref="E191">IF($B191=0,0,IF($B191=1,0,_xlfn.BETA.DIST($B191,alpha_experiment_posterior,beta_experiment_posterior,FALSE)))</f>
        <v>1.1523266689595419</v>
      </c>
      <c r="G191" s="24">
        <f t="shared" si="8"/>
        <v>0.19000000000000003</v>
      </c>
      <c r="H191" s="54">
        <f t="shared" si="2"/>
        <v>1</v>
      </c>
      <c r="I191" s="54" cm="1">
        <f t="array" ref="I191">J191*maxPriorValue_control/maxPosteriorValue_control</f>
        <v>9.1667867687750745E-2</v>
      </c>
      <c r="J191" s="49" cm="1">
        <f t="array" ref="J191">IF($B191=0,0,IF($B191=1,0,_xlfn.BETA.DIST($B191,alpha_control_posterior,beta_control_posterior,FALSE)))</f>
        <v>0.88350019375783506</v>
      </c>
      <c r="L191" s="24">
        <v>19</v>
      </c>
      <c r="M191" s="29">
        <f t="shared" si="3"/>
        <v>228</v>
      </c>
      <c r="N191" s="69">
        <v>40061.208875286917</v>
      </c>
      <c r="O191" s="69">
        <v>50497.322111706198</v>
      </c>
      <c r="P191" s="70">
        <f t="shared" si="5"/>
        <v>0</v>
      </c>
      <c r="R191" s="24">
        <v>19</v>
      </c>
      <c r="S191" s="29">
        <f t="shared" si="4"/>
        <v>228</v>
      </c>
      <c r="T191" s="69">
        <v>61818.181818181823</v>
      </c>
      <c r="U191" s="69">
        <v>66181.818181818177</v>
      </c>
      <c r="V191" s="70">
        <f t="shared" si="6"/>
        <v>0</v>
      </c>
    </row>
    <row r="192" spans="2:22" x14ac:dyDescent="0.2">
      <c r="B192" s="24">
        <f t="shared" si="7"/>
        <v>0.20000000000000004</v>
      </c>
      <c r="C192" s="54">
        <f t="shared" si="0"/>
        <v>1</v>
      </c>
      <c r="D192" s="54">
        <f t="shared" si="1"/>
        <v>0.10936946290038051</v>
      </c>
      <c r="E192" s="49" cm="1">
        <f t="array" ref="E192">IF($B192=0,0,IF($B192=1,0,_xlfn.BETA.DIST($B192,alpha_experiment_posterior,beta_experiment_posterior,FALSE)))</f>
        <v>0.94582789128855915</v>
      </c>
      <c r="G192" s="24">
        <f t="shared" si="8"/>
        <v>0.20000000000000004</v>
      </c>
      <c r="H192" s="54">
        <f t="shared" si="2"/>
        <v>1</v>
      </c>
      <c r="I192" s="54" cm="1">
        <f t="array" ref="I192">J192*maxPriorValue_control/maxPosteriorValue_control</f>
        <v>7.4288116509213714E-2</v>
      </c>
      <c r="J192" s="49" cm="1">
        <f t="array" ref="J192">IF($B192=0,0,IF($B192=1,0,_xlfn.BETA.DIST($B192,alpha_control_posterior,beta_control_posterior,FALSE)))</f>
        <v>0.71599314989373675</v>
      </c>
      <c r="L192" s="24">
        <v>20</v>
      </c>
      <c r="M192" s="29">
        <f t="shared" si="3"/>
        <v>240</v>
      </c>
      <c r="N192" s="69">
        <v>41068.702290076348</v>
      </c>
      <c r="O192" s="69">
        <v>51526.717557251912</v>
      </c>
      <c r="P192" s="70">
        <f t="shared" si="5"/>
        <v>0</v>
      </c>
      <c r="R192" s="24">
        <v>20</v>
      </c>
      <c r="S192" s="29">
        <f t="shared" si="4"/>
        <v>240</v>
      </c>
      <c r="T192" s="69">
        <v>61818.181818181823</v>
      </c>
      <c r="U192" s="69">
        <v>67272.727272727279</v>
      </c>
      <c r="V192" s="70">
        <f t="shared" si="6"/>
        <v>0</v>
      </c>
    </row>
    <row r="193" spans="2:22" x14ac:dyDescent="0.2">
      <c r="B193" s="24">
        <f t="shared" si="7"/>
        <v>0.21000000000000005</v>
      </c>
      <c r="C193" s="54">
        <f t="shared" si="0"/>
        <v>1</v>
      </c>
      <c r="D193" s="54">
        <f t="shared" si="1"/>
        <v>8.932230488565597E-2</v>
      </c>
      <c r="E193" s="49" cm="1">
        <f t="array" ref="E193">IF($B193=0,0,IF($B193=1,0,_xlfn.BETA.DIST($B193,alpha_experiment_posterior,beta_experiment_posterior,FALSE)))</f>
        <v>0.77245992651519024</v>
      </c>
      <c r="G193" s="24">
        <f t="shared" si="8"/>
        <v>0.21000000000000005</v>
      </c>
      <c r="H193" s="54">
        <f t="shared" si="2"/>
        <v>1</v>
      </c>
      <c r="I193" s="54" cm="1">
        <f t="array" ref="I193">J193*maxPriorValue_control/maxPosteriorValue_control</f>
        <v>5.9931169176175032E-2</v>
      </c>
      <c r="J193" s="49" cm="1">
        <f t="array" ref="J193">IF($B193=0,0,IF($B193=1,0,_xlfn.BETA.DIST($B193,alpha_control_posterior,beta_control_posterior,FALSE)))</f>
        <v>0.57762006376809882</v>
      </c>
      <c r="L193" s="24">
        <v>21</v>
      </c>
      <c r="M193" s="29">
        <f t="shared" si="3"/>
        <v>252</v>
      </c>
      <c r="N193" s="69">
        <v>42071.591774562061</v>
      </c>
      <c r="O193" s="69">
        <v>52551.408987052549</v>
      </c>
      <c r="P193" s="70">
        <f t="shared" si="5"/>
        <v>0</v>
      </c>
      <c r="R193" s="24">
        <v>21</v>
      </c>
      <c r="S193" s="29">
        <f t="shared" si="4"/>
        <v>252</v>
      </c>
      <c r="T193" s="69">
        <v>61818.181818181823</v>
      </c>
      <c r="U193" s="69">
        <v>68363.636363636368</v>
      </c>
      <c r="V193" s="70">
        <f t="shared" si="6"/>
        <v>0</v>
      </c>
    </row>
    <row r="194" spans="2:22" x14ac:dyDescent="0.2">
      <c r="B194" s="24">
        <f t="shared" si="7"/>
        <v>0.22000000000000006</v>
      </c>
      <c r="C194" s="54">
        <f t="shared" si="0"/>
        <v>1</v>
      </c>
      <c r="D194" s="54">
        <f t="shared" si="1"/>
        <v>7.259368604928268E-2</v>
      </c>
      <c r="E194" s="49" cm="1">
        <f t="array" ref="E194">IF($B194=0,0,IF($B194=1,0,_xlfn.BETA.DIST($B194,alpha_experiment_posterior,beta_experiment_posterior,FALSE)))</f>
        <v>0.62779071210578152</v>
      </c>
      <c r="G194" s="24">
        <f t="shared" si="8"/>
        <v>0.22000000000000006</v>
      </c>
      <c r="H194" s="54">
        <f t="shared" si="2"/>
        <v>1</v>
      </c>
      <c r="I194" s="54" cm="1">
        <f t="array" ref="I194">J194*maxPriorValue_control/maxPosteriorValue_control</f>
        <v>4.813317424417398E-2</v>
      </c>
      <c r="J194" s="49" cm="1">
        <f t="array" ref="J194">IF($B194=0,0,IF($B194=1,0,_xlfn.BETA.DIST($B194,alpha_control_posterior,beta_control_posterior,FALSE)))</f>
        <v>0.46391030841649983</v>
      </c>
      <c r="L194" s="24">
        <v>22</v>
      </c>
      <c r="M194" s="29">
        <f t="shared" si="3"/>
        <v>264</v>
      </c>
      <c r="N194" s="69">
        <v>43069.908814589668</v>
      </c>
      <c r="O194" s="69">
        <v>53571.42857142858</v>
      </c>
      <c r="P194" s="70">
        <f t="shared" si="5"/>
        <v>0</v>
      </c>
      <c r="R194" s="24">
        <v>22</v>
      </c>
      <c r="S194" s="29">
        <f t="shared" si="4"/>
        <v>264</v>
      </c>
      <c r="T194" s="69">
        <v>61818.181818181823</v>
      </c>
      <c r="U194" s="69">
        <v>69454.545454545456</v>
      </c>
      <c r="V194" s="70">
        <f t="shared" si="6"/>
        <v>0</v>
      </c>
    </row>
    <row r="195" spans="2:22" x14ac:dyDescent="0.2">
      <c r="B195" s="24">
        <f t="shared" si="7"/>
        <v>0.23000000000000007</v>
      </c>
      <c r="C195" s="54">
        <f t="shared" si="0"/>
        <v>1</v>
      </c>
      <c r="D195" s="54">
        <f t="shared" si="1"/>
        <v>5.871492692457609E-2</v>
      </c>
      <c r="E195" s="49" cm="1">
        <f t="array" ref="E195">IF($B195=0,0,IF($B195=1,0,_xlfn.BETA.DIST($B195,alpha_experiment_posterior,beta_experiment_posterior,FALSE)))</f>
        <v>0.50776710470652264</v>
      </c>
      <c r="G195" s="24">
        <f t="shared" si="8"/>
        <v>0.23000000000000007</v>
      </c>
      <c r="H195" s="54">
        <f t="shared" si="2"/>
        <v>1</v>
      </c>
      <c r="I195" s="54" cm="1">
        <f t="array" ref="I195">J195*maxPriorValue_control/maxPosteriorValue_control</f>
        <v>3.8486850455175893E-2</v>
      </c>
      <c r="J195" s="49" cm="1">
        <f t="array" ref="J195">IF($B195=0,0,IF($B195=1,0,_xlfn.BETA.DIST($B195,alpha_control_posterior,beta_control_posterior,FALSE)))</f>
        <v>0.37093848359276765</v>
      </c>
      <c r="L195" s="24">
        <v>23</v>
      </c>
      <c r="M195" s="29">
        <f t="shared" si="3"/>
        <v>276</v>
      </c>
      <c r="N195" s="69">
        <v>44063.684609552693</v>
      </c>
      <c r="O195" s="69">
        <v>54586.808188021227</v>
      </c>
      <c r="P195" s="70">
        <f t="shared" si="5"/>
        <v>0</v>
      </c>
      <c r="R195" s="24">
        <v>23</v>
      </c>
      <c r="S195" s="29">
        <f t="shared" si="4"/>
        <v>276</v>
      </c>
      <c r="T195" s="69">
        <v>61818.181818181823</v>
      </c>
      <c r="U195" s="69">
        <v>70545.454545454544</v>
      </c>
      <c r="V195" s="70">
        <f t="shared" si="6"/>
        <v>0</v>
      </c>
    </row>
    <row r="196" spans="2:22" x14ac:dyDescent="0.2">
      <c r="B196" s="24">
        <f t="shared" si="7"/>
        <v>0.24000000000000007</v>
      </c>
      <c r="C196" s="54">
        <f t="shared" si="0"/>
        <v>1</v>
      </c>
      <c r="D196" s="54">
        <f t="shared" si="1"/>
        <v>4.7264416176982967E-2</v>
      </c>
      <c r="E196" s="49" cm="1">
        <f t="array" ref="E196">IF($B196=0,0,IF($B196=1,0,_xlfn.BETA.DIST($B196,alpha_experiment_posterior,beta_experiment_posterior,FALSE)))</f>
        <v>0.40874300650428752</v>
      </c>
      <c r="G196" s="24">
        <f t="shared" si="8"/>
        <v>0.24000000000000007</v>
      </c>
      <c r="H196" s="54">
        <f t="shared" si="2"/>
        <v>1</v>
      </c>
      <c r="I196" s="54" cm="1">
        <f t="array" ref="I196">J196*maxPriorValue_control/maxPosteriorValue_control</f>
        <v>3.0638396886877323E-2</v>
      </c>
      <c r="J196" s="49" cm="1">
        <f t="array" ref="J196">IF($B196=0,0,IF($B196=1,0,_xlfn.BETA.DIST($B196,alpha_control_posterior,beta_control_posterior,FALSE)))</f>
        <v>0.29529463560984198</v>
      </c>
      <c r="L196" s="24">
        <v>24</v>
      </c>
      <c r="M196" s="29">
        <f t="shared" si="3"/>
        <v>288</v>
      </c>
      <c r="N196" s="69">
        <v>45052.950075642962</v>
      </c>
      <c r="O196" s="69">
        <v>55597.579425113472</v>
      </c>
      <c r="P196" s="70">
        <f t="shared" si="5"/>
        <v>0</v>
      </c>
      <c r="R196" s="24">
        <v>24</v>
      </c>
      <c r="S196" s="29">
        <f t="shared" si="4"/>
        <v>288</v>
      </c>
      <c r="T196" s="69">
        <v>61818.181818181823</v>
      </c>
      <c r="U196" s="69">
        <v>71636.363636363632</v>
      </c>
      <c r="V196" s="70">
        <f t="shared" si="6"/>
        <v>0</v>
      </c>
    </row>
    <row r="197" spans="2:22" x14ac:dyDescent="0.2">
      <c r="B197" s="24">
        <f t="shared" si="7"/>
        <v>0.25000000000000006</v>
      </c>
      <c r="C197" s="54">
        <f t="shared" si="0"/>
        <v>1</v>
      </c>
      <c r="D197" s="54">
        <f t="shared" si="1"/>
        <v>3.7868019896944723E-2</v>
      </c>
      <c r="E197" s="49" cm="1">
        <f t="array" ref="E197">IF($B197=0,0,IF($B197=1,0,_xlfn.BETA.DIST($B197,alpha_experiment_posterior,beta_experiment_posterior,FALSE)))</f>
        <v>0.32748290479422132</v>
      </c>
      <c r="G197" s="24">
        <f t="shared" si="8"/>
        <v>0.25000000000000006</v>
      </c>
      <c r="H197" s="54">
        <f t="shared" si="2"/>
        <v>1</v>
      </c>
      <c r="I197" s="54" cm="1">
        <f t="array" ref="I197">J197*maxPriorValue_control/maxPosteriorValue_control</f>
        <v>2.4283323046135587E-2</v>
      </c>
      <c r="J197" s="49" cm="1">
        <f t="array" ref="J197">IF($B197=0,0,IF($B197=1,0,_xlfn.BETA.DIST($B197,alpha_control_posterior,beta_control_posterior,FALSE)))</f>
        <v>0.23404406753983828</v>
      </c>
      <c r="L197" s="24">
        <v>25</v>
      </c>
      <c r="M197" s="29">
        <f t="shared" si="3"/>
        <v>300</v>
      </c>
      <c r="N197" s="69">
        <v>46037.735849056582</v>
      </c>
      <c r="O197" s="69">
        <v>56603.773584905655</v>
      </c>
      <c r="P197" s="70">
        <f t="shared" si="5"/>
        <v>0</v>
      </c>
      <c r="R197" s="24">
        <v>25</v>
      </c>
      <c r="S197" s="29">
        <f t="shared" si="4"/>
        <v>300</v>
      </c>
      <c r="T197" s="69">
        <v>61818.181818181823</v>
      </c>
      <c r="U197" s="69">
        <v>72727.272727272735</v>
      </c>
      <c r="V197" s="70">
        <f t="shared" si="6"/>
        <v>0</v>
      </c>
    </row>
    <row r="198" spans="2:22" x14ac:dyDescent="0.2">
      <c r="B198" s="24">
        <f t="shared" si="7"/>
        <v>0.26000000000000006</v>
      </c>
      <c r="C198" s="54">
        <f t="shared" si="0"/>
        <v>1</v>
      </c>
      <c r="D198" s="54">
        <f t="shared" si="1"/>
        <v>3.0197572303280934E-2</v>
      </c>
      <c r="E198" s="49" cm="1">
        <f t="array" ref="E198">IF($B198=0,0,IF($B198=1,0,_xlfn.BETA.DIST($B198,alpha_experiment_posterior,beta_experiment_posterior,FALSE)))</f>
        <v>0.26114881957189018</v>
      </c>
      <c r="G198" s="24">
        <f t="shared" si="8"/>
        <v>0.26000000000000006</v>
      </c>
      <c r="H198" s="54">
        <f t="shared" si="2"/>
        <v>1</v>
      </c>
      <c r="I198" s="54" cm="1">
        <f t="array" ref="I198">J198*maxPriorValue_control/maxPosteriorValue_control</f>
        <v>1.9161741363814457E-2</v>
      </c>
      <c r="J198" s="49" cm="1">
        <f t="array" ref="J198">IF($B198=0,0,IF($B198=1,0,_xlfn.BETA.DIST($B198,alpha_control_posterior,beta_control_posterior,FALSE)))</f>
        <v>0.18468196800796546</v>
      </c>
      <c r="L198" s="24">
        <v>26</v>
      </c>
      <c r="M198" s="29">
        <f t="shared" si="3"/>
        <v>312</v>
      </c>
      <c r="N198" s="69">
        <v>47018.072289156626</v>
      </c>
      <c r="O198" s="69">
        <v>57605.421686746988</v>
      </c>
      <c r="P198" s="70">
        <f t="shared" si="5"/>
        <v>0</v>
      </c>
      <c r="R198" s="24">
        <v>26</v>
      </c>
      <c r="S198" s="29">
        <f t="shared" si="4"/>
        <v>312</v>
      </c>
      <c r="T198" s="69">
        <v>61818.181818181823</v>
      </c>
      <c r="U198" s="69">
        <v>73818.181818181823</v>
      </c>
      <c r="V198" s="70">
        <f t="shared" si="6"/>
        <v>0</v>
      </c>
    </row>
    <row r="199" spans="2:22" x14ac:dyDescent="0.2">
      <c r="B199" s="24">
        <f t="shared" si="7"/>
        <v>0.27000000000000007</v>
      </c>
      <c r="C199" s="54">
        <f t="shared" si="0"/>
        <v>1</v>
      </c>
      <c r="D199" s="54">
        <f t="shared" si="1"/>
        <v>2.3968135885080483E-2</v>
      </c>
      <c r="E199" s="49" cm="1">
        <f t="array" ref="E199">IF($B199=0,0,IF($B199=1,0,_xlfn.BETA.DIST($B199,alpha_experiment_posterior,beta_experiment_posterior,FALSE)))</f>
        <v>0.20727660922091304</v>
      </c>
      <c r="G199" s="24">
        <f t="shared" si="8"/>
        <v>0.27000000000000007</v>
      </c>
      <c r="H199" s="54">
        <f t="shared" si="2"/>
        <v>1</v>
      </c>
      <c r="I199" s="54" cm="1">
        <f t="array" ref="I199">J199*maxPriorValue_control/maxPosteriorValue_control</f>
        <v>1.5053495158796098E-2</v>
      </c>
      <c r="J199" s="49" cm="1">
        <f t="array" ref="J199">IF($B199=0,0,IF($B199=1,0,_xlfn.BETA.DIST($B199,alpha_control_posterior,beta_control_posterior,FALSE)))</f>
        <v>0.145086454228783</v>
      </c>
      <c r="L199" s="24">
        <v>27</v>
      </c>
      <c r="M199" s="29">
        <f t="shared" si="3"/>
        <v>324</v>
      </c>
      <c r="N199" s="69">
        <v>47993.989481592798</v>
      </c>
      <c r="O199" s="69">
        <v>58602.55447032307</v>
      </c>
      <c r="P199" s="70">
        <f t="shared" si="5"/>
        <v>0</v>
      </c>
      <c r="R199" s="24">
        <v>27</v>
      </c>
      <c r="S199" s="29">
        <f t="shared" si="4"/>
        <v>324</v>
      </c>
      <c r="T199" s="69">
        <v>61818.181818181823</v>
      </c>
      <c r="U199" s="69">
        <v>74909.090909090912</v>
      </c>
      <c r="V199" s="70">
        <f t="shared" si="6"/>
        <v>0</v>
      </c>
    </row>
    <row r="200" spans="2:22" x14ac:dyDescent="0.2">
      <c r="B200" s="24">
        <f t="shared" si="7"/>
        <v>0.28000000000000008</v>
      </c>
      <c r="C200" s="54">
        <f t="shared" si="0"/>
        <v>1</v>
      </c>
      <c r="D200" s="54">
        <f t="shared" si="1"/>
        <v>1.893453696535494E-2</v>
      </c>
      <c r="E200" s="49" cm="1">
        <f t="array" ref="E200">IF($B200=0,0,IF($B200=1,0,_xlfn.BETA.DIST($B200,alpha_experiment_posterior,beta_experiment_posterior,FALSE)))</f>
        <v>0.16374601004285111</v>
      </c>
      <c r="G200" s="24">
        <f t="shared" si="8"/>
        <v>0.28000000000000008</v>
      </c>
      <c r="H200" s="54">
        <f t="shared" si="2"/>
        <v>1</v>
      </c>
      <c r="I200" s="54" cm="1">
        <f t="array" ref="I200">J200*maxPriorValue_control/maxPosteriorValue_control</f>
        <v>1.1773371605730627E-2</v>
      </c>
      <c r="J200" s="49" cm="1">
        <f t="array" ref="J200">IF($B200=0,0,IF($B200=1,0,_xlfn.BETA.DIST($B200,alpha_control_posterior,beta_control_posterior,FALSE)))</f>
        <v>0.11347243431338105</v>
      </c>
      <c r="L200" s="24">
        <v>28</v>
      </c>
      <c r="M200" s="29">
        <f t="shared" si="3"/>
        <v>336</v>
      </c>
      <c r="N200" s="69">
        <v>48965.517241379304</v>
      </c>
      <c r="O200" s="69">
        <v>59595.202398800597</v>
      </c>
      <c r="P200" s="70">
        <f t="shared" si="5"/>
        <v>0</v>
      </c>
      <c r="R200" s="24">
        <v>28</v>
      </c>
      <c r="S200" s="29">
        <f t="shared" si="4"/>
        <v>336</v>
      </c>
      <c r="T200" s="69">
        <v>61818.181818181823</v>
      </c>
      <c r="U200" s="69">
        <v>76000.000000000015</v>
      </c>
      <c r="V200" s="70">
        <f t="shared" si="6"/>
        <v>0</v>
      </c>
    </row>
    <row r="201" spans="2:22" x14ac:dyDescent="0.2">
      <c r="B201" s="24">
        <f t="shared" si="7"/>
        <v>0.29000000000000009</v>
      </c>
      <c r="C201" s="54">
        <f t="shared" si="0"/>
        <v>1</v>
      </c>
      <c r="D201" s="54">
        <f t="shared" si="1"/>
        <v>1.488754291186304E-2</v>
      </c>
      <c r="E201" s="49" cm="1">
        <f t="array" ref="E201">IF($B201=0,0,IF($B201=1,0,_xlfn.BETA.DIST($B201,alpha_experiment_posterior,beta_experiment_posterior,FALSE)))</f>
        <v>0.12874757674928991</v>
      </c>
      <c r="G201" s="24">
        <f t="shared" si="8"/>
        <v>0.29000000000000009</v>
      </c>
      <c r="H201" s="54">
        <f t="shared" si="2"/>
        <v>1</v>
      </c>
      <c r="I201" s="54" cm="1">
        <f t="array" ref="I201">J201*maxPriorValue_control/maxPosteriorValue_control</f>
        <v>9.1665595951677878E-3</v>
      </c>
      <c r="J201" s="49" cm="1">
        <f t="array" ref="J201">IF($B201=0,0,IF($B201=1,0,_xlfn.BETA.DIST($B201,alpha_control_posterior,beta_control_posterior,FALSE)))</f>
        <v>8.8347829863459099E-2</v>
      </c>
      <c r="L201" s="24">
        <v>29</v>
      </c>
      <c r="M201" s="29">
        <f t="shared" si="3"/>
        <v>348</v>
      </c>
      <c r="N201" s="69">
        <v>49932.685115931192</v>
      </c>
      <c r="O201" s="69">
        <v>60583.395661929695</v>
      </c>
      <c r="P201" s="70">
        <f t="shared" si="5"/>
        <v>0</v>
      </c>
      <c r="R201" s="24">
        <v>29</v>
      </c>
      <c r="S201" s="29">
        <f t="shared" si="4"/>
        <v>348</v>
      </c>
      <c r="T201" s="69">
        <v>61818.181818181823</v>
      </c>
      <c r="U201" s="69">
        <v>77090.909090909088</v>
      </c>
      <c r="V201" s="70">
        <f t="shared" si="6"/>
        <v>0</v>
      </c>
    </row>
    <row r="202" spans="2:22" x14ac:dyDescent="0.2">
      <c r="B202" s="24">
        <f t="shared" si="7"/>
        <v>0.3000000000000001</v>
      </c>
      <c r="C202" s="54">
        <f t="shared" si="0"/>
        <v>1</v>
      </c>
      <c r="D202" s="54">
        <f t="shared" si="1"/>
        <v>1.1649940428686686E-2</v>
      </c>
      <c r="E202" s="49" cm="1">
        <f t="array" ref="E202">IF($B202=0,0,IF($B202=1,0,_xlfn.BETA.DIST($B202,alpha_experiment_posterior,beta_experiment_posterior,FALSE)))</f>
        <v>0.10074876749955884</v>
      </c>
      <c r="G202" s="24">
        <f t="shared" si="8"/>
        <v>0.3000000000000001</v>
      </c>
      <c r="H202" s="54">
        <f t="shared" si="2"/>
        <v>1</v>
      </c>
      <c r="I202" s="54" cm="1">
        <f t="array" ref="I202">J202*maxPriorValue_control/maxPosteriorValue_control</f>
        <v>7.1044478636369379E-3</v>
      </c>
      <c r="J202" s="49" cm="1">
        <f t="array" ref="J202">IF($B202=0,0,IF($B202=1,0,_xlfn.BETA.DIST($B202,alpha_control_posterior,beta_control_posterior,FALSE)))</f>
        <v>6.8473078106783714E-2</v>
      </c>
      <c r="L202" s="24">
        <v>30</v>
      </c>
      <c r="M202" s="29">
        <f t="shared" si="3"/>
        <v>360</v>
      </c>
      <c r="N202" s="69">
        <v>50895.522388059704</v>
      </c>
      <c r="O202" s="69">
        <v>61567.164179104482</v>
      </c>
      <c r="P202" s="70">
        <f t="shared" si="5"/>
        <v>0</v>
      </c>
      <c r="R202" s="24">
        <v>30</v>
      </c>
      <c r="S202" s="29">
        <f t="shared" si="4"/>
        <v>360</v>
      </c>
      <c r="T202" s="69">
        <v>61818.181818181823</v>
      </c>
      <c r="U202" s="69">
        <v>78181.818181818191</v>
      </c>
      <c r="V202" s="70">
        <f t="shared" si="6"/>
        <v>0</v>
      </c>
    </row>
    <row r="203" spans="2:22" x14ac:dyDescent="0.2">
      <c r="B203" s="24">
        <f t="shared" si="7"/>
        <v>0.31000000000000011</v>
      </c>
      <c r="C203" s="54">
        <f t="shared" si="0"/>
        <v>1</v>
      </c>
      <c r="D203" s="54">
        <f t="shared" si="1"/>
        <v>9.0726932976066699E-3</v>
      </c>
      <c r="E203" s="49" cm="1">
        <f t="array" ref="E203">IF($B203=0,0,IF($B203=1,0,_xlfn.BETA.DIST($B203,alpha_experiment_posterior,beta_experiment_posterior,FALSE)))</f>
        <v>7.8460716020882157E-2</v>
      </c>
      <c r="G203" s="24">
        <f t="shared" si="8"/>
        <v>0.31000000000000011</v>
      </c>
      <c r="H203" s="54">
        <f t="shared" si="2"/>
        <v>1</v>
      </c>
      <c r="I203" s="54" cm="1">
        <f t="array" ref="I203">J203*maxPriorValue_control/maxPosteriorValue_control</f>
        <v>5.4808129291512601E-3</v>
      </c>
      <c r="J203" s="49" cm="1">
        <f t="array" ref="J203">IF($B203=0,0,IF($B203=1,0,_xlfn.BETA.DIST($B203,alpha_control_posterior,beta_control_posterior,FALSE)))</f>
        <v>5.2824390999798999E-2</v>
      </c>
      <c r="L203" s="24">
        <v>31</v>
      </c>
      <c r="M203" s="29">
        <f t="shared" si="3"/>
        <v>372</v>
      </c>
      <c r="N203" s="69">
        <v>51854.058078927759</v>
      </c>
      <c r="O203" s="69">
        <v>62546.537602382727</v>
      </c>
      <c r="P203" s="70">
        <f t="shared" si="5"/>
        <v>0</v>
      </c>
      <c r="R203" s="24">
        <v>31</v>
      </c>
      <c r="S203" s="29">
        <f t="shared" si="4"/>
        <v>372</v>
      </c>
      <c r="T203" s="69">
        <v>61818.181818181823</v>
      </c>
      <c r="U203" s="69">
        <v>79272.727272727279</v>
      </c>
      <c r="V203" s="70">
        <f t="shared" si="6"/>
        <v>0</v>
      </c>
    </row>
    <row r="204" spans="2:22" x14ac:dyDescent="0.2">
      <c r="B204" s="24">
        <f t="shared" si="7"/>
        <v>0.32000000000000012</v>
      </c>
      <c r="C204" s="54">
        <f t="shared" ref="C204:C235" si="9">IF($B204=0,0,IF($B204=1,0,_xlfn.BETA.DIST($B204,alpha_experiment_prior,beta_experiment_prior,FALSE)))</f>
        <v>1</v>
      </c>
      <c r="D204" s="54">
        <f t="shared" ref="D204:D235" si="10">E204*maxPriorValue_experiment/maxPosteriorValue_experiment</f>
        <v>7.0312969416261627E-3</v>
      </c>
      <c r="E204" s="49" cm="1">
        <f t="array" ref="E204">IF($B204=0,0,IF($B204=1,0,_xlfn.BETA.DIST($B204,alpha_experiment_posterior,beta_experiment_posterior,FALSE)))</f>
        <v>6.080670584786086E-2</v>
      </c>
      <c r="G204" s="24">
        <f t="shared" si="8"/>
        <v>0.32000000000000012</v>
      </c>
      <c r="H204" s="54">
        <f t="shared" ref="H204:H235" si="11">IF(G204=0,0,IF(G204=1,0,_xlfn.BETA.DIST(G204,alpha_control_prior,beta_control_prior,FALSE)))</f>
        <v>1</v>
      </c>
      <c r="I204" s="54" cm="1">
        <f t="array" ref="I204">J204*maxPriorValue_control/maxPosteriorValue_control</f>
        <v>4.2084143799588263E-3</v>
      </c>
      <c r="J204" s="49" cm="1">
        <f t="array" ref="J204">IF($B204=0,0,IF($B204=1,0,_xlfn.BETA.DIST($B204,alpha_control_posterior,beta_control_posterior,FALSE)))</f>
        <v>4.0560940424315371E-2</v>
      </c>
      <c r="L204" s="24">
        <v>32</v>
      </c>
      <c r="M204" s="29">
        <f t="shared" ref="M204:M235" si="12">IF(L204=0,1,L204*(maxPosteriorScalePower/100))</f>
        <v>384</v>
      </c>
      <c r="N204" s="69">
        <v>52808.320950965834</v>
      </c>
      <c r="O204" s="69">
        <v>63521.545319465076</v>
      </c>
      <c r="P204" s="70">
        <f t="shared" si="5"/>
        <v>0</v>
      </c>
      <c r="R204" s="24">
        <v>32</v>
      </c>
      <c r="S204" s="29">
        <f t="shared" ref="S204:S235" si="13">IF(R204=0,1,R204*(maxHeadsInControl/100))</f>
        <v>384</v>
      </c>
      <c r="T204" s="69">
        <v>61818.181818181823</v>
      </c>
      <c r="U204" s="69">
        <v>80363.636363636353</v>
      </c>
      <c r="V204" s="70">
        <f t="shared" si="6"/>
        <v>0</v>
      </c>
    </row>
    <row r="205" spans="2:22" x14ac:dyDescent="0.2">
      <c r="B205" s="24">
        <f t="shared" si="7"/>
        <v>0.33000000000000013</v>
      </c>
      <c r="C205" s="54">
        <f t="shared" si="9"/>
        <v>1</v>
      </c>
      <c r="D205" s="54">
        <f t="shared" si="10"/>
        <v>5.4224018084403792E-3</v>
      </c>
      <c r="E205" s="49" cm="1">
        <f t="array" ref="E205">IF($B205=0,0,IF($B205=1,0,_xlfn.BETA.DIST($B205,alpha_experiment_posterior,beta_experiment_posterior,FALSE)))</f>
        <v>4.6892969318756625E-2</v>
      </c>
      <c r="G205" s="24">
        <f t="shared" si="8"/>
        <v>0.33000000000000013</v>
      </c>
      <c r="H205" s="54">
        <f t="shared" si="11"/>
        <v>1</v>
      </c>
      <c r="I205" s="54" cm="1">
        <f t="array" ref="I205">J205*maxPriorValue_control/maxPosteriorValue_control</f>
        <v>3.2159933254033101E-3</v>
      </c>
      <c r="J205" s="49" cm="1">
        <f t="array" ref="J205">IF($B205=0,0,IF($B205=1,0,_xlfn.BETA.DIST($B205,alpha_control_posterior,beta_control_posterior,FALSE)))</f>
        <v>3.0995929083855039E-2</v>
      </c>
      <c r="L205" s="24">
        <v>33</v>
      </c>
      <c r="M205" s="29">
        <f t="shared" si="12"/>
        <v>396</v>
      </c>
      <c r="N205" s="69">
        <v>53758.339510748716</v>
      </c>
      <c r="O205" s="69">
        <v>64492.216456634538</v>
      </c>
      <c r="P205" s="70">
        <f t="shared" si="5"/>
        <v>0</v>
      </c>
      <c r="R205" s="24">
        <v>33</v>
      </c>
      <c r="S205" s="29">
        <f t="shared" si="13"/>
        <v>396</v>
      </c>
      <c r="T205" s="69">
        <v>61818.181818181823</v>
      </c>
      <c r="U205" s="69">
        <v>81454.545454545456</v>
      </c>
      <c r="V205" s="70">
        <f t="shared" si="6"/>
        <v>0</v>
      </c>
    </row>
    <row r="206" spans="2:22" x14ac:dyDescent="0.2">
      <c r="B206" s="24">
        <f t="shared" si="7"/>
        <v>0.34000000000000014</v>
      </c>
      <c r="C206" s="54">
        <f t="shared" si="9"/>
        <v>1</v>
      </c>
      <c r="D206" s="54">
        <f t="shared" si="10"/>
        <v>4.1607443164999635E-3</v>
      </c>
      <c r="E206" s="49" cm="1">
        <f t="array" ref="E206">IF($B206=0,0,IF($B206=1,0,_xlfn.BETA.DIST($B206,alpha_experiment_posterior,beta_experiment_posterior,FALSE)))</f>
        <v>3.5982146375268767E-2</v>
      </c>
      <c r="G206" s="24">
        <f t="shared" si="8"/>
        <v>0.34000000000000014</v>
      </c>
      <c r="H206" s="54">
        <f t="shared" si="11"/>
        <v>1</v>
      </c>
      <c r="I206" s="54" cm="1">
        <f t="array" ref="I206">J206*maxPriorValue_control/maxPosteriorValue_control</f>
        <v>2.4456556167642531E-3</v>
      </c>
      <c r="J206" s="49" cm="1">
        <f t="array" ref="J206">IF($B206=0,0,IF($B206=1,0,_xlfn.BETA.DIST($B206,alpha_control_posterior,beta_control_posterior,FALSE)))</f>
        <v>2.3571369835243664E-2</v>
      </c>
      <c r="L206" s="24">
        <v>34</v>
      </c>
      <c r="M206" s="29">
        <f t="shared" si="12"/>
        <v>408</v>
      </c>
      <c r="N206" s="69">
        <v>54704.142011834309</v>
      </c>
      <c r="O206" s="69">
        <v>65458.579881656806</v>
      </c>
      <c r="P206" s="70">
        <f t="shared" si="5"/>
        <v>0</v>
      </c>
      <c r="R206" s="24">
        <v>34</v>
      </c>
      <c r="S206" s="29">
        <f t="shared" si="13"/>
        <v>408</v>
      </c>
      <c r="T206" s="69">
        <v>61818.181818181823</v>
      </c>
      <c r="U206" s="69">
        <v>82545.45454545453</v>
      </c>
      <c r="V206" s="70">
        <f t="shared" si="6"/>
        <v>0</v>
      </c>
    </row>
    <row r="207" spans="2:22" x14ac:dyDescent="0.2">
      <c r="B207" s="24">
        <f t="shared" si="7"/>
        <v>0.35000000000000014</v>
      </c>
      <c r="C207" s="54">
        <f t="shared" si="9"/>
        <v>1</v>
      </c>
      <c r="D207" s="54">
        <f t="shared" si="10"/>
        <v>3.1764002066331206E-3</v>
      </c>
      <c r="E207" s="49" cm="1">
        <f t="array" ref="E207">IF($B207=0,0,IF($B207=1,0,_xlfn.BETA.DIST($B207,alpha_experiment_posterior,beta_experiment_posterior,FALSE)))</f>
        <v>2.7469531527871256E-2</v>
      </c>
      <c r="G207" s="24">
        <f t="shared" si="8"/>
        <v>0.35000000000000014</v>
      </c>
      <c r="H207" s="54">
        <f t="shared" si="11"/>
        <v>1</v>
      </c>
      <c r="I207" s="54" cm="1">
        <f t="array" ref="I207">J207*maxPriorValue_control/maxPosteriorValue_control</f>
        <v>1.850612741150708E-3</v>
      </c>
      <c r="J207" s="49" cm="1">
        <f t="array" ref="J207">IF($B207=0,0,IF($B207=1,0,_xlfn.BETA.DIST($B207,alpha_control_posterior,beta_control_posterior,FALSE)))</f>
        <v>1.7836312293711729E-2</v>
      </c>
      <c r="L207" s="24">
        <v>35</v>
      </c>
      <c r="M207" s="29">
        <f t="shared" si="12"/>
        <v>420</v>
      </c>
      <c r="N207" s="69">
        <v>55645.756457564581</v>
      </c>
      <c r="O207" s="69">
        <v>66420.664206642075</v>
      </c>
      <c r="P207" s="70">
        <f t="shared" si="5"/>
        <v>0</v>
      </c>
      <c r="R207" s="24">
        <v>35</v>
      </c>
      <c r="S207" s="29">
        <f t="shared" si="13"/>
        <v>420</v>
      </c>
      <c r="T207" s="69">
        <v>61818.181818181823</v>
      </c>
      <c r="U207" s="69">
        <v>83636.363636363632</v>
      </c>
      <c r="V207" s="70">
        <f t="shared" si="6"/>
        <v>0</v>
      </c>
    </row>
    <row r="208" spans="2:22" x14ac:dyDescent="0.2">
      <c r="B208" s="24">
        <f t="shared" si="7"/>
        <v>0.36000000000000015</v>
      </c>
      <c r="C208" s="54">
        <f t="shared" si="9"/>
        <v>1</v>
      </c>
      <c r="D208" s="54">
        <f t="shared" si="10"/>
        <v>2.412358416805563E-3</v>
      </c>
      <c r="E208" s="49" cm="1">
        <f t="array" ref="E208">IF($B208=0,0,IF($B208=1,0,_xlfn.BETA.DIST($B208,alpha_experiment_posterior,beta_experiment_posterior,FALSE)))</f>
        <v>2.0862092707520048E-2</v>
      </c>
      <c r="G208" s="24">
        <f t="shared" si="8"/>
        <v>0.36000000000000015</v>
      </c>
      <c r="H208" s="54">
        <f t="shared" si="11"/>
        <v>1</v>
      </c>
      <c r="I208" s="54" cm="1">
        <f t="array" ref="I208">J208*maxPriorValue_control/maxPosteriorValue_control</f>
        <v>1.3932485448896674E-3</v>
      </c>
      <c r="J208" s="49" cm="1">
        <f t="array" ref="J208">IF($B208=0,0,IF($B208=1,0,_xlfn.BETA.DIST($B208,alpha_control_posterior,beta_control_posterior,FALSE)))</f>
        <v>1.3428209801451818E-2</v>
      </c>
      <c r="L208" s="24">
        <v>36</v>
      </c>
      <c r="M208" s="29">
        <f t="shared" si="12"/>
        <v>432</v>
      </c>
      <c r="N208" s="69">
        <v>56583.210603829168</v>
      </c>
      <c r="O208" s="69">
        <v>67378.497790868918</v>
      </c>
      <c r="P208" s="70">
        <f t="shared" si="5"/>
        <v>0</v>
      </c>
      <c r="R208" s="24">
        <v>36</v>
      </c>
      <c r="S208" s="29">
        <f t="shared" si="13"/>
        <v>432</v>
      </c>
      <c r="T208" s="69">
        <v>61818.181818181823</v>
      </c>
      <c r="U208" s="69">
        <v>84727.272727272721</v>
      </c>
      <c r="V208" s="70">
        <f t="shared" si="6"/>
        <v>0</v>
      </c>
    </row>
    <row r="209" spans="2:22" x14ac:dyDescent="0.2">
      <c r="B209" s="24">
        <f t="shared" si="7"/>
        <v>0.37000000000000016</v>
      </c>
      <c r="C209" s="54">
        <f t="shared" si="9"/>
        <v>1</v>
      </c>
      <c r="D209" s="54">
        <f t="shared" si="10"/>
        <v>1.8224023272532914E-3</v>
      </c>
      <c r="E209" s="49" cm="1">
        <f t="array" ref="E209">IF($B209=0,0,IF($B209=1,0,_xlfn.BETA.DIST($B209,alpha_experiment_posterior,beta_experiment_posterior,FALSE)))</f>
        <v>1.5760148258525886E-2</v>
      </c>
      <c r="G209" s="24">
        <f t="shared" si="8"/>
        <v>0.37000000000000016</v>
      </c>
      <c r="H209" s="54">
        <f t="shared" si="11"/>
        <v>1</v>
      </c>
      <c r="I209" s="54" cm="1">
        <f t="array" ref="I209">J209*maxPriorValue_control/maxPosteriorValue_control</f>
        <v>1.0434779978912834E-3</v>
      </c>
      <c r="J209" s="49" cm="1">
        <f t="array" ref="J209">IF($B209=0,0,IF($B209=1,0,_xlfn.BETA.DIST($B209,alpha_control_posterior,beta_control_posterior,FALSE)))</f>
        <v>1.0057101103947448E-2</v>
      </c>
      <c r="L209" s="24">
        <v>37</v>
      </c>
      <c r="M209" s="29">
        <f t="shared" si="12"/>
        <v>444</v>
      </c>
      <c r="N209" s="69">
        <v>57516.531961792818</v>
      </c>
      <c r="O209" s="69">
        <v>68332.108743570905</v>
      </c>
      <c r="P209" s="70">
        <f t="shared" si="5"/>
        <v>0</v>
      </c>
      <c r="R209" s="24">
        <v>37</v>
      </c>
      <c r="S209" s="29">
        <f t="shared" si="13"/>
        <v>444</v>
      </c>
      <c r="T209" s="69">
        <v>61818.181818181823</v>
      </c>
      <c r="U209" s="69">
        <v>85818.181818181809</v>
      </c>
      <c r="V209" s="70">
        <f t="shared" si="6"/>
        <v>0</v>
      </c>
    </row>
    <row r="210" spans="2:22" x14ac:dyDescent="0.2">
      <c r="B210" s="24">
        <f t="shared" si="7"/>
        <v>0.38000000000000017</v>
      </c>
      <c r="C210" s="54">
        <f t="shared" si="9"/>
        <v>1</v>
      </c>
      <c r="D210" s="54">
        <f t="shared" si="10"/>
        <v>1.3692780560404735E-3</v>
      </c>
      <c r="E210" s="49" cm="1">
        <f t="array" ref="E210">IF($B210=0,0,IF($B210=1,0,_xlfn.BETA.DIST($B210,alpha_experiment_posterior,beta_experiment_posterior,FALSE)))</f>
        <v>1.1841526345540395E-2</v>
      </c>
      <c r="G210" s="24">
        <f t="shared" si="8"/>
        <v>0.38000000000000017</v>
      </c>
      <c r="H210" s="54">
        <f t="shared" si="11"/>
        <v>1</v>
      </c>
      <c r="I210" s="54" cm="1">
        <f t="array" ref="I210">J210*maxPriorValue_control/maxPosteriorValue_control</f>
        <v>7.7736420084706804E-4</v>
      </c>
      <c r="J210" s="49" cm="1">
        <f t="array" ref="J210">IF($B210=0,0,IF($B210=1,0,_xlfn.BETA.DIST($B210,alpha_control_posterior,beta_control_posterior,FALSE)))</f>
        <v>7.4922809856148107E-3</v>
      </c>
      <c r="L210" s="24">
        <v>38</v>
      </c>
      <c r="M210" s="29">
        <f t="shared" si="12"/>
        <v>456</v>
      </c>
      <c r="N210" s="69">
        <v>58445.747800586512</v>
      </c>
      <c r="O210" s="69">
        <v>69281.524926686208</v>
      </c>
      <c r="P210" s="70">
        <f t="shared" si="5"/>
        <v>0</v>
      </c>
      <c r="R210" s="24">
        <v>38</v>
      </c>
      <c r="S210" s="29">
        <f t="shared" si="13"/>
        <v>456</v>
      </c>
      <c r="T210" s="69">
        <v>61818.181818181823</v>
      </c>
      <c r="U210" s="69">
        <v>86909.090909090912</v>
      </c>
      <c r="V210" s="70">
        <f t="shared" si="6"/>
        <v>0</v>
      </c>
    </row>
    <row r="211" spans="2:22" x14ac:dyDescent="0.2">
      <c r="B211" s="24">
        <f t="shared" si="7"/>
        <v>0.39000000000000018</v>
      </c>
      <c r="C211" s="54">
        <f t="shared" si="9"/>
        <v>1</v>
      </c>
      <c r="D211" s="54">
        <f t="shared" si="10"/>
        <v>1.0231253619732957E-3</v>
      </c>
      <c r="E211" s="49" cm="1">
        <f t="array" ref="E211">IF($B211=0,0,IF($B211=1,0,_xlfn.BETA.DIST($B211,alpha_experiment_posterior,beta_experiment_posterior,FALSE)))</f>
        <v>8.8479953908201861E-3</v>
      </c>
      <c r="G211" s="24">
        <f t="shared" si="8"/>
        <v>0.39000000000000018</v>
      </c>
      <c r="H211" s="54">
        <f t="shared" si="11"/>
        <v>1</v>
      </c>
      <c r="I211" s="54" cm="1">
        <f t="array" ref="I211">J211*maxPriorValue_control/maxPosteriorValue_control</f>
        <v>5.7596111770775635E-4</v>
      </c>
      <c r="J211" s="49" cm="1">
        <f t="array" ref="J211">IF($B211=0,0,IF($B211=1,0,_xlfn.BETA.DIST($B211,alpha_control_posterior,beta_control_posterior,FALSE)))</f>
        <v>5.5511464587037554E-3</v>
      </c>
      <c r="L211" s="24">
        <v>39</v>
      </c>
      <c r="M211" s="29">
        <f t="shared" si="12"/>
        <v>468</v>
      </c>
      <c r="N211" s="69">
        <v>59370.885149963433</v>
      </c>
      <c r="O211" s="69">
        <v>70226.77395757132</v>
      </c>
      <c r="P211" s="70">
        <f t="shared" si="5"/>
        <v>0</v>
      </c>
      <c r="R211" s="24">
        <v>39</v>
      </c>
      <c r="S211" s="29">
        <f t="shared" si="13"/>
        <v>468</v>
      </c>
      <c r="T211" s="69">
        <v>61818.181818181823</v>
      </c>
      <c r="U211" s="69">
        <v>88000</v>
      </c>
      <c r="V211" s="70">
        <f t="shared" si="6"/>
        <v>0</v>
      </c>
    </row>
    <row r="212" spans="2:22" x14ac:dyDescent="0.2">
      <c r="B212" s="24">
        <f t="shared" si="7"/>
        <v>0.40000000000000019</v>
      </c>
      <c r="C212" s="54">
        <f t="shared" si="9"/>
        <v>1</v>
      </c>
      <c r="D212" s="54">
        <f t="shared" si="10"/>
        <v>7.601448071400792E-4</v>
      </c>
      <c r="E212" s="49" cm="1">
        <f t="array" ref="E212">IF($B212=0,0,IF($B212=1,0,_xlfn.BETA.DIST($B212,alpha_experiment_posterior,beta_experiment_posterior,FALSE)))</f>
        <v>6.5737376864154666E-3</v>
      </c>
      <c r="G212" s="24">
        <f t="shared" si="8"/>
        <v>0.40000000000000019</v>
      </c>
      <c r="H212" s="54">
        <f t="shared" si="11"/>
        <v>1</v>
      </c>
      <c r="I212" s="54" cm="1">
        <f t="array" ref="I212">J212*maxPriorValue_control/maxPosteriorValue_control</f>
        <v>4.2435161039399523E-4</v>
      </c>
      <c r="J212" s="49" cm="1">
        <f t="array" ref="J212">IF($B212=0,0,IF($B212=1,0,_xlfn.BETA.DIST($B212,alpha_control_posterior,beta_control_posterior,FALSE)))</f>
        <v>4.0899252863786494E-3</v>
      </c>
      <c r="L212" s="24">
        <v>40</v>
      </c>
      <c r="M212" s="29">
        <f t="shared" si="12"/>
        <v>480</v>
      </c>
      <c r="N212" s="69">
        <v>60291.970802919721</v>
      </c>
      <c r="O212" s="69">
        <v>71167.88321167884</v>
      </c>
      <c r="P212" s="70">
        <f t="shared" si="5"/>
        <v>0</v>
      </c>
      <c r="R212" s="24">
        <v>40</v>
      </c>
      <c r="S212" s="29">
        <f t="shared" si="13"/>
        <v>480</v>
      </c>
      <c r="T212" s="69">
        <v>61818.181818181823</v>
      </c>
      <c r="U212" s="69">
        <v>89090.909090909103</v>
      </c>
      <c r="V212" s="70">
        <f t="shared" si="6"/>
        <v>0</v>
      </c>
    </row>
    <row r="213" spans="2:22" x14ac:dyDescent="0.2">
      <c r="B213" s="24">
        <f t="shared" si="7"/>
        <v>0.4100000000000002</v>
      </c>
      <c r="C213" s="54">
        <f t="shared" si="9"/>
        <v>1</v>
      </c>
      <c r="D213" s="54">
        <f t="shared" si="10"/>
        <v>5.6147450570534962E-4</v>
      </c>
      <c r="E213" s="49" cm="1">
        <f t="array" ref="E213">IF($B213=0,0,IF($B213=1,0,_xlfn.BETA.DIST($B213,alpha_experiment_posterior,beta_experiment_posterior,FALSE)))</f>
        <v>4.8556355097701528E-3</v>
      </c>
      <c r="G213" s="24">
        <f t="shared" si="8"/>
        <v>0.4100000000000002</v>
      </c>
      <c r="H213" s="54">
        <f t="shared" si="11"/>
        <v>1</v>
      </c>
      <c r="I213" s="54" cm="1">
        <f t="array" ref="I213">J213*maxPriorValue_control/maxPosteriorValue_control</f>
        <v>3.1085291357214976E-4</v>
      </c>
      <c r="J213" s="49" cm="1">
        <f t="array" ref="J213">IF($B213=0,0,IF($B213=1,0,_xlfn.BETA.DIST($B213,alpha_control_posterior,beta_control_posterior,FALSE)))</f>
        <v>2.9960183028003482E-3</v>
      </c>
      <c r="L213" s="24">
        <v>41</v>
      </c>
      <c r="M213" s="29">
        <f t="shared" si="12"/>
        <v>492</v>
      </c>
      <c r="N213" s="69">
        <v>61209.031318281137</v>
      </c>
      <c r="O213" s="69">
        <v>72104.879825200289</v>
      </c>
      <c r="P213" s="70">
        <f t="shared" si="5"/>
        <v>0</v>
      </c>
      <c r="R213" s="24">
        <v>41</v>
      </c>
      <c r="S213" s="29">
        <f t="shared" si="13"/>
        <v>492</v>
      </c>
      <c r="T213" s="69">
        <v>61818.181818181823</v>
      </c>
      <c r="U213" s="69">
        <v>90181.818181818177</v>
      </c>
      <c r="V213" s="70">
        <f t="shared" si="6"/>
        <v>0</v>
      </c>
    </row>
    <row r="214" spans="2:22" x14ac:dyDescent="0.2">
      <c r="B214" s="24">
        <f t="shared" si="7"/>
        <v>0.42000000000000021</v>
      </c>
      <c r="C214" s="54">
        <f t="shared" si="9"/>
        <v>1</v>
      </c>
      <c r="D214" s="54">
        <f t="shared" si="10"/>
        <v>4.1225054770093063E-4</v>
      </c>
      <c r="E214" s="49" cm="1">
        <f t="array" ref="E214">IF($B214=0,0,IF($B214=1,0,_xlfn.BETA.DIST($B214,alpha_experiment_posterior,beta_experiment_posterior,FALSE)))</f>
        <v>3.5651456619996643E-3</v>
      </c>
      <c r="G214" s="24">
        <f t="shared" si="8"/>
        <v>0.42000000000000021</v>
      </c>
      <c r="H214" s="54">
        <f t="shared" si="11"/>
        <v>1</v>
      </c>
      <c r="I214" s="54" cm="1">
        <f t="array" ref="I214">J214*maxPriorValue_control/maxPosteriorValue_control</f>
        <v>2.2636446501631658E-4</v>
      </c>
      <c r="J214" s="49" cm="1">
        <f t="array" ref="J214">IF($B214=0,0,IF($B214=1,0,_xlfn.BETA.DIST($B214,alpha_control_posterior,beta_control_posterior,FALSE)))</f>
        <v>2.1817137645553496E-3</v>
      </c>
      <c r="L214" s="24">
        <v>42</v>
      </c>
      <c r="M214" s="29">
        <f t="shared" si="12"/>
        <v>504</v>
      </c>
      <c r="N214" s="69">
        <v>62122.093023255802</v>
      </c>
      <c r="O214" s="69">
        <v>73037.790697674427</v>
      </c>
      <c r="P214" s="70">
        <f t="shared" si="5"/>
        <v>0</v>
      </c>
      <c r="R214" s="24">
        <v>42</v>
      </c>
      <c r="S214" s="29">
        <f t="shared" si="13"/>
        <v>504</v>
      </c>
      <c r="T214" s="69">
        <v>61818.181818181823</v>
      </c>
      <c r="U214" s="69">
        <v>91272.727272727265</v>
      </c>
      <c r="V214" s="70">
        <f t="shared" si="6"/>
        <v>0</v>
      </c>
    </row>
    <row r="215" spans="2:22" x14ac:dyDescent="0.2">
      <c r="B215" s="24">
        <f t="shared" si="7"/>
        <v>0.43000000000000022</v>
      </c>
      <c r="C215" s="54">
        <f t="shared" si="9"/>
        <v>1</v>
      </c>
      <c r="D215" s="54">
        <f t="shared" si="10"/>
        <v>3.0082666282678258E-4</v>
      </c>
      <c r="E215" s="49" cm="1">
        <f t="array" ref="E215">IF($B215=0,0,IF($B215=1,0,_xlfn.BETA.DIST($B215,alpha_experiment_posterior,beta_experiment_posterior,FALSE)))</f>
        <v>2.6015511149030269E-3</v>
      </c>
      <c r="G215" s="24">
        <f t="shared" si="8"/>
        <v>0.43000000000000022</v>
      </c>
      <c r="H215" s="54">
        <f t="shared" si="11"/>
        <v>1</v>
      </c>
      <c r="I215" s="54" cm="1">
        <f t="array" ref="I215">J215*maxPriorValue_control/maxPosteriorValue_control</f>
        <v>1.6383582628700462E-4</v>
      </c>
      <c r="J215" s="49" cm="1">
        <f t="array" ref="J215">IF($B215=0,0,IF($B215=1,0,_xlfn.BETA.DIST($B215,alpha_control_posterior,beta_control_posterior,FALSE)))</f>
        <v>1.5790591394806261E-3</v>
      </c>
      <c r="L215" s="24">
        <v>43</v>
      </c>
      <c r="M215" s="29">
        <f t="shared" si="12"/>
        <v>516</v>
      </c>
      <c r="N215" s="69">
        <v>63031.1820159536</v>
      </c>
      <c r="O215" s="69">
        <v>73966.642494561282</v>
      </c>
      <c r="P215" s="70">
        <f t="shared" si="5"/>
        <v>0</v>
      </c>
      <c r="R215" s="24">
        <v>43</v>
      </c>
      <c r="S215" s="29">
        <f t="shared" si="13"/>
        <v>516</v>
      </c>
      <c r="T215" s="69">
        <v>61818.181818181823</v>
      </c>
      <c r="U215" s="69">
        <v>92363.636363636368</v>
      </c>
      <c r="V215" s="70">
        <f t="shared" si="6"/>
        <v>0</v>
      </c>
    </row>
    <row r="216" spans="2:22" x14ac:dyDescent="0.2">
      <c r="B216" s="24">
        <f t="shared" si="7"/>
        <v>0.44000000000000022</v>
      </c>
      <c r="C216" s="54">
        <f t="shared" si="9"/>
        <v>1</v>
      </c>
      <c r="D216" s="54">
        <f t="shared" si="10"/>
        <v>2.1813059916146261E-4</v>
      </c>
      <c r="E216" s="49" cm="1">
        <f t="array" ref="E216">IF($B216=0,0,IF($B216=1,0,_xlfn.BETA.DIST($B216,alpha_experiment_posterior,beta_experiment_posterior,FALSE)))</f>
        <v>1.8863949694835555E-3</v>
      </c>
      <c r="G216" s="24">
        <f t="shared" si="8"/>
        <v>0.44000000000000022</v>
      </c>
      <c r="H216" s="54">
        <f t="shared" si="11"/>
        <v>1</v>
      </c>
      <c r="I216" s="54" cm="1">
        <f t="array" ref="I216">J216*maxPriorValue_control/maxPosteriorValue_control</f>
        <v>1.1783516986759032E-4</v>
      </c>
      <c r="J216" s="49" cm="1">
        <f t="array" ref="J216">IF($B216=0,0,IF($B216=1,0,_xlfn.BETA.DIST($B216,alpha_control_posterior,beta_control_posterior,FALSE)))</f>
        <v>1.1357021608065065E-3</v>
      </c>
      <c r="L216" s="24">
        <v>44</v>
      </c>
      <c r="M216" s="29">
        <f t="shared" si="12"/>
        <v>528</v>
      </c>
      <c r="N216" s="69">
        <v>63936.324167872648</v>
      </c>
      <c r="O216" s="69">
        <v>74891.461649782941</v>
      </c>
      <c r="P216" s="70">
        <f t="shared" si="5"/>
        <v>0</v>
      </c>
      <c r="R216" s="24">
        <v>44</v>
      </c>
      <c r="S216" s="29">
        <f t="shared" si="13"/>
        <v>528</v>
      </c>
      <c r="T216" s="69">
        <v>61818.181818181823</v>
      </c>
      <c r="U216" s="69">
        <v>93454.545454545456</v>
      </c>
      <c r="V216" s="70">
        <f t="shared" si="6"/>
        <v>0</v>
      </c>
    </row>
    <row r="217" spans="2:22" x14ac:dyDescent="0.2">
      <c r="B217" s="24">
        <f t="shared" si="7"/>
        <v>0.45000000000000023</v>
      </c>
      <c r="C217" s="54">
        <f t="shared" si="9"/>
        <v>1</v>
      </c>
      <c r="D217" s="54">
        <f t="shared" si="10"/>
        <v>1.5713682791250865E-4</v>
      </c>
      <c r="E217" s="49" cm="1">
        <f t="array" ref="E217">IF($B217=0,0,IF($B217=1,0,_xlfn.BETA.DIST($B217,alpha_experiment_posterior,beta_experiment_posterior,FALSE)))</f>
        <v>1.3589204028882926E-3</v>
      </c>
      <c r="G217" s="24">
        <f t="shared" si="8"/>
        <v>0.45000000000000023</v>
      </c>
      <c r="H217" s="54">
        <f t="shared" si="11"/>
        <v>1</v>
      </c>
      <c r="I217" s="54" cm="1">
        <f t="array" ref="I217">J217*maxPriorValue_control/maxPosteriorValue_control</f>
        <v>8.4201395030556784E-5</v>
      </c>
      <c r="J217" s="49" cm="1">
        <f t="array" ref="J217">IF($B217=0,0,IF($B217=1,0,_xlfn.BETA.DIST($B217,alpha_control_posterior,beta_control_posterior,FALSE)))</f>
        <v>8.1153789981871333E-4</v>
      </c>
      <c r="L217" s="24">
        <v>45</v>
      </c>
      <c r="M217" s="29">
        <f t="shared" si="12"/>
        <v>540</v>
      </c>
      <c r="N217" s="69">
        <v>64837.545126353783</v>
      </c>
      <c r="O217" s="69">
        <v>75812.274368231039</v>
      </c>
      <c r="P217" s="70">
        <f t="shared" si="5"/>
        <v>0</v>
      </c>
      <c r="R217" s="24">
        <v>45</v>
      </c>
      <c r="S217" s="29">
        <f t="shared" si="13"/>
        <v>540</v>
      </c>
      <c r="T217" s="69">
        <v>61818.181818181823</v>
      </c>
      <c r="U217" s="69">
        <v>94545.454545454544</v>
      </c>
      <c r="V217" s="70">
        <f t="shared" si="6"/>
        <v>0</v>
      </c>
    </row>
    <row r="218" spans="2:22" x14ac:dyDescent="0.2">
      <c r="B218" s="24">
        <f t="shared" si="7"/>
        <v>0.46000000000000024</v>
      </c>
      <c r="C218" s="54">
        <f t="shared" si="9"/>
        <v>1</v>
      </c>
      <c r="D218" s="54">
        <f t="shared" si="10"/>
        <v>1.1243739795182689E-4</v>
      </c>
      <c r="E218" s="49" cm="1">
        <f t="array" ref="E218">IF($B218=0,0,IF($B218=1,0,_xlfn.BETA.DIST($B218,alpha_experiment_posterior,beta_experiment_posterior,FALSE)))</f>
        <v>9.7235941538466677E-4</v>
      </c>
      <c r="G218" s="24">
        <f t="shared" si="8"/>
        <v>0.46000000000000024</v>
      </c>
      <c r="H218" s="54">
        <f t="shared" si="11"/>
        <v>1</v>
      </c>
      <c r="I218" s="54" cm="1">
        <f t="array" ref="I218">J218*maxPriorValue_control/maxPosteriorValue_control</f>
        <v>5.9765319008982609E-5</v>
      </c>
      <c r="J218" s="49" cm="1">
        <f t="array" ref="J218">IF($B218=0,0,IF($B218=1,0,_xlfn.BETA.DIST($B218,alpha_control_posterior,beta_control_posterior,FALSE)))</f>
        <v>5.7602159029483777E-4</v>
      </c>
      <c r="L218" s="24">
        <v>46</v>
      </c>
      <c r="M218" s="29">
        <f t="shared" si="12"/>
        <v>552</v>
      </c>
      <c r="N218" s="69">
        <v>65734.870317002889</v>
      </c>
      <c r="O218" s="69">
        <v>76729.10662824208</v>
      </c>
      <c r="P218" s="70">
        <f t="shared" si="5"/>
        <v>0</v>
      </c>
      <c r="R218" s="24">
        <v>46</v>
      </c>
      <c r="S218" s="29">
        <f t="shared" si="13"/>
        <v>552</v>
      </c>
      <c r="T218" s="69">
        <v>61818.181818181823</v>
      </c>
      <c r="U218" s="69">
        <v>95636.363636363647</v>
      </c>
      <c r="V218" s="70">
        <f t="shared" si="6"/>
        <v>0</v>
      </c>
    </row>
    <row r="219" spans="2:22" x14ac:dyDescent="0.2">
      <c r="B219" s="24">
        <f t="shared" si="7"/>
        <v>0.47000000000000025</v>
      </c>
      <c r="C219" s="54">
        <f t="shared" si="9"/>
        <v>1</v>
      </c>
      <c r="D219" s="54">
        <f t="shared" si="10"/>
        <v>7.9894947418188042E-5</v>
      </c>
      <c r="E219" s="49" cm="1">
        <f t="array" ref="E219">IF($B219=0,0,IF($B219=1,0,_xlfn.BETA.DIST($B219,alpha_experiment_posterior,beta_experiment_posterior,FALSE)))</f>
        <v>6.9093207223652016E-4</v>
      </c>
      <c r="G219" s="24">
        <f t="shared" si="8"/>
        <v>0.47000000000000025</v>
      </c>
      <c r="H219" s="54">
        <f t="shared" si="11"/>
        <v>1</v>
      </c>
      <c r="I219" s="54" cm="1">
        <f t="array" ref="I219">J219*maxPriorValue_control/maxPosteriorValue_control</f>
        <v>4.2127548515843686E-5</v>
      </c>
      <c r="J219" s="49" cm="1">
        <f t="array" ref="J219">IF($B219=0,0,IF($B219=1,0,_xlfn.BETA.DIST($B219,alpha_control_posterior,beta_control_posterior,FALSE)))</f>
        <v>4.0602774140086198E-4</v>
      </c>
      <c r="L219" s="24">
        <v>47</v>
      </c>
      <c r="M219" s="29">
        <f t="shared" si="12"/>
        <v>564</v>
      </c>
      <c r="N219" s="69">
        <v>66628.32494608195</v>
      </c>
      <c r="O219" s="69">
        <v>77641.984184040251</v>
      </c>
      <c r="P219" s="70">
        <f t="shared" si="5"/>
        <v>0</v>
      </c>
      <c r="R219" s="24">
        <v>47</v>
      </c>
      <c r="S219" s="29">
        <f t="shared" si="13"/>
        <v>564</v>
      </c>
      <c r="T219" s="69">
        <v>61818.181818181823</v>
      </c>
      <c r="U219" s="69">
        <v>96727.272727272735</v>
      </c>
      <c r="V219" s="70">
        <f t="shared" si="6"/>
        <v>0</v>
      </c>
    </row>
    <row r="220" spans="2:22" x14ac:dyDescent="0.2">
      <c r="B220" s="24">
        <f t="shared" si="7"/>
        <v>0.48000000000000026</v>
      </c>
      <c r="C220" s="54">
        <f t="shared" si="9"/>
        <v>1</v>
      </c>
      <c r="D220" s="54">
        <f t="shared" si="10"/>
        <v>5.6363962886728164E-5</v>
      </c>
      <c r="E220" s="49" cm="1">
        <f t="array" ref="E220">IF($B220=0,0,IF($B220=1,0,_xlfn.BETA.DIST($B220,alpha_experiment_posterior,beta_experiment_posterior,FALSE)))</f>
        <v>4.8743595102390539E-4</v>
      </c>
      <c r="G220" s="24">
        <f t="shared" si="8"/>
        <v>0.48000000000000026</v>
      </c>
      <c r="H220" s="54">
        <f t="shared" si="11"/>
        <v>1</v>
      </c>
      <c r="I220" s="54" cm="1">
        <f t="array" ref="I220">J220*maxPriorValue_control/maxPosteriorValue_control</f>
        <v>2.9482561377917896E-5</v>
      </c>
      <c r="J220" s="49" cm="1">
        <f t="array" ref="J220">IF($B220=0,0,IF($B220=1,0,_xlfn.BETA.DIST($B220,alpha_control_posterior,beta_control_posterior,FALSE)))</f>
        <v>2.8415462633640392E-4</v>
      </c>
      <c r="L220" s="24">
        <v>48</v>
      </c>
      <c r="M220" s="29">
        <f t="shared" si="12"/>
        <v>576</v>
      </c>
      <c r="N220" s="69">
        <v>67517.934002869442</v>
      </c>
      <c r="O220" s="69">
        <v>78550.932568149219</v>
      </c>
      <c r="P220" s="70">
        <f t="shared" si="5"/>
        <v>0</v>
      </c>
      <c r="R220" s="24">
        <v>48</v>
      </c>
      <c r="S220" s="29">
        <f t="shared" si="13"/>
        <v>576</v>
      </c>
      <c r="T220" s="69">
        <v>61818.181818181823</v>
      </c>
      <c r="U220" s="69">
        <v>97818.181818181823</v>
      </c>
      <c r="V220" s="70">
        <f t="shared" si="6"/>
        <v>0</v>
      </c>
    </row>
    <row r="221" spans="2:22" x14ac:dyDescent="0.2">
      <c r="B221" s="24">
        <f t="shared" si="7"/>
        <v>0.49000000000000027</v>
      </c>
      <c r="C221" s="54">
        <f t="shared" si="9"/>
        <v>1</v>
      </c>
      <c r="D221" s="54">
        <f t="shared" si="10"/>
        <v>3.9468314272563372E-5</v>
      </c>
      <c r="E221" s="49" cm="1">
        <f t="array" ref="E221">IF($B221=0,0,IF($B221=1,0,_xlfn.BETA.DIST($B221,alpha_experiment_posterior,beta_experiment_posterior,FALSE)))</f>
        <v>3.4132226191085083E-4</v>
      </c>
      <c r="G221" s="24">
        <f t="shared" si="8"/>
        <v>0.49000000000000027</v>
      </c>
      <c r="H221" s="54">
        <f t="shared" si="11"/>
        <v>1</v>
      </c>
      <c r="I221" s="54" cm="1">
        <f t="array" ref="I221">J221*maxPriorValue_control/maxPosteriorValue_control</f>
        <v>2.0480222318667447E-5</v>
      </c>
      <c r="J221" s="49" cm="1">
        <f t="array" ref="J221">IF($B221=0,0,IF($B221=1,0,_xlfn.BETA.DIST($B221,alpha_control_posterior,beta_control_posterior,FALSE)))</f>
        <v>1.9738956346602247E-4</v>
      </c>
      <c r="L221" s="24">
        <v>49</v>
      </c>
      <c r="M221" s="29">
        <f t="shared" si="12"/>
        <v>588</v>
      </c>
      <c r="N221" s="69">
        <v>68403.722261989969</v>
      </c>
      <c r="O221" s="69">
        <v>79455.977093772381</v>
      </c>
      <c r="P221" s="70">
        <f t="shared" si="5"/>
        <v>0</v>
      </c>
      <c r="R221" s="24">
        <v>49</v>
      </c>
      <c r="S221" s="29">
        <f t="shared" si="13"/>
        <v>588</v>
      </c>
      <c r="T221" s="69">
        <v>61818.181818181823</v>
      </c>
      <c r="U221" s="69">
        <v>98909.090909090912</v>
      </c>
      <c r="V221" s="70">
        <f t="shared" si="6"/>
        <v>0</v>
      </c>
    </row>
    <row r="222" spans="2:22" x14ac:dyDescent="0.2">
      <c r="B222" s="24">
        <f t="shared" si="7"/>
        <v>0.50000000000000022</v>
      </c>
      <c r="C222" s="54">
        <f t="shared" si="9"/>
        <v>1</v>
      </c>
      <c r="D222" s="54">
        <f t="shared" si="10"/>
        <v>2.7424860003617799E-5</v>
      </c>
      <c r="E222" s="49" cm="1">
        <f t="array" ref="E222">IF($B222=0,0,IF($B222=1,0,_xlfn.BETA.DIST($B222,alpha_experiment_posterior,beta_experiment_posterior,FALSE)))</f>
        <v>2.3717038392821372E-4</v>
      </c>
      <c r="G222" s="24">
        <f t="shared" si="8"/>
        <v>0.50000000000000022</v>
      </c>
      <c r="H222" s="54">
        <f t="shared" si="11"/>
        <v>1</v>
      </c>
      <c r="I222" s="54" cm="1">
        <f t="array" ref="I222">J222*maxPriorValue_control/maxPosteriorValue_control</f>
        <v>1.4117431499173986E-5</v>
      </c>
      <c r="J222" s="49" cm="1">
        <f t="array" ref="J222">IF($B222=0,0,IF($B222=1,0,_xlfn.BETA.DIST($B222,alpha_control_posterior,beta_control_posterior,FALSE)))</f>
        <v>1.3606461870989796E-4</v>
      </c>
      <c r="L222" s="24">
        <v>50</v>
      </c>
      <c r="M222" s="29">
        <f t="shared" si="12"/>
        <v>600</v>
      </c>
      <c r="N222" s="69">
        <v>69285.714285714275</v>
      </c>
      <c r="O222" s="69">
        <v>80357.142857142855</v>
      </c>
      <c r="P222" s="70">
        <f t="shared" si="5"/>
        <v>0</v>
      </c>
      <c r="R222" s="24">
        <v>50</v>
      </c>
      <c r="S222" s="29">
        <f t="shared" si="13"/>
        <v>600</v>
      </c>
      <c r="T222" s="69">
        <v>61818.181818181823</v>
      </c>
      <c r="U222" s="69">
        <v>100000</v>
      </c>
      <c r="V222" s="70">
        <f t="shared" si="6"/>
        <v>0</v>
      </c>
    </row>
    <row r="223" spans="2:22" x14ac:dyDescent="0.2">
      <c r="B223" s="24">
        <f t="shared" si="7"/>
        <v>0.51000000000000023</v>
      </c>
      <c r="C223" s="54">
        <f t="shared" si="9"/>
        <v>1</v>
      </c>
      <c r="D223" s="54">
        <f t="shared" si="10"/>
        <v>1.89045006394612E-5</v>
      </c>
      <c r="E223" s="49" cm="1">
        <f t="array" ref="E223">IF($B223=0,0,IF($B223=1,0,_xlfn.BETA.DIST($B223,alpha_experiment_posterior,beta_experiment_posterior,FALSE)))</f>
        <v>1.634862556833732E-4</v>
      </c>
      <c r="G223" s="24">
        <f t="shared" si="8"/>
        <v>0.51000000000000023</v>
      </c>
      <c r="H223" s="54">
        <f t="shared" si="11"/>
        <v>1</v>
      </c>
      <c r="I223" s="54" cm="1">
        <f t="array" ref="I223">J223*maxPriorValue_control/maxPosteriorValue_control</f>
        <v>9.65387476468561E-6</v>
      </c>
      <c r="J223" s="49" cm="1">
        <f t="array" ref="J223">IF($B223=0,0,IF($B223=1,0,_xlfn.BETA.DIST($B223,alpha_control_posterior,beta_control_posterior,FALSE)))</f>
        <v>9.3044601562749537E-5</v>
      </c>
      <c r="L223" s="24">
        <v>51</v>
      </c>
      <c r="M223" s="29">
        <f t="shared" si="12"/>
        <v>612</v>
      </c>
      <c r="N223" s="69">
        <v>70163.934426229505</v>
      </c>
      <c r="O223" s="69">
        <v>81254.454739843204</v>
      </c>
      <c r="P223" s="70">
        <f t="shared" si="5"/>
        <v>0</v>
      </c>
      <c r="R223" s="24">
        <v>51</v>
      </c>
      <c r="S223" s="29">
        <f t="shared" si="13"/>
        <v>612</v>
      </c>
      <c r="T223" s="69">
        <v>61818.181818181823</v>
      </c>
      <c r="U223" s="69">
        <v>101090.9090909091</v>
      </c>
      <c r="V223" s="70">
        <f t="shared" si="6"/>
        <v>0</v>
      </c>
    </row>
    <row r="224" spans="2:22" x14ac:dyDescent="0.2">
      <c r="B224" s="24">
        <f t="shared" si="7"/>
        <v>0.52000000000000024</v>
      </c>
      <c r="C224" s="54">
        <f t="shared" si="9"/>
        <v>1</v>
      </c>
      <c r="D224" s="54">
        <f t="shared" si="10"/>
        <v>1.2923458873371882E-5</v>
      </c>
      <c r="E224" s="49" cm="1">
        <f t="array" ref="E224">IF($B224=0,0,IF($B224=1,0,_xlfn.BETA.DIST($B224,alpha_experiment_posterior,beta_experiment_posterior,FALSE)))</f>
        <v>1.1176216404655324E-4</v>
      </c>
      <c r="G224" s="24">
        <f t="shared" si="8"/>
        <v>0.52000000000000024</v>
      </c>
      <c r="H224" s="54">
        <f t="shared" si="11"/>
        <v>1</v>
      </c>
      <c r="I224" s="54" cm="1">
        <f t="array" ref="I224">J224*maxPriorValue_control/maxPosteriorValue_control</f>
        <v>6.5469287369525046E-6</v>
      </c>
      <c r="J224" s="49" cm="1">
        <f t="array" ref="J224">IF($B224=0,0,IF($B224=1,0,_xlfn.BETA.DIST($B224,alpha_control_posterior,beta_control_posterior,FALSE)))</f>
        <v>6.3099676620810067E-5</v>
      </c>
      <c r="L224" s="24">
        <v>52</v>
      </c>
      <c r="M224" s="29">
        <f t="shared" si="12"/>
        <v>624</v>
      </c>
      <c r="N224" s="69">
        <v>71038.406827880506</v>
      </c>
      <c r="O224" s="69">
        <v>82147.937411095321</v>
      </c>
      <c r="P224" s="70">
        <f t="shared" si="5"/>
        <v>0</v>
      </c>
      <c r="R224" s="24">
        <v>52</v>
      </c>
      <c r="S224" s="29">
        <f t="shared" si="13"/>
        <v>624</v>
      </c>
      <c r="T224" s="69">
        <v>61818.181818181823</v>
      </c>
      <c r="U224" s="69">
        <v>102181.81818181819</v>
      </c>
      <c r="V224" s="70">
        <f t="shared" si="6"/>
        <v>0</v>
      </c>
    </row>
    <row r="225" spans="2:22" x14ac:dyDescent="0.2">
      <c r="B225" s="24">
        <f t="shared" si="7"/>
        <v>0.53000000000000025</v>
      </c>
      <c r="C225" s="54">
        <f t="shared" si="9"/>
        <v>1</v>
      </c>
      <c r="D225" s="54">
        <f t="shared" si="10"/>
        <v>8.7587856994949804E-6</v>
      </c>
      <c r="E225" s="49" cm="1">
        <f t="array" ref="E225">IF($B225=0,0,IF($B225=1,0,_xlfn.BETA.DIST($B225,alpha_experiment_posterior,beta_experiment_posterior,FALSE)))</f>
        <v>7.5746040884808102E-5</v>
      </c>
      <c r="G225" s="24">
        <f t="shared" si="8"/>
        <v>0.53000000000000025</v>
      </c>
      <c r="H225" s="54">
        <f t="shared" si="11"/>
        <v>1</v>
      </c>
      <c r="I225" s="54" cm="1">
        <f t="array" ref="I225">J225*maxPriorValue_control/maxPosteriorValue_control</f>
        <v>4.401691166513618E-6</v>
      </c>
      <c r="J225" s="49" cm="1">
        <f t="array" ref="J225">IF($B225=0,0,IF($B225=1,0,_xlfn.BETA.DIST($B225,alpha_control_posterior,beta_control_posterior,FALSE)))</f>
        <v>4.2423753236234511E-5</v>
      </c>
      <c r="L225" s="24">
        <v>53</v>
      </c>
      <c r="M225" s="29">
        <f t="shared" si="12"/>
        <v>636</v>
      </c>
      <c r="N225" s="69">
        <v>71909.155429382532</v>
      </c>
      <c r="O225" s="69">
        <v>83037.61533002129</v>
      </c>
      <c r="P225" s="70">
        <f t="shared" si="5"/>
        <v>0</v>
      </c>
      <c r="R225" s="24">
        <v>53</v>
      </c>
      <c r="S225" s="29">
        <f t="shared" si="13"/>
        <v>636</v>
      </c>
      <c r="T225" s="69">
        <v>61818.181818181823</v>
      </c>
      <c r="U225" s="69">
        <v>103272.72727272728</v>
      </c>
      <c r="V225" s="70">
        <f t="shared" si="6"/>
        <v>0</v>
      </c>
    </row>
    <row r="226" spans="2:22" x14ac:dyDescent="0.2">
      <c r="B226" s="24">
        <f t="shared" si="7"/>
        <v>0.54000000000000026</v>
      </c>
      <c r="C226" s="54">
        <f t="shared" si="9"/>
        <v>1</v>
      </c>
      <c r="D226" s="54">
        <f t="shared" si="10"/>
        <v>5.8831471171122608E-6</v>
      </c>
      <c r="E226" s="49" cm="1">
        <f t="array" ref="E226">IF($B226=0,0,IF($B226=1,0,_xlfn.BETA.DIST($B226,alpha_experiment_posterior,beta_experiment_posterior,FALSE)))</f>
        <v>5.0877498017769792E-5</v>
      </c>
      <c r="G226" s="24">
        <f t="shared" si="8"/>
        <v>0.54000000000000026</v>
      </c>
      <c r="H226" s="54">
        <f t="shared" si="11"/>
        <v>1</v>
      </c>
      <c r="I226" s="54" cm="1">
        <f t="array" ref="I226">J226*maxPriorValue_control/maxPosteriorValue_control</f>
        <v>2.9328766160645191E-6</v>
      </c>
      <c r="J226" s="49" cm="1">
        <f t="array" ref="J226">IF($B226=0,0,IF($B226=1,0,_xlfn.BETA.DIST($B226,alpha_control_posterior,beta_control_posterior,FALSE)))</f>
        <v>2.8267233916548043E-5</v>
      </c>
      <c r="L226" s="24">
        <v>54</v>
      </c>
      <c r="M226" s="29">
        <f t="shared" si="12"/>
        <v>648</v>
      </c>
      <c r="N226" s="69">
        <v>72776.203966005676</v>
      </c>
      <c r="O226" s="69">
        <v>83923.512747875371</v>
      </c>
      <c r="P226" s="70">
        <f t="shared" si="5"/>
        <v>0</v>
      </c>
      <c r="R226" s="24">
        <v>54</v>
      </c>
      <c r="S226" s="29">
        <f t="shared" si="13"/>
        <v>648</v>
      </c>
      <c r="T226" s="69">
        <v>61818.181818181823</v>
      </c>
      <c r="U226" s="69">
        <v>104363.63636363638</v>
      </c>
      <c r="V226" s="70">
        <f t="shared" si="6"/>
        <v>0</v>
      </c>
    </row>
    <row r="227" spans="2:22" x14ac:dyDescent="0.2">
      <c r="B227" s="24">
        <f t="shared" si="7"/>
        <v>0.55000000000000027</v>
      </c>
      <c r="C227" s="54">
        <f t="shared" si="9"/>
        <v>1</v>
      </c>
      <c r="D227" s="54">
        <f t="shared" si="10"/>
        <v>3.9148465945889348E-6</v>
      </c>
      <c r="E227" s="49" cm="1">
        <f t="array" ref="E227">IF($B227=0,0,IF($B227=1,0,_xlfn.BETA.DIST($B227,alpha_experiment_posterior,beta_experiment_posterior,FALSE)))</f>
        <v>3.3855621131201208E-5</v>
      </c>
      <c r="G227" s="24">
        <f t="shared" si="8"/>
        <v>0.55000000000000027</v>
      </c>
      <c r="H227" s="54">
        <f t="shared" si="11"/>
        <v>1</v>
      </c>
      <c r="I227" s="54" cm="1">
        <f t="array" ref="I227">J227*maxPriorValue_control/maxPosteriorValue_control</f>
        <v>1.9359582324645657E-6</v>
      </c>
      <c r="J227" s="49" cm="1">
        <f t="array" ref="J227">IF($B227=0,0,IF($B227=1,0,_xlfn.BETA.DIST($B227,alpha_control_posterior,beta_control_posterior,FALSE)))</f>
        <v>1.8658877059470175E-5</v>
      </c>
      <c r="L227" s="24">
        <v>55</v>
      </c>
      <c r="M227" s="29">
        <f t="shared" si="12"/>
        <v>660</v>
      </c>
      <c r="N227" s="69">
        <v>73639.575971731436</v>
      </c>
      <c r="O227" s="69">
        <v>84805.653710247338</v>
      </c>
      <c r="P227" s="70">
        <f t="shared" si="5"/>
        <v>0</v>
      </c>
      <c r="R227" s="24">
        <v>55</v>
      </c>
      <c r="S227" s="29">
        <f t="shared" si="13"/>
        <v>660</v>
      </c>
      <c r="T227" s="69">
        <v>61818.181818181823</v>
      </c>
      <c r="U227" s="69">
        <v>105454.54545454547</v>
      </c>
      <c r="V227" s="70">
        <f t="shared" si="6"/>
        <v>0</v>
      </c>
    </row>
    <row r="228" spans="2:22" x14ac:dyDescent="0.2">
      <c r="B228" s="24">
        <f t="shared" si="7"/>
        <v>0.56000000000000028</v>
      </c>
      <c r="C228" s="54">
        <f t="shared" si="9"/>
        <v>1</v>
      </c>
      <c r="D228" s="54">
        <f t="shared" si="10"/>
        <v>2.579800619553819E-6</v>
      </c>
      <c r="E228" s="49" cm="1">
        <f t="array" ref="E228">IF($B228=0,0,IF($B228=1,0,_xlfn.BETA.DIST($B228,alpha_experiment_posterior,beta_experiment_posterior,FALSE)))</f>
        <v>2.2310134065118627E-5</v>
      </c>
      <c r="G228" s="24">
        <f t="shared" si="8"/>
        <v>0.56000000000000028</v>
      </c>
      <c r="H228" s="54">
        <f t="shared" si="11"/>
        <v>1</v>
      </c>
      <c r="I228" s="54" cm="1">
        <f t="array" ref="I228">J228*maxPriorValue_control/maxPosteriorValue_control</f>
        <v>1.2654655956356542E-6</v>
      </c>
      <c r="J228" s="49" cm="1">
        <f t="array" ref="J228">IF($B228=0,0,IF($B228=1,0,_xlfn.BETA.DIST($B228,alpha_control_posterior,beta_control_posterior,FALSE)))</f>
        <v>1.2196630369393596E-5</v>
      </c>
      <c r="L228" s="24">
        <v>56</v>
      </c>
      <c r="M228" s="29">
        <f t="shared" si="12"/>
        <v>672</v>
      </c>
      <c r="N228" s="69">
        <v>74499.294781382254</v>
      </c>
      <c r="O228" s="69">
        <v>85684.062059238364</v>
      </c>
      <c r="P228" s="70">
        <f t="shared" si="5"/>
        <v>0</v>
      </c>
      <c r="R228" s="24">
        <v>56</v>
      </c>
      <c r="S228" s="29">
        <f t="shared" si="13"/>
        <v>672</v>
      </c>
      <c r="T228" s="69">
        <v>61818.181818181823</v>
      </c>
      <c r="U228" s="69">
        <v>106545.45454545456</v>
      </c>
      <c r="V228" s="70">
        <f t="shared" si="6"/>
        <v>0</v>
      </c>
    </row>
    <row r="229" spans="2:22" x14ac:dyDescent="0.2">
      <c r="B229" s="24">
        <f t="shared" si="7"/>
        <v>0.57000000000000028</v>
      </c>
      <c r="C229" s="54">
        <f t="shared" si="9"/>
        <v>1</v>
      </c>
      <c r="D229" s="54">
        <f t="shared" si="10"/>
        <v>1.6828234848759202E-6</v>
      </c>
      <c r="E229" s="49" cm="1">
        <f t="array" ref="E229">IF($B229=0,0,IF($B229=1,0,_xlfn.BETA.DIST($B229,alpha_experiment_posterior,beta_experiment_posterior,FALSE)))</f>
        <v>1.4553069439143406E-5</v>
      </c>
      <c r="G229" s="24">
        <f t="shared" si="8"/>
        <v>0.57000000000000028</v>
      </c>
      <c r="H229" s="54">
        <f t="shared" si="11"/>
        <v>1</v>
      </c>
      <c r="I229" s="54" cm="1">
        <f t="array" ref="I229">J229*maxPriorValue_control/maxPosteriorValue_control</f>
        <v>8.1878250419020861E-7</v>
      </c>
      <c r="J229" s="49" cm="1">
        <f t="array" ref="J229">IF($B229=0,0,IF($B229=1,0,_xlfn.BETA.DIST($B229,alpha_control_posterior,beta_control_posterior,FALSE)))</f>
        <v>7.8914729811506167E-6</v>
      </c>
      <c r="L229" s="24">
        <v>57</v>
      </c>
      <c r="M229" s="29">
        <f t="shared" si="12"/>
        <v>684</v>
      </c>
      <c r="N229" s="69">
        <v>75355.383532723441</v>
      </c>
      <c r="O229" s="69">
        <v>86558.761435608714</v>
      </c>
      <c r="P229" s="70">
        <f t="shared" si="5"/>
        <v>0</v>
      </c>
      <c r="R229" s="24">
        <v>57</v>
      </c>
      <c r="S229" s="29">
        <f t="shared" si="13"/>
        <v>684</v>
      </c>
      <c r="T229" s="69">
        <v>61818.181818181823</v>
      </c>
      <c r="U229" s="69">
        <v>107636.36363636366</v>
      </c>
      <c r="V229" s="70">
        <f t="shared" si="6"/>
        <v>0</v>
      </c>
    </row>
    <row r="230" spans="2:22" x14ac:dyDescent="0.2">
      <c r="B230" s="24">
        <f t="shared" si="7"/>
        <v>0.58000000000000029</v>
      </c>
      <c r="C230" s="54">
        <f t="shared" si="9"/>
        <v>1</v>
      </c>
      <c r="D230" s="54">
        <f t="shared" si="10"/>
        <v>1.086108226217555E-6</v>
      </c>
      <c r="E230" s="49" cm="1">
        <f t="array" ref="E230">IF($B230=0,0,IF($B230=1,0,_xlfn.BETA.DIST($B230,alpha_experiment_posterior,beta_experiment_posterior,FALSE)))</f>
        <v>9.3926716477541872E-6</v>
      </c>
      <c r="G230" s="24">
        <f t="shared" si="8"/>
        <v>0.58000000000000029</v>
      </c>
      <c r="H230" s="54">
        <f t="shared" si="11"/>
        <v>1</v>
      </c>
      <c r="I230" s="54" cm="1">
        <f t="array" ref="I230">J230*maxPriorValue_control/maxPosteriorValue_control</f>
        <v>5.2414160261112159E-7</v>
      </c>
      <c r="J230" s="49" cm="1">
        <f t="array" ref="J230">IF($B230=0,0,IF($B230=1,0,_xlfn.BETA.DIST($B230,alpha_control_posterior,beta_control_posterior,FALSE)))</f>
        <v>5.0517069846203891E-6</v>
      </c>
      <c r="L230" s="24">
        <v>58</v>
      </c>
      <c r="M230" s="29">
        <f t="shared" si="12"/>
        <v>696</v>
      </c>
      <c r="N230" s="69">
        <v>76207.865168539327</v>
      </c>
      <c r="O230" s="69">
        <v>87429.775280898873</v>
      </c>
      <c r="P230" s="70">
        <f t="shared" si="5"/>
        <v>0</v>
      </c>
      <c r="R230" s="24">
        <v>58</v>
      </c>
      <c r="S230" s="29">
        <f t="shared" si="13"/>
        <v>696</v>
      </c>
      <c r="T230" s="69">
        <v>61818.181818181823</v>
      </c>
      <c r="U230" s="69">
        <v>108727.27272727274</v>
      </c>
      <c r="V230" s="70">
        <f t="shared" si="6"/>
        <v>0</v>
      </c>
    </row>
    <row r="231" spans="2:22" x14ac:dyDescent="0.2">
      <c r="B231" s="24">
        <f t="shared" si="7"/>
        <v>0.5900000000000003</v>
      </c>
      <c r="C231" s="54">
        <f t="shared" si="9"/>
        <v>1</v>
      </c>
      <c r="D231" s="54">
        <f t="shared" si="10"/>
        <v>6.9322783245129443E-7</v>
      </c>
      <c r="E231" s="49" cm="1">
        <f t="array" ref="E231">IF($B231=0,0,IF($B231=1,0,_xlfn.BETA.DIST($B231,alpha_experiment_posterior,beta_experiment_posterior,FALSE)))</f>
        <v>5.9950392144393106E-6</v>
      </c>
      <c r="G231" s="24">
        <f t="shared" si="8"/>
        <v>0.5900000000000003</v>
      </c>
      <c r="H231" s="54">
        <f t="shared" si="11"/>
        <v>1</v>
      </c>
      <c r="I231" s="54" cm="1">
        <f t="array" ref="I231">J231*maxPriorValue_control/maxPosteriorValue_control</f>
        <v>3.3179789753292167E-7</v>
      </c>
      <c r="J231" s="49" cm="1">
        <f t="array" ref="J231">IF($B231=0,0,IF($B231=1,0,_xlfn.BETA.DIST($B231,alpha_control_posterior,beta_control_posterior,FALSE)))</f>
        <v>3.1978872657681591E-6</v>
      </c>
      <c r="L231" s="24">
        <v>59</v>
      </c>
      <c r="M231" s="29">
        <f t="shared" si="12"/>
        <v>708</v>
      </c>
      <c r="N231" s="69">
        <v>77056.762438682563</v>
      </c>
      <c r="O231" s="69">
        <v>88297.12683952348</v>
      </c>
      <c r="P231" s="70">
        <f t="shared" si="5"/>
        <v>0</v>
      </c>
      <c r="R231" s="24">
        <v>59</v>
      </c>
      <c r="S231" s="29">
        <f t="shared" si="13"/>
        <v>708</v>
      </c>
      <c r="T231" s="69">
        <v>61818.181818181823</v>
      </c>
      <c r="U231" s="69">
        <v>109818.18181818181</v>
      </c>
      <c r="V231" s="70">
        <f t="shared" si="6"/>
        <v>0</v>
      </c>
    </row>
    <row r="232" spans="2:22" x14ac:dyDescent="0.2">
      <c r="B232" s="24">
        <f t="shared" si="7"/>
        <v>0.60000000000000031</v>
      </c>
      <c r="C232" s="54">
        <f t="shared" si="9"/>
        <v>1</v>
      </c>
      <c r="D232" s="54">
        <f t="shared" si="10"/>
        <v>4.373379515090974E-7</v>
      </c>
      <c r="E232" s="49" cm="1">
        <f t="array" ref="E232">IF($B232=0,0,IF($B232=1,0,_xlfn.BETA.DIST($B232,alpha_experiment_posterior,beta_experiment_posterior,FALSE)))</f>
        <v>3.7821017081621657E-6</v>
      </c>
      <c r="G232" s="24">
        <f t="shared" si="8"/>
        <v>0.60000000000000031</v>
      </c>
      <c r="H232" s="54">
        <f t="shared" si="11"/>
        <v>1</v>
      </c>
      <c r="I232" s="54" cm="1">
        <f t="array" ref="I232">J232*maxPriorValue_control/maxPosteriorValue_control</f>
        <v>2.0759179511090461E-7</v>
      </c>
      <c r="J232" s="49" cm="1">
        <f t="array" ref="J232">IF($B232=0,0,IF($B232=1,0,_xlfn.BETA.DIST($B232,alpha_control_posterior,beta_control_posterior,FALSE)))</f>
        <v>2.0007816896948405E-6</v>
      </c>
      <c r="L232" s="24">
        <v>60</v>
      </c>
      <c r="M232" s="29">
        <f t="shared" si="12"/>
        <v>720</v>
      </c>
      <c r="N232" s="69">
        <v>77902.097902097899</v>
      </c>
      <c r="O232" s="69">
        <v>89160.839160839168</v>
      </c>
      <c r="P232" s="70">
        <f t="shared" si="5"/>
        <v>0</v>
      </c>
      <c r="R232" s="24">
        <v>60</v>
      </c>
      <c r="S232" s="29">
        <f t="shared" si="13"/>
        <v>720</v>
      </c>
      <c r="T232" s="69">
        <v>61818.181818181823</v>
      </c>
      <c r="U232" s="69">
        <v>110909.0909090909</v>
      </c>
      <c r="V232" s="70">
        <f t="shared" si="6"/>
        <v>0</v>
      </c>
    </row>
    <row r="233" spans="2:22" x14ac:dyDescent="0.2">
      <c r="B233" s="24">
        <f t="shared" si="7"/>
        <v>0.61000000000000032</v>
      </c>
      <c r="C233" s="54">
        <f t="shared" si="9"/>
        <v>1</v>
      </c>
      <c r="D233" s="54">
        <f t="shared" si="10"/>
        <v>2.7255154955624966E-7</v>
      </c>
      <c r="E233" s="49" cm="1">
        <f t="array" ref="E233">IF($B233=0,0,IF($B233=1,0,_xlfn.BETA.DIST($B233,alpha_experiment_posterior,beta_experiment_posterior,FALSE)))</f>
        <v>2.3570277346888204E-6</v>
      </c>
      <c r="G233" s="24">
        <f t="shared" si="8"/>
        <v>0.61000000000000032</v>
      </c>
      <c r="H233" s="54">
        <f t="shared" si="11"/>
        <v>1</v>
      </c>
      <c r="I233" s="54" cm="1">
        <f t="array" ref="I233">J233*maxPriorValue_control/maxPosteriorValue_control</f>
        <v>1.2829415768170904E-7</v>
      </c>
      <c r="J233" s="49" cm="1">
        <f t="array" ref="J233">IF($B233=0,0,IF($B233=1,0,_xlfn.BETA.DIST($B233,alpha_control_posterior,beta_control_posterior,FALSE)))</f>
        <v>1.2365064883573642E-6</v>
      </c>
      <c r="L233" s="24">
        <v>61</v>
      </c>
      <c r="M233" s="29">
        <f t="shared" si="12"/>
        <v>732</v>
      </c>
      <c r="N233" s="69">
        <v>78743.893928820675</v>
      </c>
      <c r="O233" s="69">
        <v>90020.935101186318</v>
      </c>
      <c r="P233" s="70">
        <f t="shared" si="5"/>
        <v>0</v>
      </c>
      <c r="R233" s="24">
        <v>61</v>
      </c>
      <c r="S233" s="29">
        <f t="shared" si="13"/>
        <v>732</v>
      </c>
      <c r="T233" s="69">
        <v>61818.181818181823</v>
      </c>
      <c r="U233" s="69">
        <v>112000</v>
      </c>
      <c r="V233" s="70">
        <f t="shared" si="6"/>
        <v>0</v>
      </c>
    </row>
    <row r="234" spans="2:22" x14ac:dyDescent="0.2">
      <c r="B234" s="24">
        <f t="shared" si="7"/>
        <v>0.62000000000000033</v>
      </c>
      <c r="C234" s="54">
        <f t="shared" si="9"/>
        <v>1</v>
      </c>
      <c r="D234" s="54">
        <f t="shared" si="10"/>
        <v>1.6768829122944339E-7</v>
      </c>
      <c r="E234" s="49" cm="1">
        <f t="array" ref="E234">IF($B234=0,0,IF($B234=1,0,_xlfn.BETA.DIST($B234,alpha_experiment_posterior,beta_experiment_posterior,FALSE)))</f>
        <v>1.4501695325302218E-6</v>
      </c>
      <c r="G234" s="24">
        <f t="shared" si="8"/>
        <v>0.62000000000000033</v>
      </c>
      <c r="H234" s="54">
        <f t="shared" si="11"/>
        <v>1</v>
      </c>
      <c r="I234" s="54" cm="1">
        <f t="array" ref="I234">J234*maxPriorValue_control/maxPosteriorValue_control</f>
        <v>7.8269469541125296E-8</v>
      </c>
      <c r="J234" s="49" cm="1">
        <f t="array" ref="J234">IF($B234=0,0,IF($B234=1,0,_xlfn.BETA.DIST($B234,alpha_control_posterior,beta_control_posterior,FALSE)))</f>
        <v>7.5436565995466688E-7</v>
      </c>
      <c r="L234" s="24">
        <v>62</v>
      </c>
      <c r="M234" s="29">
        <f t="shared" si="12"/>
        <v>744</v>
      </c>
      <c r="N234" s="69">
        <v>79582.17270194985</v>
      </c>
      <c r="O234" s="69">
        <v>90877.437325905295</v>
      </c>
      <c r="P234" s="70">
        <f t="shared" si="5"/>
        <v>0</v>
      </c>
      <c r="R234" s="24">
        <v>62</v>
      </c>
      <c r="S234" s="29">
        <f t="shared" si="13"/>
        <v>744</v>
      </c>
      <c r="T234" s="69">
        <v>61818.181818181823</v>
      </c>
      <c r="U234" s="69">
        <v>113090.90909090909</v>
      </c>
      <c r="V234" s="70">
        <f t="shared" si="6"/>
        <v>0</v>
      </c>
    </row>
    <row r="235" spans="2:22" x14ac:dyDescent="0.2">
      <c r="B235" s="24">
        <f t="shared" si="7"/>
        <v>0.63000000000000034</v>
      </c>
      <c r="C235" s="54">
        <f t="shared" si="9"/>
        <v>1</v>
      </c>
      <c r="D235" s="54">
        <f t="shared" si="10"/>
        <v>1.0178642807711627E-7</v>
      </c>
      <c r="E235" s="49" cm="1">
        <f t="array" ref="E235">IF($B235=0,0,IF($B235=1,0,_xlfn.BETA.DIST($B235,alpha_experiment_posterior,beta_experiment_posterior,FALSE)))</f>
        <v>8.8024975232495668E-7</v>
      </c>
      <c r="G235" s="24">
        <f t="shared" si="8"/>
        <v>0.63000000000000034</v>
      </c>
      <c r="H235" s="54">
        <f t="shared" si="11"/>
        <v>1</v>
      </c>
      <c r="I235" s="54" cm="1">
        <f t="array" ref="I235">J235*maxPriorValue_control/maxPosteriorValue_control</f>
        <v>4.7105691007727405E-8</v>
      </c>
      <c r="J235" s="49" cm="1">
        <f t="array" ref="J235">IF($B235=0,0,IF($B235=1,0,_xlfn.BETA.DIST($B235,alpha_control_posterior,beta_control_posterior,FALSE)))</f>
        <v>4.5400736574551218E-7</v>
      </c>
      <c r="L235" s="24">
        <v>63</v>
      </c>
      <c r="M235" s="29">
        <f t="shared" si="12"/>
        <v>756</v>
      </c>
      <c r="N235" s="69">
        <v>80416.956219596934</v>
      </c>
      <c r="O235" s="69">
        <v>91730.3683113273</v>
      </c>
      <c r="P235" s="70">
        <f t="shared" si="5"/>
        <v>0</v>
      </c>
      <c r="R235" s="24">
        <v>63</v>
      </c>
      <c r="S235" s="29">
        <f t="shared" si="13"/>
        <v>756</v>
      </c>
      <c r="T235" s="69">
        <v>61818.181818181823</v>
      </c>
      <c r="U235" s="69">
        <v>114181.81818181818</v>
      </c>
      <c r="V235" s="70">
        <f t="shared" si="6"/>
        <v>0</v>
      </c>
    </row>
    <row r="236" spans="2:22" x14ac:dyDescent="0.2">
      <c r="B236" s="24">
        <f t="shared" si="7"/>
        <v>0.64000000000000035</v>
      </c>
      <c r="C236" s="54">
        <f t="shared" ref="C236:C272" si="14">IF($B236=0,0,IF($B236=1,0,_xlfn.BETA.DIST($B236,alpha_experiment_prior,beta_experiment_prior,FALSE)))</f>
        <v>1</v>
      </c>
      <c r="D236" s="54">
        <f t="shared" ref="D236:D267" si="15">E236*maxPriorValue_experiment/maxPosteriorValue_experiment</f>
        <v>6.0911083724300367E-8</v>
      </c>
      <c r="E236" s="49" cm="1">
        <f t="array" ref="E236">IF($B236=0,0,IF($B236=1,0,_xlfn.BETA.DIST($B236,alpha_experiment_posterior,beta_experiment_posterior,FALSE)))</f>
        <v>5.2675948429527724E-7</v>
      </c>
      <c r="G236" s="24">
        <f t="shared" si="8"/>
        <v>0.64000000000000035</v>
      </c>
      <c r="H236" s="54">
        <f t="shared" ref="H236:H267" si="16">IF(G236=0,0,IF(G236=1,0,_xlfn.BETA.DIST(G236,alpha_control_prior,beta_control_prior,FALSE)))</f>
        <v>1</v>
      </c>
      <c r="I236" s="54" cm="1">
        <f t="array" ref="I236">J236*maxPriorValue_control/maxPosteriorValue_control</f>
        <v>2.7946800949035051E-8</v>
      </c>
      <c r="J236" s="49" cm="1">
        <f t="array" ref="J236">IF($B236=0,0,IF($B236=1,0,_xlfn.BETA.DIST($B236,alpha_control_posterior,beta_control_posterior,FALSE)))</f>
        <v>2.6935287878070156E-7</v>
      </c>
      <c r="L236" s="24">
        <v>64</v>
      </c>
      <c r="M236" s="29">
        <f t="shared" ref="M236:M267" si="17">IF(L236=0,1,L236*(maxPosteriorScalePower/100))</f>
        <v>768</v>
      </c>
      <c r="N236" s="69">
        <v>81248.26629680999</v>
      </c>
      <c r="O236" s="69">
        <v>92579.750346740635</v>
      </c>
      <c r="P236" s="70">
        <f t="shared" si="5"/>
        <v>0</v>
      </c>
      <c r="R236" s="24">
        <v>64</v>
      </c>
      <c r="S236" s="29">
        <f t="shared" ref="S236:S267" si="18">IF(R236=0,1,R236*(maxHeadsInControl/100))</f>
        <v>768</v>
      </c>
      <c r="T236" s="69">
        <v>61818.181818181823</v>
      </c>
      <c r="U236" s="69">
        <v>115272.72727272728</v>
      </c>
      <c r="V236" s="70">
        <f t="shared" si="6"/>
        <v>0</v>
      </c>
    </row>
    <row r="237" spans="2:22" x14ac:dyDescent="0.2">
      <c r="B237" s="24">
        <f t="shared" si="7"/>
        <v>0.65000000000000036</v>
      </c>
      <c r="C237" s="54">
        <f t="shared" si="14"/>
        <v>1</v>
      </c>
      <c r="D237" s="54">
        <f t="shared" si="15"/>
        <v>3.5907194107372935E-8</v>
      </c>
      <c r="E237" s="49" cm="1">
        <f t="array" ref="E237">IF($B237=0,0,IF($B237=1,0,_xlfn.BETA.DIST($B237,alpha_experiment_posterior,beta_experiment_posterior,FALSE)))</f>
        <v>3.1052566945126112E-7</v>
      </c>
      <c r="G237" s="24">
        <f t="shared" si="8"/>
        <v>0.65000000000000036</v>
      </c>
      <c r="H237" s="54">
        <f t="shared" si="16"/>
        <v>1</v>
      </c>
      <c r="I237" s="54" cm="1">
        <f t="array" ref="I237">J237*maxPriorValue_control/maxPosteriorValue_control</f>
        <v>1.6331409807372797E-8</v>
      </c>
      <c r="J237" s="49" cm="1">
        <f t="array" ref="J237">IF($B237=0,0,IF($B237=1,0,_xlfn.BETA.DIST($B237,alpha_control_posterior,beta_control_posterior,FALSE)))</f>
        <v>1.5740306928815522E-7</v>
      </c>
      <c r="L237" s="24">
        <v>65</v>
      </c>
      <c r="M237" s="29">
        <f t="shared" si="17"/>
        <v>780</v>
      </c>
      <c r="N237" s="69">
        <v>82076.124567474049</v>
      </c>
      <c r="O237" s="69">
        <v>93425.605536332165</v>
      </c>
      <c r="P237" s="70">
        <f t="shared" ref="P237:P272" si="19">MAX(0,N237-O237)</f>
        <v>0</v>
      </c>
      <c r="R237" s="24">
        <v>65</v>
      </c>
      <c r="S237" s="29">
        <f t="shared" si="18"/>
        <v>780</v>
      </c>
      <c r="T237" s="69">
        <v>61818.181818181823</v>
      </c>
      <c r="U237" s="69">
        <v>116363.63636363637</v>
      </c>
      <c r="V237" s="70">
        <f t="shared" ref="V237:V272" si="20">MAX(0,T237-U237)</f>
        <v>0</v>
      </c>
    </row>
    <row r="238" spans="2:22" x14ac:dyDescent="0.2">
      <c r="B238" s="24">
        <f t="shared" ref="B238:B269" si="21">B237+0.01</f>
        <v>0.66000000000000036</v>
      </c>
      <c r="C238" s="54">
        <f t="shared" si="14"/>
        <v>1</v>
      </c>
      <c r="D238" s="54">
        <f t="shared" si="15"/>
        <v>2.0834097306616114E-8</v>
      </c>
      <c r="E238" s="49" cm="1">
        <f t="array" ref="E238">IF($B238=0,0,IF($B238=1,0,_xlfn.BETA.DIST($B238,alpha_experiment_posterior,beta_experiment_posterior,FALSE)))</f>
        <v>1.801734213540589E-7</v>
      </c>
      <c r="G238" s="24">
        <f t="shared" ref="G238:G269" si="22">G237+0.01</f>
        <v>0.66000000000000036</v>
      </c>
      <c r="H238" s="54">
        <f t="shared" si="16"/>
        <v>1</v>
      </c>
      <c r="I238" s="54" cm="1">
        <f t="array" ref="I238">J238*maxPriorValue_control/maxPosteriorValue_control</f>
        <v>9.392321591939329E-9</v>
      </c>
      <c r="J238" s="49" cm="1">
        <f t="array" ref="J238">IF($B238=0,0,IF($B238=1,0,_xlfn.BETA.DIST($B238,alpha_control_posterior,beta_control_posterior,FALSE)))</f>
        <v>9.0523737004336831E-8</v>
      </c>
      <c r="L238" s="24">
        <v>66</v>
      </c>
      <c r="M238" s="29">
        <f t="shared" si="17"/>
        <v>792</v>
      </c>
      <c r="N238" s="69">
        <v>82900.552486187866</v>
      </c>
      <c r="O238" s="69">
        <v>94267.955801104981</v>
      </c>
      <c r="P238" s="70">
        <f t="shared" si="19"/>
        <v>0</v>
      </c>
      <c r="R238" s="24">
        <v>66</v>
      </c>
      <c r="S238" s="29">
        <f t="shared" si="18"/>
        <v>792</v>
      </c>
      <c r="T238" s="69">
        <v>61818.181818181823</v>
      </c>
      <c r="U238" s="69">
        <v>117454.54545454547</v>
      </c>
      <c r="V238" s="70">
        <f t="shared" si="20"/>
        <v>0</v>
      </c>
    </row>
    <row r="239" spans="2:22" x14ac:dyDescent="0.2">
      <c r="B239" s="24">
        <f t="shared" si="21"/>
        <v>0.67000000000000037</v>
      </c>
      <c r="C239" s="54">
        <f t="shared" si="14"/>
        <v>1</v>
      </c>
      <c r="D239" s="54">
        <f t="shared" si="15"/>
        <v>1.1886987893557019E-8</v>
      </c>
      <c r="E239" s="49" cm="1">
        <f t="array" ref="E239">IF($B239=0,0,IF($B239=1,0,_xlfn.BETA.DIST($B239,alpha_experiment_posterior,beta_experiment_posterior,FALSE)))</f>
        <v>1.0279875565793376E-7</v>
      </c>
      <c r="G239" s="24">
        <f t="shared" si="22"/>
        <v>0.67000000000000037</v>
      </c>
      <c r="H239" s="54">
        <f t="shared" si="16"/>
        <v>1</v>
      </c>
      <c r="I239" s="54" cm="1">
        <f t="array" ref="I239">J239*maxPriorValue_control/maxPosteriorValue_control</f>
        <v>5.310934162192586E-9</v>
      </c>
      <c r="J239" s="49" cm="1">
        <f t="array" ref="J239">IF($B239=0,0,IF($B239=1,0,_xlfn.BETA.DIST($B239,alpha_control_posterior,beta_control_posterior,FALSE)))</f>
        <v>5.1187089649727487E-8</v>
      </c>
      <c r="L239" s="24">
        <v>67</v>
      </c>
      <c r="M239" s="29">
        <f t="shared" si="17"/>
        <v>804</v>
      </c>
      <c r="N239" s="69">
        <v>83721.571330117149</v>
      </c>
      <c r="O239" s="69">
        <v>95106.822880771884</v>
      </c>
      <c r="P239" s="70">
        <f t="shared" si="19"/>
        <v>0</v>
      </c>
      <c r="R239" s="24">
        <v>67</v>
      </c>
      <c r="S239" s="29">
        <f t="shared" si="18"/>
        <v>804</v>
      </c>
      <c r="T239" s="69">
        <v>61818.181818181823</v>
      </c>
      <c r="U239" s="69">
        <v>118545.45454545454</v>
      </c>
      <c r="V239" s="70">
        <f t="shared" si="20"/>
        <v>0</v>
      </c>
    </row>
    <row r="240" spans="2:22" x14ac:dyDescent="0.2">
      <c r="B240" s="24">
        <f t="shared" si="21"/>
        <v>0.68000000000000038</v>
      </c>
      <c r="C240" s="54">
        <f t="shared" si="14"/>
        <v>1</v>
      </c>
      <c r="D240" s="54">
        <f t="shared" si="15"/>
        <v>6.6624052617337535E-9</v>
      </c>
      <c r="E240" s="49" cm="1">
        <f t="array" ref="E240">IF($B240=0,0,IF($B240=1,0,_xlfn.BETA.DIST($B240,alpha_experiment_posterior,beta_experiment_posterior,FALSE)))</f>
        <v>5.7616527982359818E-8</v>
      </c>
      <c r="G240" s="24">
        <f t="shared" si="22"/>
        <v>0.68000000000000038</v>
      </c>
      <c r="H240" s="54">
        <f t="shared" si="16"/>
        <v>1</v>
      </c>
      <c r="I240" s="54" cm="1">
        <f t="array" ref="I240">J240*maxPriorValue_control/maxPosteriorValue_control</f>
        <v>2.9496502918828942E-9</v>
      </c>
      <c r="J240" s="49" cm="1">
        <f t="array" ref="J240">IF($B240=0,0,IF($B240=1,0,_xlfn.BETA.DIST($B240,alpha_control_posterior,beta_control_posterior,FALSE)))</f>
        <v>2.842889957114847E-8</v>
      </c>
      <c r="L240" s="24">
        <v>68</v>
      </c>
      <c r="M240" s="29">
        <f t="shared" si="17"/>
        <v>816</v>
      </c>
      <c r="N240" s="69">
        <v>84539.202200825312</v>
      </c>
      <c r="O240" s="69">
        <v>95942.228335625856</v>
      </c>
      <c r="P240" s="70">
        <f t="shared" si="19"/>
        <v>0</v>
      </c>
      <c r="R240" s="24">
        <v>68</v>
      </c>
      <c r="S240" s="29">
        <f t="shared" si="18"/>
        <v>816</v>
      </c>
      <c r="T240" s="69">
        <v>61818.181818181823</v>
      </c>
      <c r="U240" s="69">
        <v>119636.36363636362</v>
      </c>
      <c r="V240" s="70">
        <f t="shared" si="20"/>
        <v>0</v>
      </c>
    </row>
    <row r="241" spans="2:22" x14ac:dyDescent="0.2">
      <c r="B241" s="24">
        <f t="shared" si="21"/>
        <v>0.69000000000000039</v>
      </c>
      <c r="C241" s="54">
        <f t="shared" si="14"/>
        <v>1</v>
      </c>
      <c r="D241" s="54">
        <f t="shared" si="15"/>
        <v>3.6641068249230465E-9</v>
      </c>
      <c r="E241" s="49" cm="1">
        <f t="array" ref="E241">IF($B241=0,0,IF($B241=1,0,_xlfn.BETA.DIST($B241,alpha_experiment_posterior,beta_experiment_posterior,FALSE)))</f>
        <v>3.1687221823788674E-8</v>
      </c>
      <c r="G241" s="24">
        <f t="shared" si="22"/>
        <v>0.69000000000000039</v>
      </c>
      <c r="H241" s="54">
        <f t="shared" si="16"/>
        <v>1</v>
      </c>
      <c r="I241" s="54" cm="1">
        <f t="array" ref="I241">J241*maxPriorValue_control/maxPosteriorValue_control</f>
        <v>1.6072443850986888E-9</v>
      </c>
      <c r="J241" s="49" cm="1">
        <f t="array" ref="J241">IF($B241=0,0,IF($B241=1,0,_xlfn.BETA.DIST($B241,alpha_control_posterior,beta_control_posterior,FALSE)))</f>
        <v>1.5490714047018611E-8</v>
      </c>
      <c r="L241" s="24">
        <v>69</v>
      </c>
      <c r="M241" s="29">
        <f t="shared" si="17"/>
        <v>828</v>
      </c>
      <c r="N241" s="69">
        <v>85353.466026080976</v>
      </c>
      <c r="O241" s="69">
        <v>96774.193548387091</v>
      </c>
      <c r="P241" s="70">
        <f t="shared" si="19"/>
        <v>0</v>
      </c>
      <c r="R241" s="24">
        <v>69</v>
      </c>
      <c r="S241" s="29">
        <f t="shared" si="18"/>
        <v>828</v>
      </c>
      <c r="T241" s="69">
        <v>61818.181818181823</v>
      </c>
      <c r="U241" s="69">
        <v>120727.27272727271</v>
      </c>
      <c r="V241" s="70">
        <f t="shared" si="20"/>
        <v>0</v>
      </c>
    </row>
    <row r="242" spans="2:22" x14ac:dyDescent="0.2">
      <c r="B242" s="24">
        <f t="shared" si="21"/>
        <v>0.7000000000000004</v>
      </c>
      <c r="C242" s="54">
        <f t="shared" si="14"/>
        <v>1</v>
      </c>
      <c r="D242" s="54">
        <f t="shared" si="15"/>
        <v>1.9749261266405299E-9</v>
      </c>
      <c r="E242" s="49" cm="1">
        <f t="array" ref="E242">IF($B242=0,0,IF($B242=1,0,_xlfn.BETA.DIST($B242,alpha_experiment_posterior,beta_experiment_posterior,FALSE)))</f>
        <v>1.7079175157991891E-8</v>
      </c>
      <c r="G242" s="24">
        <f t="shared" si="22"/>
        <v>0.7000000000000004</v>
      </c>
      <c r="H242" s="54">
        <f t="shared" si="16"/>
        <v>1</v>
      </c>
      <c r="I242" s="54" cm="1">
        <f t="array" ref="I242">J242*maxPriorValue_control/maxPosteriorValue_control</f>
        <v>8.5815703673425848E-10</v>
      </c>
      <c r="J242" s="49" cm="1">
        <f t="array" ref="J242">IF($B242=0,0,IF($B242=1,0,_xlfn.BETA.DIST($B242,alpha_control_posterior,beta_control_posterior,FALSE)))</f>
        <v>8.2709669958940271E-9</v>
      </c>
      <c r="L242" s="24">
        <v>70</v>
      </c>
      <c r="M242" s="29">
        <f t="shared" si="17"/>
        <v>840</v>
      </c>
      <c r="N242" s="69">
        <v>86164.383561643845</v>
      </c>
      <c r="O242" s="69">
        <v>97602.739726027401</v>
      </c>
      <c r="P242" s="70">
        <f t="shared" si="19"/>
        <v>0</v>
      </c>
      <c r="R242" s="24">
        <v>70</v>
      </c>
      <c r="S242" s="29">
        <f t="shared" si="18"/>
        <v>840</v>
      </c>
      <c r="T242" s="69">
        <v>61818.181818181823</v>
      </c>
      <c r="U242" s="69">
        <v>121818.18181818181</v>
      </c>
      <c r="V242" s="70">
        <f t="shared" si="20"/>
        <v>0</v>
      </c>
    </row>
    <row r="243" spans="2:22" x14ac:dyDescent="0.2">
      <c r="B243" s="24">
        <f t="shared" si="21"/>
        <v>0.71000000000000041</v>
      </c>
      <c r="C243" s="54">
        <f t="shared" si="14"/>
        <v>1</v>
      </c>
      <c r="D243" s="54">
        <f t="shared" si="15"/>
        <v>1.0418197140766779E-9</v>
      </c>
      <c r="E243" s="49" cm="1">
        <f t="array" ref="E243">IF($B243=0,0,IF($B243=1,0,_xlfn.BETA.DIST($B243,alpha_experiment_posterior,beta_experiment_posterior,FALSE)))</f>
        <v>9.0096642804722574E-9</v>
      </c>
      <c r="G243" s="24">
        <f t="shared" si="22"/>
        <v>0.71000000000000041</v>
      </c>
      <c r="H243" s="54">
        <f t="shared" si="16"/>
        <v>1</v>
      </c>
      <c r="I243" s="54" cm="1">
        <f t="array" ref="I243">J243*maxPriorValue_control/maxPosteriorValue_control</f>
        <v>4.48365069443066E-10</v>
      </c>
      <c r="J243" s="49" cm="1">
        <f t="array" ref="J243">IF($B243=0,0,IF($B243=1,0,_xlfn.BETA.DIST($B243,alpha_control_posterior,beta_control_posterior,FALSE)))</f>
        <v>4.3213683891561438E-9</v>
      </c>
      <c r="L243" s="24">
        <v>71</v>
      </c>
      <c r="M243" s="29">
        <f t="shared" si="17"/>
        <v>852</v>
      </c>
      <c r="N243" s="69">
        <v>86971.975393028042</v>
      </c>
      <c r="O243" s="69">
        <v>98427.887901572118</v>
      </c>
      <c r="P243" s="70">
        <f t="shared" si="19"/>
        <v>0</v>
      </c>
      <c r="R243" s="24">
        <v>71</v>
      </c>
      <c r="S243" s="29">
        <f t="shared" si="18"/>
        <v>852</v>
      </c>
      <c r="T243" s="69">
        <v>61818.181818181823</v>
      </c>
      <c r="U243" s="69">
        <v>122909.0909090909</v>
      </c>
      <c r="V243" s="70">
        <f t="shared" si="20"/>
        <v>0</v>
      </c>
    </row>
    <row r="244" spans="2:22" x14ac:dyDescent="0.2">
      <c r="B244" s="24">
        <f t="shared" si="21"/>
        <v>0.72000000000000042</v>
      </c>
      <c r="C244" s="54">
        <f t="shared" si="14"/>
        <v>1</v>
      </c>
      <c r="D244" s="54">
        <f t="shared" si="15"/>
        <v>5.3708686511988582E-10</v>
      </c>
      <c r="E244" s="49" cm="1">
        <f t="array" ref="E244">IF($B244=0,0,IF($B244=1,0,_xlfn.BETA.DIST($B244,alpha_experiment_posterior,beta_experiment_posterior,FALSE)))</f>
        <v>4.6447310209233647E-9</v>
      </c>
      <c r="G244" s="24">
        <f t="shared" si="22"/>
        <v>0.72000000000000042</v>
      </c>
      <c r="H244" s="54">
        <f t="shared" si="16"/>
        <v>1</v>
      </c>
      <c r="I244" s="54" cm="1">
        <f t="array" ref="I244">J244*maxPriorValue_control/maxPosteriorValue_control</f>
        <v>2.2888688477475342E-10</v>
      </c>
      <c r="J244" s="49" cm="1">
        <f t="array" ref="J244">IF($B244=0,0,IF($B244=1,0,_xlfn.BETA.DIST($B244,alpha_control_posterior,beta_control_posterior,FALSE)))</f>
        <v>2.2060249916137635E-9</v>
      </c>
      <c r="L244" s="24">
        <v>72</v>
      </c>
      <c r="M244" s="29">
        <f t="shared" si="17"/>
        <v>864</v>
      </c>
      <c r="N244" s="69">
        <v>87776.261937244199</v>
      </c>
      <c r="O244" s="69">
        <v>99249.658935879939</v>
      </c>
      <c r="P244" s="70">
        <f t="shared" si="19"/>
        <v>0</v>
      </c>
      <c r="R244" s="24">
        <v>72</v>
      </c>
      <c r="S244" s="29">
        <f t="shared" si="18"/>
        <v>864</v>
      </c>
      <c r="T244" s="69">
        <v>61818.181818181823</v>
      </c>
      <c r="U244" s="69">
        <v>123999.99999999999</v>
      </c>
      <c r="V244" s="70">
        <f t="shared" si="20"/>
        <v>0</v>
      </c>
    </row>
    <row r="245" spans="2:22" x14ac:dyDescent="0.2">
      <c r="B245" s="24">
        <f t="shared" si="21"/>
        <v>0.73000000000000043</v>
      </c>
      <c r="C245" s="54">
        <f t="shared" si="14"/>
        <v>1</v>
      </c>
      <c r="D245" s="54">
        <f t="shared" si="15"/>
        <v>2.7013875409540939E-10</v>
      </c>
      <c r="E245" s="49" cm="1">
        <f t="array" ref="E245">IF($B245=0,0,IF($B245=1,0,_xlfn.BETA.DIST($B245,alpha_experiment_posterior,beta_experiment_posterior,FALSE)))</f>
        <v>2.3361618624213867E-9</v>
      </c>
      <c r="G245" s="24">
        <f t="shared" si="22"/>
        <v>0.73000000000000043</v>
      </c>
      <c r="H245" s="54">
        <f t="shared" si="16"/>
        <v>1</v>
      </c>
      <c r="I245" s="54" cm="1">
        <f t="array" ref="I245">J245*maxPriorValue_control/maxPosteriorValue_control</f>
        <v>1.1397414505798692E-10</v>
      </c>
      <c r="J245" s="49" cm="1">
        <f t="array" ref="J245">IF($B245=0,0,IF($B245=1,0,_xlfn.BETA.DIST($B245,alpha_control_posterior,beta_control_posterior,FALSE)))</f>
        <v>1.0984893810895387E-9</v>
      </c>
      <c r="L245" s="24">
        <v>73</v>
      </c>
      <c r="M245" s="29">
        <f t="shared" si="17"/>
        <v>876</v>
      </c>
      <c r="N245" s="69">
        <v>88577.263444520082</v>
      </c>
      <c r="O245" s="69">
        <v>100068.07351940096</v>
      </c>
      <c r="P245" s="70">
        <f t="shared" si="19"/>
        <v>0</v>
      </c>
      <c r="R245" s="24">
        <v>73</v>
      </c>
      <c r="S245" s="29">
        <f t="shared" si="18"/>
        <v>876</v>
      </c>
      <c r="T245" s="69">
        <v>61818.181818181823</v>
      </c>
      <c r="U245" s="69">
        <v>125090.90909090909</v>
      </c>
      <c r="V245" s="70">
        <f t="shared" si="20"/>
        <v>0</v>
      </c>
    </row>
    <row r="246" spans="2:22" x14ac:dyDescent="0.2">
      <c r="B246" s="24">
        <f t="shared" si="21"/>
        <v>0.74000000000000044</v>
      </c>
      <c r="C246" s="54">
        <f t="shared" si="14"/>
        <v>1</v>
      </c>
      <c r="D246" s="54">
        <f t="shared" si="15"/>
        <v>1.3231771407934815E-10</v>
      </c>
      <c r="E246" s="49" cm="1">
        <f t="array" ref="E246">IF($B246=0,0,IF($B246=1,0,_xlfn.BETA.DIST($B246,alpha_experiment_posterior,beta_experiment_posterior,FALSE)))</f>
        <v>1.1442845303335302E-9</v>
      </c>
      <c r="G246" s="24">
        <f t="shared" si="22"/>
        <v>0.74000000000000044</v>
      </c>
      <c r="H246" s="54">
        <f t="shared" si="16"/>
        <v>1</v>
      </c>
      <c r="I246" s="54" cm="1">
        <f t="array" ref="I246">J246*maxPriorValue_control/maxPosteriorValue_control</f>
        <v>5.5255763588516971E-11</v>
      </c>
      <c r="J246" s="49" cm="1">
        <f t="array" ref="J246">IF($B246=0,0,IF($B246=1,0,_xlfn.BETA.DIST($B246,alpha_control_posterior,beta_control_posterior,FALSE)))</f>
        <v>5.3255823516025028E-10</v>
      </c>
      <c r="L246" s="24">
        <v>74</v>
      </c>
      <c r="M246" s="29">
        <f t="shared" si="17"/>
        <v>888</v>
      </c>
      <c r="N246" s="69">
        <v>89375.000000000015</v>
      </c>
      <c r="O246" s="69">
        <v>100883.15217391304</v>
      </c>
      <c r="P246" s="70">
        <f t="shared" si="19"/>
        <v>0</v>
      </c>
      <c r="R246" s="24">
        <v>74</v>
      </c>
      <c r="S246" s="29">
        <f t="shared" si="18"/>
        <v>888</v>
      </c>
      <c r="T246" s="69">
        <v>61818.181818181823</v>
      </c>
      <c r="U246" s="69">
        <v>126181.81818181818</v>
      </c>
      <c r="V246" s="70">
        <f t="shared" si="20"/>
        <v>0</v>
      </c>
    </row>
    <row r="247" spans="2:22" x14ac:dyDescent="0.2">
      <c r="B247" s="24">
        <f t="shared" si="21"/>
        <v>0.75000000000000044</v>
      </c>
      <c r="C247" s="54">
        <f t="shared" si="14"/>
        <v>1</v>
      </c>
      <c r="D247" s="54">
        <f t="shared" si="15"/>
        <v>6.2985634661748581E-11</v>
      </c>
      <c r="E247" s="49" cm="1">
        <f t="array" ref="E247">IF($B247=0,0,IF($B247=1,0,_xlfn.BETA.DIST($B247,alpha_experiment_posterior,beta_experiment_posterior,FALSE)))</f>
        <v>5.4470021552410837E-10</v>
      </c>
      <c r="G247" s="24">
        <f t="shared" si="22"/>
        <v>0.75000000000000044</v>
      </c>
      <c r="H247" s="54">
        <f t="shared" si="16"/>
        <v>1</v>
      </c>
      <c r="I247" s="54" cm="1">
        <f t="array" ref="I247">J247*maxPriorValue_control/maxPosteriorValue_control</f>
        <v>2.6027264685398596E-11</v>
      </c>
      <c r="J247" s="49" cm="1">
        <f t="array" ref="J247">IF($B247=0,0,IF($B247=1,0,_xlfn.BETA.DIST($B247,alpha_control_posterior,beta_control_posterior,FALSE)))</f>
        <v>2.5085227760358248E-10</v>
      </c>
      <c r="L247" s="24">
        <v>75</v>
      </c>
      <c r="M247" s="29">
        <f t="shared" si="17"/>
        <v>900</v>
      </c>
      <c r="N247" s="69">
        <v>90169.491525423728</v>
      </c>
      <c r="O247" s="69">
        <v>101694.91525423728</v>
      </c>
      <c r="P247" s="70">
        <f t="shared" si="19"/>
        <v>0</v>
      </c>
      <c r="R247" s="24">
        <v>75</v>
      </c>
      <c r="S247" s="29">
        <f t="shared" si="18"/>
        <v>900</v>
      </c>
      <c r="T247" s="69">
        <v>61818.181818181823</v>
      </c>
      <c r="U247" s="69">
        <v>127272.72727272726</v>
      </c>
      <c r="V247" s="70">
        <f t="shared" si="20"/>
        <v>0</v>
      </c>
    </row>
    <row r="248" spans="2:22" x14ac:dyDescent="0.2">
      <c r="B248" s="24">
        <f t="shared" si="21"/>
        <v>0.76000000000000045</v>
      </c>
      <c r="C248" s="54">
        <f t="shared" si="14"/>
        <v>1</v>
      </c>
      <c r="D248" s="54">
        <f t="shared" si="15"/>
        <v>2.9070402656852417E-11</v>
      </c>
      <c r="E248" s="49" cm="1">
        <f t="array" ref="E248">IF($B248=0,0,IF($B248=1,0,_xlfn.BETA.DIST($B248,alpha_experiment_posterior,beta_experiment_posterior,FALSE)))</f>
        <v>2.5140104847076458E-10</v>
      </c>
      <c r="G248" s="24">
        <f t="shared" si="22"/>
        <v>0.76000000000000045</v>
      </c>
      <c r="H248" s="54">
        <f t="shared" si="16"/>
        <v>1</v>
      </c>
      <c r="I248" s="54" cm="1">
        <f t="array" ref="I248">J248*maxPriorValue_control/maxPosteriorValue_control</f>
        <v>1.1883430949278119E-11</v>
      </c>
      <c r="J248" s="49" cm="1">
        <f t="array" ref="J248">IF($B248=0,0,IF($B248=1,0,_xlfn.BETA.DIST($B248,alpha_control_posterior,beta_control_posterior,FALSE)))</f>
        <v>1.1453319261181001E-10</v>
      </c>
      <c r="L248" s="24">
        <v>76</v>
      </c>
      <c r="M248" s="29">
        <f t="shared" si="17"/>
        <v>912</v>
      </c>
      <c r="N248" s="69">
        <v>90960.757780784843</v>
      </c>
      <c r="O248" s="69">
        <v>102503.38294993233</v>
      </c>
      <c r="P248" s="70">
        <f t="shared" si="19"/>
        <v>0</v>
      </c>
      <c r="R248" s="24">
        <v>76</v>
      </c>
      <c r="S248" s="29">
        <f t="shared" si="18"/>
        <v>912</v>
      </c>
      <c r="T248" s="69">
        <v>61818.181818181823</v>
      </c>
      <c r="U248" s="69">
        <v>128363.63636363635</v>
      </c>
      <c r="V248" s="70">
        <f t="shared" si="20"/>
        <v>0</v>
      </c>
    </row>
    <row r="249" spans="2:22" x14ac:dyDescent="0.2">
      <c r="B249" s="24">
        <f t="shared" si="21"/>
        <v>0.77000000000000046</v>
      </c>
      <c r="C249" s="54">
        <f t="shared" si="14"/>
        <v>1</v>
      </c>
      <c r="D249" s="54">
        <f t="shared" si="15"/>
        <v>1.2975119436992288E-11</v>
      </c>
      <c r="E249" s="49" cm="1">
        <f t="array" ref="E249">IF($B249=0,0,IF($B249=1,0,_xlfn.BETA.DIST($B249,alpha_experiment_posterior,beta_experiment_posterior,FALSE)))</f>
        <v>1.1220892496734494E-10</v>
      </c>
      <c r="G249" s="24">
        <f t="shared" si="22"/>
        <v>0.77000000000000046</v>
      </c>
      <c r="H249" s="54">
        <f t="shared" si="16"/>
        <v>1</v>
      </c>
      <c r="I249" s="54" cm="1">
        <f t="array" ref="I249">J249*maxPriorValue_control/maxPosteriorValue_control</f>
        <v>5.2452966658596094E-12</v>
      </c>
      <c r="J249" s="49" cm="1">
        <f t="array" ref="J249">IF($B249=0,0,IF($B249=1,0,_xlfn.BETA.DIST($B249,alpha_control_posterior,beta_control_posterior,FALSE)))</f>
        <v>5.0554471675831788E-11</v>
      </c>
      <c r="L249" s="24">
        <v>77</v>
      </c>
      <c r="M249" s="29">
        <f t="shared" si="17"/>
        <v>924</v>
      </c>
      <c r="N249" s="69">
        <v>91748.818365968953</v>
      </c>
      <c r="O249" s="69">
        <v>103308.57528696825</v>
      </c>
      <c r="P249" s="70">
        <f t="shared" si="19"/>
        <v>0</v>
      </c>
      <c r="R249" s="24">
        <v>77</v>
      </c>
      <c r="S249" s="29">
        <f t="shared" si="18"/>
        <v>924</v>
      </c>
      <c r="T249" s="69">
        <v>61818.181818181823</v>
      </c>
      <c r="U249" s="69">
        <v>129454.54545454546</v>
      </c>
      <c r="V249" s="70">
        <f t="shared" si="20"/>
        <v>0</v>
      </c>
    </row>
    <row r="250" spans="2:22" x14ac:dyDescent="0.2">
      <c r="B250" s="24">
        <f t="shared" si="21"/>
        <v>0.78000000000000047</v>
      </c>
      <c r="C250" s="54">
        <f t="shared" si="14"/>
        <v>1</v>
      </c>
      <c r="D250" s="54">
        <f t="shared" si="15"/>
        <v>5.5838724138779374E-12</v>
      </c>
      <c r="E250" s="49" cm="1">
        <f t="array" ref="E250">IF($B250=0,0,IF($B250=1,0,_xlfn.BETA.DIST($B250,alpha_experiment_posterior,beta_experiment_posterior,FALSE)))</f>
        <v>4.8289368260435631E-11</v>
      </c>
      <c r="G250" s="24">
        <f t="shared" si="22"/>
        <v>0.78000000000000047</v>
      </c>
      <c r="H250" s="54">
        <f t="shared" si="16"/>
        <v>1</v>
      </c>
      <c r="I250" s="54" cm="1">
        <f t="array" ref="I250">J250*maxPriorValue_control/maxPosteriorValue_control</f>
        <v>2.2315795451094859E-12</v>
      </c>
      <c r="J250" s="49" cm="1">
        <f t="array" ref="J250">IF($B250=0,0,IF($B250=1,0,_xlfn.BETA.DIST($B250,alpha_control_posterior,beta_control_posterior,FALSE)))</f>
        <v>2.1508092314377138E-11</v>
      </c>
      <c r="L250" s="24">
        <v>78</v>
      </c>
      <c r="M250" s="29">
        <f t="shared" si="17"/>
        <v>936</v>
      </c>
      <c r="N250" s="69">
        <v>92533.692722371969</v>
      </c>
      <c r="O250" s="69">
        <v>104110.51212938005</v>
      </c>
      <c r="P250" s="70">
        <f t="shared" si="19"/>
        <v>0</v>
      </c>
      <c r="R250" s="24">
        <v>78</v>
      </c>
      <c r="S250" s="29">
        <f t="shared" si="18"/>
        <v>936</v>
      </c>
      <c r="T250" s="69">
        <v>61818.181818181823</v>
      </c>
      <c r="U250" s="69">
        <v>130545.45454545454</v>
      </c>
      <c r="V250" s="70">
        <f t="shared" si="20"/>
        <v>0</v>
      </c>
    </row>
    <row r="251" spans="2:22" x14ac:dyDescent="0.2">
      <c r="B251" s="24">
        <f t="shared" si="21"/>
        <v>0.79000000000000048</v>
      </c>
      <c r="C251" s="54">
        <f t="shared" si="14"/>
        <v>1</v>
      </c>
      <c r="D251" s="54">
        <f t="shared" si="15"/>
        <v>2.3091729661433243E-12</v>
      </c>
      <c r="E251" s="49" cm="1">
        <f t="array" ref="E251">IF($B251=0,0,IF($B251=1,0,_xlfn.BETA.DIST($B251,alpha_experiment_posterior,beta_experiment_posterior,FALSE)))</f>
        <v>1.9969744197950974E-11</v>
      </c>
      <c r="G251" s="24">
        <f t="shared" si="22"/>
        <v>0.79000000000000048</v>
      </c>
      <c r="H251" s="54">
        <f t="shared" si="16"/>
        <v>1</v>
      </c>
      <c r="I251" s="54" cm="1">
        <f t="array" ref="I251">J251*maxPriorValue_control/maxPosteriorValue_control</f>
        <v>9.1198180759126059E-13</v>
      </c>
      <c r="J251" s="49" cm="1">
        <f t="array" ref="J251">IF($B251=0,0,IF($B251=1,0,_xlfn.BETA.DIST($B251,alpha_control_posterior,beta_control_posterior,FALSE)))</f>
        <v>8.7897332406060432E-12</v>
      </c>
      <c r="L251" s="24">
        <v>79</v>
      </c>
      <c r="M251" s="29">
        <f t="shared" si="17"/>
        <v>948</v>
      </c>
      <c r="N251" s="69">
        <v>93315.400134498996</v>
      </c>
      <c r="O251" s="69">
        <v>104909.21318090115</v>
      </c>
      <c r="P251" s="70">
        <f t="shared" si="19"/>
        <v>0</v>
      </c>
      <c r="R251" s="24">
        <v>79</v>
      </c>
      <c r="S251" s="29">
        <f t="shared" si="18"/>
        <v>948</v>
      </c>
      <c r="T251" s="69">
        <v>61818.181818181823</v>
      </c>
      <c r="U251" s="69">
        <v>131636.36363636365</v>
      </c>
      <c r="V251" s="70">
        <f t="shared" si="20"/>
        <v>0</v>
      </c>
    </row>
    <row r="252" spans="2:22" x14ac:dyDescent="0.2">
      <c r="B252" s="24">
        <f t="shared" si="21"/>
        <v>0.80000000000000049</v>
      </c>
      <c r="C252" s="54">
        <f t="shared" si="14"/>
        <v>1</v>
      </c>
      <c r="D252" s="54">
        <f t="shared" si="15"/>
        <v>9.140969059122356E-13</v>
      </c>
      <c r="E252" s="49" cm="1">
        <f t="array" ref="E252">IF($B252=0,0,IF($B252=1,0,_xlfn.BETA.DIST($B252,alpha_experiment_posterior,beta_experiment_posterior,FALSE)))</f>
        <v>7.9051165290979797E-12</v>
      </c>
      <c r="G252" s="24">
        <f t="shared" si="22"/>
        <v>0.80000000000000049</v>
      </c>
      <c r="H252" s="54">
        <f t="shared" si="16"/>
        <v>1</v>
      </c>
      <c r="I252" s="54" cm="1">
        <f t="array" ref="I252">J252*maxPriorValue_control/maxPosteriorValue_control</f>
        <v>3.5660835205024913E-13</v>
      </c>
      <c r="J252" s="49" cm="1">
        <f t="array" ref="J252">IF($B252=0,0,IF($B252=1,0,_xlfn.BETA.DIST($B252,alpha_control_posterior,beta_control_posterior,FALSE)))</f>
        <v>3.4370118568183754E-12</v>
      </c>
      <c r="L252" s="24">
        <v>80</v>
      </c>
      <c r="M252" s="29">
        <f t="shared" si="17"/>
        <v>960</v>
      </c>
      <c r="N252" s="69">
        <v>94093.95973154364</v>
      </c>
      <c r="O252" s="69">
        <v>105704.69798657719</v>
      </c>
      <c r="P252" s="70">
        <f t="shared" si="19"/>
        <v>0</v>
      </c>
      <c r="R252" s="24">
        <v>80</v>
      </c>
      <c r="S252" s="29">
        <f t="shared" si="18"/>
        <v>960</v>
      </c>
      <c r="T252" s="69">
        <v>61818.181818181823</v>
      </c>
      <c r="U252" s="69">
        <v>132727.27272727274</v>
      </c>
      <c r="V252" s="70">
        <f t="shared" si="20"/>
        <v>0</v>
      </c>
    </row>
    <row r="253" spans="2:22" x14ac:dyDescent="0.2">
      <c r="B253" s="24">
        <f t="shared" si="21"/>
        <v>0.8100000000000005</v>
      </c>
      <c r="C253" s="54">
        <f t="shared" si="14"/>
        <v>1</v>
      </c>
      <c r="D253" s="54">
        <f t="shared" si="15"/>
        <v>3.4482717640581894E-13</v>
      </c>
      <c r="E253" s="49" cm="1">
        <f t="array" ref="E253">IF($B253=0,0,IF($B253=1,0,_xlfn.BETA.DIST($B253,alpha_experiment_posterior,beta_experiment_posterior,FALSE)))</f>
        <v>2.9820678685784152E-12</v>
      </c>
      <c r="G253" s="24">
        <f t="shared" si="22"/>
        <v>0.8100000000000005</v>
      </c>
      <c r="H253" s="54">
        <f t="shared" si="16"/>
        <v>1</v>
      </c>
      <c r="I253" s="54" cm="1">
        <f t="array" ref="I253">J253*maxPriorValue_control/maxPosteriorValue_control</f>
        <v>1.328209163634039E-13</v>
      </c>
      <c r="J253" s="49" cm="1">
        <f t="array" ref="J253">IF($B253=0,0,IF($B253=1,0,_xlfn.BETA.DIST($B253,alpha_control_posterior,beta_control_posterior,FALSE)))</f>
        <v>1.2801356495155092E-12</v>
      </c>
      <c r="L253" s="24">
        <v>81</v>
      </c>
      <c r="M253" s="29">
        <f t="shared" si="17"/>
        <v>972</v>
      </c>
      <c r="N253" s="69">
        <v>94869.390488948411</v>
      </c>
      <c r="O253" s="69">
        <v>106496.98593436035</v>
      </c>
      <c r="P253" s="70">
        <f t="shared" si="19"/>
        <v>0</v>
      </c>
      <c r="R253" s="24">
        <v>81</v>
      </c>
      <c r="S253" s="29">
        <f t="shared" si="18"/>
        <v>972</v>
      </c>
      <c r="T253" s="69">
        <v>61818.181818181823</v>
      </c>
      <c r="U253" s="69">
        <v>133818.18181818179</v>
      </c>
      <c r="V253" s="70">
        <f t="shared" si="20"/>
        <v>0</v>
      </c>
    </row>
    <row r="254" spans="2:22" x14ac:dyDescent="0.2">
      <c r="B254" s="24">
        <f t="shared" si="21"/>
        <v>0.82000000000000051</v>
      </c>
      <c r="C254" s="54">
        <f t="shared" si="14"/>
        <v>1</v>
      </c>
      <c r="D254" s="54">
        <f t="shared" si="15"/>
        <v>1.233182952647235E-13</v>
      </c>
      <c r="E254" s="49" cm="1">
        <f t="array" ref="E254">IF($B254=0,0,IF($B254=1,0,_xlfn.BETA.DIST($B254,alpha_experiment_posterior,beta_experiment_posterior,FALSE)))</f>
        <v>1.0664574925614592E-12</v>
      </c>
      <c r="G254" s="24">
        <f t="shared" si="22"/>
        <v>0.82000000000000051</v>
      </c>
      <c r="H254" s="54">
        <f t="shared" si="16"/>
        <v>1</v>
      </c>
      <c r="I254" s="54" cm="1">
        <f t="array" ref="I254">J254*maxPriorValue_control/maxPosteriorValue_control</f>
        <v>4.6873837795550903E-14</v>
      </c>
      <c r="J254" s="49" cm="1">
        <f t="array" ref="J254">IF($B254=0,0,IF($B254=1,0,_xlfn.BETA.DIST($B254,alpha_control_posterior,beta_control_posterior,FALSE)))</f>
        <v>4.5177275111938093E-13</v>
      </c>
      <c r="L254" s="24">
        <v>82</v>
      </c>
      <c r="M254" s="29">
        <f t="shared" si="17"/>
        <v>984</v>
      </c>
      <c r="N254" s="69">
        <v>95641.711229946523</v>
      </c>
      <c r="O254" s="69">
        <v>107286.0962566845</v>
      </c>
      <c r="P254" s="70">
        <f t="shared" si="19"/>
        <v>0</v>
      </c>
      <c r="R254" s="24">
        <v>82</v>
      </c>
      <c r="S254" s="29">
        <f t="shared" si="18"/>
        <v>984</v>
      </c>
      <c r="T254" s="69">
        <v>61818.181818181823</v>
      </c>
      <c r="U254" s="69">
        <v>134909.09090909088</v>
      </c>
      <c r="V254" s="70">
        <f t="shared" si="20"/>
        <v>0</v>
      </c>
    </row>
    <row r="255" spans="2:22" x14ac:dyDescent="0.2">
      <c r="B255" s="24">
        <f t="shared" si="21"/>
        <v>0.83000000000000052</v>
      </c>
      <c r="C255" s="54">
        <f t="shared" si="14"/>
        <v>1</v>
      </c>
      <c r="D255" s="54">
        <f t="shared" si="15"/>
        <v>4.1555268900943709E-14</v>
      </c>
      <c r="E255" s="49" cm="1">
        <f t="array" ref="E255">IF($B255=0,0,IF($B255=1,0,_xlfn.BETA.DIST($B255,alpha_experiment_posterior,beta_experiment_posterior,FALSE)))</f>
        <v>3.5937026034688417E-13</v>
      </c>
      <c r="G255" s="24">
        <f t="shared" si="22"/>
        <v>0.83000000000000052</v>
      </c>
      <c r="H255" s="54">
        <f t="shared" si="16"/>
        <v>1</v>
      </c>
      <c r="I255" s="54" cm="1">
        <f t="array" ref="I255">J255*maxPriorValue_control/maxPosteriorValue_control</f>
        <v>1.5577994012050506E-14</v>
      </c>
      <c r="J255" s="49" cm="1">
        <f t="array" ref="J255">IF($B255=0,0,IF($B255=1,0,_xlfn.BETA.DIST($B255,alpha_control_posterior,beta_control_posterior,FALSE)))</f>
        <v>1.5014160441570018E-13</v>
      </c>
      <c r="L255" s="24">
        <v>83</v>
      </c>
      <c r="M255" s="29">
        <f t="shared" si="17"/>
        <v>996</v>
      </c>
      <c r="N255" s="69">
        <v>96410.940627084725</v>
      </c>
      <c r="O255" s="69">
        <v>108072.04803202134</v>
      </c>
      <c r="P255" s="70">
        <f t="shared" si="19"/>
        <v>0</v>
      </c>
      <c r="R255" s="24">
        <v>83</v>
      </c>
      <c r="S255" s="29">
        <f t="shared" si="18"/>
        <v>996</v>
      </c>
      <c r="T255" s="69">
        <v>61818.181818181823</v>
      </c>
      <c r="U255" s="69">
        <v>136000</v>
      </c>
      <c r="V255" s="70">
        <f t="shared" si="20"/>
        <v>0</v>
      </c>
    </row>
    <row r="256" spans="2:22" x14ac:dyDescent="0.2">
      <c r="B256" s="24">
        <f t="shared" si="21"/>
        <v>0.84000000000000052</v>
      </c>
      <c r="C256" s="54">
        <f t="shared" si="14"/>
        <v>1</v>
      </c>
      <c r="D256" s="54">
        <f t="shared" si="15"/>
        <v>1.3100004004717776E-14</v>
      </c>
      <c r="E256" s="49" cm="1">
        <f t="array" ref="E256">IF($B256=0,0,IF($B256=1,0,_xlfn.BETA.DIST($B256,alpha_experiment_posterior,beta_experiment_posterior,FALSE)))</f>
        <v>1.1328892759526194E-13</v>
      </c>
      <c r="G256" s="24">
        <f t="shared" si="22"/>
        <v>0.84000000000000052</v>
      </c>
      <c r="H256" s="54">
        <f t="shared" si="16"/>
        <v>1</v>
      </c>
      <c r="I256" s="54" cm="1">
        <f t="array" ref="I256">J256*maxPriorValue_control/maxPosteriorValue_control</f>
        <v>4.8400610268476683E-15</v>
      </c>
      <c r="J256" s="49" cm="1">
        <f t="array" ref="J256">IF($B256=0,0,IF($B256=1,0,_xlfn.BETA.DIST($B256,alpha_control_posterior,beta_control_posterior,FALSE)))</f>
        <v>4.6648787223738093E-14</v>
      </c>
      <c r="L256" s="24">
        <v>84</v>
      </c>
      <c r="M256" s="29">
        <f t="shared" si="17"/>
        <v>1008</v>
      </c>
      <c r="N256" s="69">
        <v>97177.09720372835</v>
      </c>
      <c r="O256" s="69">
        <v>108854.86018641811</v>
      </c>
      <c r="P256" s="70">
        <f t="shared" si="19"/>
        <v>0</v>
      </c>
      <c r="R256" s="24">
        <v>84</v>
      </c>
      <c r="S256" s="29">
        <f t="shared" si="18"/>
        <v>1008</v>
      </c>
      <c r="T256" s="69">
        <v>61818.181818181823</v>
      </c>
      <c r="U256" s="69">
        <v>137090.90909090909</v>
      </c>
      <c r="V256" s="70">
        <f t="shared" si="20"/>
        <v>0</v>
      </c>
    </row>
    <row r="257" spans="2:22" x14ac:dyDescent="0.2">
      <c r="B257" s="24">
        <f t="shared" si="21"/>
        <v>0.85000000000000053</v>
      </c>
      <c r="C257" s="54">
        <f t="shared" si="14"/>
        <v>1</v>
      </c>
      <c r="D257" s="54">
        <f t="shared" si="15"/>
        <v>3.8302899151406296E-15</v>
      </c>
      <c r="E257" s="49" cm="1">
        <f t="array" ref="E257">IF($B257=0,0,IF($B257=1,0,_xlfn.BETA.DIST($B257,alpha_experiment_posterior,beta_experiment_posterior,FALSE)))</f>
        <v>3.3124374367286869E-14</v>
      </c>
      <c r="G257" s="24">
        <f t="shared" si="22"/>
        <v>0.85000000000000053</v>
      </c>
      <c r="H257" s="54">
        <f t="shared" si="16"/>
        <v>1</v>
      </c>
      <c r="I257" s="54" cm="1">
        <f t="array" ref="I257">J257*maxPriorValue_control/maxPosteriorValue_control</f>
        <v>1.3937259410092903E-15</v>
      </c>
      <c r="J257" s="49" cm="1">
        <f t="array" ref="J257">IF($B257=0,0,IF($B257=1,0,_xlfn.BETA.DIST($B257,alpha_control_posterior,beta_control_posterior,FALSE)))</f>
        <v>1.3432810972776351E-14</v>
      </c>
      <c r="L257" s="24">
        <v>85</v>
      </c>
      <c r="M257" s="29">
        <f t="shared" si="17"/>
        <v>1020</v>
      </c>
      <c r="N257" s="69">
        <v>97940.199335548154</v>
      </c>
      <c r="O257" s="69">
        <v>109634.55149501661</v>
      </c>
      <c r="P257" s="70">
        <f t="shared" si="19"/>
        <v>0</v>
      </c>
      <c r="R257" s="24">
        <v>85</v>
      </c>
      <c r="S257" s="29">
        <f t="shared" si="18"/>
        <v>1020</v>
      </c>
      <c r="T257" s="69">
        <v>61818.181818181823</v>
      </c>
      <c r="U257" s="69">
        <v>138181.81818181818</v>
      </c>
      <c r="V257" s="70">
        <f t="shared" si="20"/>
        <v>0</v>
      </c>
    </row>
    <row r="258" spans="2:22" x14ac:dyDescent="0.2">
      <c r="B258" s="24">
        <f t="shared" si="21"/>
        <v>0.86000000000000054</v>
      </c>
      <c r="C258" s="54">
        <f t="shared" si="14"/>
        <v>1</v>
      </c>
      <c r="D258" s="54">
        <f t="shared" si="15"/>
        <v>1.0280195613967733E-15</v>
      </c>
      <c r="E258" s="49" cm="1">
        <f t="array" ref="E258">IF($B258=0,0,IF($B258=1,0,_xlfn.BETA.DIST($B258,alpha_experiment_posterior,beta_experiment_posterior,FALSE)))</f>
        <v>8.8903204621654654E-15</v>
      </c>
      <c r="G258" s="24">
        <f t="shared" si="22"/>
        <v>0.86000000000000054</v>
      </c>
      <c r="H258" s="54">
        <f t="shared" si="16"/>
        <v>1</v>
      </c>
      <c r="I258" s="54" cm="1">
        <f t="array" ref="I258">J258*maxPriorValue_control/maxPosteriorValue_control</f>
        <v>3.6807690231328764E-16</v>
      </c>
      <c r="J258" s="49" cm="1">
        <f t="array" ref="J258">IF($B258=0,0,IF($B258=1,0,_xlfn.BETA.DIST($B258,alpha_control_posterior,beta_control_posterior,FALSE)))</f>
        <v>3.5475464054568397E-15</v>
      </c>
      <c r="L258" s="24">
        <v>86</v>
      </c>
      <c r="M258" s="29">
        <f t="shared" si="17"/>
        <v>1032</v>
      </c>
      <c r="N258" s="69">
        <v>98700.265251989404</v>
      </c>
      <c r="O258" s="69">
        <v>110411.14058355438</v>
      </c>
      <c r="P258" s="70">
        <f t="shared" si="19"/>
        <v>0</v>
      </c>
      <c r="R258" s="24">
        <v>86</v>
      </c>
      <c r="S258" s="29">
        <f t="shared" si="18"/>
        <v>1032</v>
      </c>
      <c r="T258" s="69">
        <v>61818.181818181823</v>
      </c>
      <c r="U258" s="69">
        <v>139272.72727272726</v>
      </c>
      <c r="V258" s="70">
        <f t="shared" si="20"/>
        <v>0</v>
      </c>
    </row>
    <row r="259" spans="2:22" x14ac:dyDescent="0.2">
      <c r="B259" s="24">
        <f t="shared" si="21"/>
        <v>0.87000000000000055</v>
      </c>
      <c r="C259" s="54">
        <f t="shared" si="14"/>
        <v>1</v>
      </c>
      <c r="D259" s="54">
        <f t="shared" si="15"/>
        <v>2.5007604884883336E-16</v>
      </c>
      <c r="E259" s="49" cm="1">
        <f t="array" ref="E259">IF($B259=0,0,IF($B259=1,0,_xlfn.BETA.DIST($B259,alpha_experiment_posterior,beta_experiment_posterior,FALSE)))</f>
        <v>2.1626594450766371E-15</v>
      </c>
      <c r="G259" s="24">
        <f t="shared" si="22"/>
        <v>0.87000000000000055</v>
      </c>
      <c r="H259" s="54">
        <f t="shared" si="16"/>
        <v>1</v>
      </c>
      <c r="I259" s="54" cm="1">
        <f t="array" ref="I259">J259*maxPriorValue_control/maxPosteriorValue_control</f>
        <v>8.8017329715259829E-17</v>
      </c>
      <c r="J259" s="49" cm="1">
        <f t="array" ref="J259">IF($B259=0,0,IF($B259=1,0,_xlfn.BETA.DIST($B259,alpha_control_posterior,beta_control_posterior,FALSE)))</f>
        <v>8.4831609831228303E-16</v>
      </c>
      <c r="L259" s="24">
        <v>87</v>
      </c>
      <c r="M259" s="29">
        <f t="shared" si="17"/>
        <v>1044</v>
      </c>
      <c r="N259" s="69">
        <v>99457.313037723361</v>
      </c>
      <c r="O259" s="69">
        <v>111184.64592984777</v>
      </c>
      <c r="P259" s="70">
        <f t="shared" si="19"/>
        <v>0</v>
      </c>
      <c r="R259" s="24">
        <v>87</v>
      </c>
      <c r="S259" s="29">
        <f t="shared" si="18"/>
        <v>1044</v>
      </c>
      <c r="T259" s="69">
        <v>61818.181818181823</v>
      </c>
      <c r="U259" s="69">
        <v>140363.63636363635</v>
      </c>
      <c r="V259" s="70">
        <f t="shared" si="20"/>
        <v>0</v>
      </c>
    </row>
    <row r="260" spans="2:22" x14ac:dyDescent="0.2">
      <c r="B260" s="24">
        <f t="shared" si="21"/>
        <v>0.88000000000000056</v>
      </c>
      <c r="C260" s="54">
        <f t="shared" si="14"/>
        <v>1</v>
      </c>
      <c r="D260" s="54">
        <f t="shared" si="15"/>
        <v>5.4276320014564074E-17</v>
      </c>
      <c r="E260" s="49" cm="1">
        <f t="array" ref="E260">IF($B260=0,0,IF($B260=1,0,_xlfn.BETA.DIST($B260,alpha_experiment_posterior,beta_experiment_posterior,FALSE)))</f>
        <v>4.6938200065074613E-16</v>
      </c>
      <c r="G260" s="24">
        <f t="shared" si="22"/>
        <v>0.88000000000000056</v>
      </c>
      <c r="H260" s="54">
        <f t="shared" si="16"/>
        <v>1</v>
      </c>
      <c r="I260" s="54" cm="1">
        <f t="array" ref="I260">J260*maxPriorValue_control/maxPosteriorValue_control</f>
        <v>1.8756913647137921E-17</v>
      </c>
      <c r="J260" s="49" cm="1">
        <f t="array" ref="J260">IF($B260=0,0,IF($B260=1,0,_xlfn.BETA.DIST($B260,alpha_control_posterior,beta_control_posterior,FALSE)))</f>
        <v>1.8078021513485862E-16</v>
      </c>
      <c r="L260" s="24">
        <v>88</v>
      </c>
      <c r="M260" s="29">
        <f t="shared" si="17"/>
        <v>1056</v>
      </c>
      <c r="N260" s="69">
        <v>100211.36063408191</v>
      </c>
      <c r="O260" s="69">
        <v>111955.08586525761</v>
      </c>
      <c r="P260" s="70">
        <f t="shared" si="19"/>
        <v>0</v>
      </c>
      <c r="R260" s="24">
        <v>88</v>
      </c>
      <c r="S260" s="29">
        <f t="shared" si="18"/>
        <v>1056</v>
      </c>
      <c r="T260" s="69">
        <v>61818.181818181823</v>
      </c>
      <c r="U260" s="69">
        <v>141454.54545454547</v>
      </c>
      <c r="V260" s="70">
        <f t="shared" si="20"/>
        <v>0</v>
      </c>
    </row>
    <row r="261" spans="2:22" x14ac:dyDescent="0.2">
      <c r="B261" s="24">
        <f t="shared" si="21"/>
        <v>0.89000000000000057</v>
      </c>
      <c r="C261" s="54">
        <f t="shared" si="14"/>
        <v>1</v>
      </c>
      <c r="D261" s="54">
        <f t="shared" si="15"/>
        <v>1.0303763762557864E-17</v>
      </c>
      <c r="E261" s="49" cm="1">
        <f t="array" ref="E261">IF($B261=0,0,IF($B261=1,0,_xlfn.BETA.DIST($B261,alpha_experiment_posterior,beta_experiment_posterior,FALSE)))</f>
        <v>8.9107022137910393E-17</v>
      </c>
      <c r="G261" s="24">
        <f t="shared" si="22"/>
        <v>0.89000000000000057</v>
      </c>
      <c r="H261" s="54">
        <f t="shared" si="16"/>
        <v>1</v>
      </c>
      <c r="I261" s="54" cm="1">
        <f t="array" ref="I261">J261*maxPriorValue_control/maxPosteriorValue_control</f>
        <v>3.491465045197118E-18</v>
      </c>
      <c r="J261" s="49" cm="1">
        <f t="array" ref="J261">IF($B261=0,0,IF($B261=1,0,_xlfn.BETA.DIST($B261,alpha_control_posterior,beta_control_posterior,FALSE)))</f>
        <v>3.3650941401166259E-17</v>
      </c>
      <c r="L261" s="24">
        <v>89</v>
      </c>
      <c r="M261" s="29">
        <f t="shared" si="17"/>
        <v>1068</v>
      </c>
      <c r="N261" s="69">
        <v>100962.42584047462</v>
      </c>
      <c r="O261" s="69">
        <v>112722.47857613712</v>
      </c>
      <c r="P261" s="70">
        <f t="shared" si="19"/>
        <v>0</v>
      </c>
      <c r="R261" s="24">
        <v>89</v>
      </c>
      <c r="S261" s="29">
        <f t="shared" si="18"/>
        <v>1068</v>
      </c>
      <c r="T261" s="69">
        <v>61818.181818181823</v>
      </c>
      <c r="U261" s="69">
        <v>142545.45454545456</v>
      </c>
      <c r="V261" s="70">
        <f t="shared" si="20"/>
        <v>0</v>
      </c>
    </row>
    <row r="262" spans="2:22" x14ac:dyDescent="0.2">
      <c r="B262" s="24">
        <f t="shared" si="21"/>
        <v>0.90000000000000058</v>
      </c>
      <c r="C262" s="54">
        <f t="shared" si="14"/>
        <v>1</v>
      </c>
      <c r="D262" s="54">
        <f t="shared" si="15"/>
        <v>1.6677783819388593E-18</v>
      </c>
      <c r="E262" s="49" cm="1">
        <f t="array" ref="E262">IF($B262=0,0,IF($B262=1,0,_xlfn.BETA.DIST($B262,alpha_experiment_posterior,beta_experiment_posterior,FALSE)))</f>
        <v>1.4422959282178101E-17</v>
      </c>
      <c r="G262" s="24">
        <f t="shared" si="22"/>
        <v>0.90000000000000058</v>
      </c>
      <c r="H262" s="54">
        <f t="shared" si="16"/>
        <v>1</v>
      </c>
      <c r="I262" s="54" cm="1">
        <f t="array" ref="I262">J262*maxPriorValue_control/maxPosteriorValue_control</f>
        <v>5.5322412181635204E-19</v>
      </c>
      <c r="J262" s="49" cm="1">
        <f t="array" ref="J262">IF($B262=0,0,IF($B262=1,0,_xlfn.BETA.DIST($B262,alpha_control_posterior,beta_control_posterior,FALSE)))</f>
        <v>5.332005981432557E-18</v>
      </c>
      <c r="L262" s="24">
        <v>90</v>
      </c>
      <c r="M262" s="29">
        <f t="shared" si="17"/>
        <v>1080</v>
      </c>
      <c r="N262" s="69">
        <v>101710.52631578947</v>
      </c>
      <c r="O262" s="69">
        <v>113486.84210526315</v>
      </c>
      <c r="P262" s="70">
        <f t="shared" si="19"/>
        <v>0</v>
      </c>
      <c r="R262" s="24">
        <v>90</v>
      </c>
      <c r="S262" s="29">
        <f t="shared" si="18"/>
        <v>1080</v>
      </c>
      <c r="T262" s="69">
        <v>61818.181818181823</v>
      </c>
      <c r="U262" s="69">
        <v>143636.36363636365</v>
      </c>
      <c r="V262" s="70">
        <f t="shared" si="20"/>
        <v>0</v>
      </c>
    </row>
    <row r="263" spans="2:22" x14ac:dyDescent="0.2">
      <c r="B263" s="24">
        <f t="shared" si="21"/>
        <v>0.91000000000000059</v>
      </c>
      <c r="C263" s="54">
        <f t="shared" si="14"/>
        <v>1</v>
      </c>
      <c r="D263" s="54">
        <f t="shared" si="15"/>
        <v>2.2255308955034529E-19</v>
      </c>
      <c r="E263" s="49" cm="1">
        <f t="array" ref="E263">IF($B263=0,0,IF($B263=1,0,_xlfn.BETA.DIST($B263,alpha_experiment_posterior,beta_experiment_posterior,FALSE)))</f>
        <v>1.9246406977502366E-18</v>
      </c>
      <c r="G263" s="24">
        <f t="shared" si="22"/>
        <v>0.91000000000000059</v>
      </c>
      <c r="H263" s="54">
        <f t="shared" si="16"/>
        <v>1</v>
      </c>
      <c r="I263" s="54" cm="1">
        <f t="array" ref="I263">J263*maxPriorValue_control/maxPosteriorValue_control</f>
        <v>7.2124882877234257E-20</v>
      </c>
      <c r="J263" s="49" cm="1">
        <f t="array" ref="J263">IF($B263=0,0,IF($B263=1,0,_xlfn.BETA.DIST($B263,alpha_control_posterior,beta_control_posterior,FALSE)))</f>
        <v>6.9514377943049523E-19</v>
      </c>
      <c r="L263" s="24">
        <v>91</v>
      </c>
      <c r="M263" s="29">
        <f t="shared" si="17"/>
        <v>1092</v>
      </c>
      <c r="N263" s="69">
        <v>102455.67957977677</v>
      </c>
      <c r="O263" s="69">
        <v>114248.19435325016</v>
      </c>
      <c r="P263" s="70">
        <f t="shared" si="19"/>
        <v>0</v>
      </c>
      <c r="R263" s="24">
        <v>91</v>
      </c>
      <c r="S263" s="29">
        <f t="shared" si="18"/>
        <v>1092</v>
      </c>
      <c r="T263" s="69">
        <v>61818.181818181823</v>
      </c>
      <c r="U263" s="69">
        <v>144727.27272727274</v>
      </c>
      <c r="V263" s="70">
        <f t="shared" si="20"/>
        <v>0</v>
      </c>
    </row>
    <row r="264" spans="2:22" x14ac:dyDescent="0.2">
      <c r="B264" s="24">
        <f t="shared" si="21"/>
        <v>0.9200000000000006</v>
      </c>
      <c r="C264" s="54">
        <f t="shared" si="14"/>
        <v>1</v>
      </c>
      <c r="D264" s="54">
        <f t="shared" si="15"/>
        <v>2.3393884678625774E-20</v>
      </c>
      <c r="E264" s="49" cm="1">
        <f t="array" ref="E264">IF($B264=0,0,IF($B264=1,0,_xlfn.BETA.DIST($B264,alpha_experiment_posterior,beta_experiment_posterior,FALSE)))</f>
        <v>2.0231048071239425E-19</v>
      </c>
      <c r="G264" s="24">
        <f t="shared" si="22"/>
        <v>0.9200000000000006</v>
      </c>
      <c r="H264" s="54">
        <f t="shared" si="16"/>
        <v>1</v>
      </c>
      <c r="I264" s="54" cm="1">
        <f t="array" ref="I264">J264*maxPriorValue_control/maxPosteriorValue_control</f>
        <v>7.3888023004924282E-21</v>
      </c>
      <c r="J264" s="49" cm="1">
        <f t="array" ref="J264">IF($B264=0,0,IF($B264=1,0,_xlfn.BETA.DIST($B264,alpha_control_posterior,beta_control_posterior,FALSE)))</f>
        <v>7.1213702563256112E-20</v>
      </c>
      <c r="L264" s="24">
        <v>92</v>
      </c>
      <c r="M264" s="29">
        <f t="shared" si="17"/>
        <v>1104</v>
      </c>
      <c r="N264" s="69">
        <v>103197.90301441679</v>
      </c>
      <c r="O264" s="69">
        <v>115006.55307994758</v>
      </c>
      <c r="P264" s="70">
        <f t="shared" si="19"/>
        <v>0</v>
      </c>
      <c r="R264" s="24">
        <v>92</v>
      </c>
      <c r="S264" s="29">
        <f t="shared" si="18"/>
        <v>1104</v>
      </c>
      <c r="T264" s="69">
        <v>61818.181818181823</v>
      </c>
      <c r="U264" s="69">
        <v>145818.18181818182</v>
      </c>
      <c r="V264" s="70">
        <f t="shared" si="20"/>
        <v>0</v>
      </c>
    </row>
    <row r="265" spans="2:22" x14ac:dyDescent="0.2">
      <c r="B265" s="24">
        <f t="shared" si="21"/>
        <v>0.9300000000000006</v>
      </c>
      <c r="C265" s="54">
        <f t="shared" si="14"/>
        <v>1</v>
      </c>
      <c r="D265" s="54">
        <f t="shared" si="15"/>
        <v>1.8172432303900701E-21</v>
      </c>
      <c r="E265" s="49" cm="1">
        <f t="array" ref="E265">IF($B265=0,0,IF($B265=1,0,_xlfn.BETA.DIST($B265,alpha_experiment_posterior,beta_experiment_posterior,FALSE)))</f>
        <v>1.5715532352241893E-20</v>
      </c>
      <c r="G265" s="24">
        <f t="shared" si="22"/>
        <v>0.9300000000000006</v>
      </c>
      <c r="H265" s="54">
        <f t="shared" si="16"/>
        <v>1</v>
      </c>
      <c r="I265" s="54" cm="1">
        <f t="array" ref="I265">J265*maxPriorValue_control/maxPosteriorValue_control</f>
        <v>5.5763156317727984E-22</v>
      </c>
      <c r="J265" s="49" cm="1">
        <f t="array" ref="J265">IF($B265=0,0,IF($B265=1,0,_xlfn.BETA.DIST($B265,alpha_control_posterior,beta_control_posterior,FALSE)))</f>
        <v>5.3744851553740743E-21</v>
      </c>
      <c r="L265" s="24">
        <v>93</v>
      </c>
      <c r="M265" s="29">
        <f t="shared" si="17"/>
        <v>1116</v>
      </c>
      <c r="N265" s="69">
        <v>103937.21386527143</v>
      </c>
      <c r="O265" s="69">
        <v>115761.93590582081</v>
      </c>
      <c r="P265" s="70">
        <f t="shared" si="19"/>
        <v>0</v>
      </c>
      <c r="R265" s="24">
        <v>93</v>
      </c>
      <c r="S265" s="29">
        <f t="shared" si="18"/>
        <v>1116</v>
      </c>
      <c r="T265" s="69">
        <v>61818.181818181823</v>
      </c>
      <c r="U265" s="69">
        <v>146909.09090909091</v>
      </c>
      <c r="V265" s="70">
        <f t="shared" si="20"/>
        <v>0</v>
      </c>
    </row>
    <row r="266" spans="2:22" x14ac:dyDescent="0.2">
      <c r="B266" s="24">
        <f t="shared" si="21"/>
        <v>0.94000000000000061</v>
      </c>
      <c r="C266" s="54">
        <f t="shared" si="14"/>
        <v>1</v>
      </c>
      <c r="D266" s="54">
        <f t="shared" si="15"/>
        <v>9.5005910150236028E-23</v>
      </c>
      <c r="E266" s="49" cm="1">
        <f t="array" ref="E266">IF($B266=0,0,IF($B266=1,0,_xlfn.BETA.DIST($B266,alpha_experiment_posterior,beta_experiment_posterior,FALSE)))</f>
        <v>8.2161178517623889E-22</v>
      </c>
      <c r="G266" s="24">
        <f t="shared" si="22"/>
        <v>0.94000000000000061</v>
      </c>
      <c r="H266" s="54">
        <f t="shared" si="16"/>
        <v>1</v>
      </c>
      <c r="I266" s="54" cm="1">
        <f t="array" ref="I266">J266*maxPriorValue_control/maxPosteriorValue_control</f>
        <v>2.8207628289305459E-23</v>
      </c>
      <c r="J266" s="49" cm="1">
        <f t="array" ref="J266">IF($B266=0,0,IF($B266=1,0,_xlfn.BETA.DIST($B266,alpha_control_posterior,beta_control_posterior,FALSE)))</f>
        <v>2.7186674772386492E-22</v>
      </c>
      <c r="L266" s="24">
        <v>94</v>
      </c>
      <c r="M266" s="29">
        <f t="shared" si="17"/>
        <v>1128</v>
      </c>
      <c r="N266" s="69">
        <v>104673.62924281984</v>
      </c>
      <c r="O266" s="69">
        <v>116514.36031331592</v>
      </c>
      <c r="P266" s="70">
        <f t="shared" si="19"/>
        <v>0</v>
      </c>
      <c r="R266" s="24">
        <v>94</v>
      </c>
      <c r="S266" s="29">
        <f t="shared" si="18"/>
        <v>1128</v>
      </c>
      <c r="T266" s="69">
        <v>61818.181818181823</v>
      </c>
      <c r="U266" s="69">
        <v>148000</v>
      </c>
      <c r="V266" s="70">
        <f t="shared" si="20"/>
        <v>0</v>
      </c>
    </row>
    <row r="267" spans="2:22" x14ac:dyDescent="0.2">
      <c r="B267" s="24">
        <f t="shared" si="21"/>
        <v>0.95000000000000062</v>
      </c>
      <c r="C267" s="54">
        <f t="shared" si="14"/>
        <v>1</v>
      </c>
      <c r="D267" s="54">
        <f t="shared" si="15"/>
        <v>2.8916604832166884E-24</v>
      </c>
      <c r="E267" s="49" cm="1">
        <f t="array" ref="E267">IF($B267=0,0,IF($B267=1,0,_xlfn.BETA.DIST($B267,alpha_experiment_posterior,beta_experiment_posterior,FALSE)))</f>
        <v>2.50071003791478E-23</v>
      </c>
      <c r="G267" s="24">
        <f t="shared" si="22"/>
        <v>0.95000000000000062</v>
      </c>
      <c r="H267" s="54">
        <f t="shared" si="16"/>
        <v>1</v>
      </c>
      <c r="I267" s="54" cm="1">
        <f t="array" ref="I267">J267*maxPriorValue_control/maxPosteriorValue_control</f>
        <v>8.2605288000998946E-25</v>
      </c>
      <c r="J267" s="49" cm="1">
        <f t="array" ref="J267">IF($B267=0,0,IF($B267=1,0,_xlfn.BETA.DIST($B267,alpha_control_posterior,beta_control_posterior,FALSE)))</f>
        <v>7.9615452824650609E-24</v>
      </c>
      <c r="L267" s="24">
        <v>95</v>
      </c>
      <c r="M267" s="29">
        <f t="shared" si="17"/>
        <v>1140</v>
      </c>
      <c r="N267" s="69">
        <v>105407.1661237785</v>
      </c>
      <c r="O267" s="69">
        <v>117263.84364820845</v>
      </c>
      <c r="P267" s="70">
        <f t="shared" si="19"/>
        <v>0</v>
      </c>
      <c r="R267" s="24">
        <v>95</v>
      </c>
      <c r="S267" s="29">
        <f t="shared" si="18"/>
        <v>1140</v>
      </c>
      <c r="T267" s="69">
        <v>61818.181818181823</v>
      </c>
      <c r="U267" s="69">
        <v>149090.90909090909</v>
      </c>
      <c r="V267" s="70">
        <f t="shared" si="20"/>
        <v>0</v>
      </c>
    </row>
    <row r="268" spans="2:22" x14ac:dyDescent="0.2">
      <c r="B268" s="24">
        <f t="shared" si="21"/>
        <v>0.96000000000000063</v>
      </c>
      <c r="C268" s="54">
        <f t="shared" si="14"/>
        <v>1</v>
      </c>
      <c r="D268" s="54">
        <f t="shared" ref="D268:D272" si="23">E268*maxPriorValue_experiment/maxPosteriorValue_experiment</f>
        <v>4.0189550838090416E-26</v>
      </c>
      <c r="E268" s="49" cm="1">
        <f t="array" ref="E268">IF($B268=0,0,IF($B268=1,0,_xlfn.BETA.DIST($B268,alpha_experiment_posterior,beta_experiment_posterior,FALSE)))</f>
        <v>3.4755952084768952E-25</v>
      </c>
      <c r="G268" s="24">
        <f t="shared" si="22"/>
        <v>0.96000000000000063</v>
      </c>
      <c r="H268" s="54">
        <f t="shared" ref="H268:H272" si="24">IF(G268=0,0,IF(G268=1,0,_xlfn.BETA.DIST(G268,alpha_control_prior,beta_control_prior,FALSE)))</f>
        <v>1</v>
      </c>
      <c r="I268" s="54" cm="1">
        <f t="array" ref="I268">J268*maxPriorValue_control/maxPosteriorValue_control</f>
        <v>1.0956760634412276E-26</v>
      </c>
      <c r="J268" s="49" cm="1">
        <f t="array" ref="J268">IF($B268=0,0,IF($B268=1,0,_xlfn.BETA.DIST($B268,alpha_control_posterior,beta_control_posterior,FALSE)))</f>
        <v>1.0560189069124611E-25</v>
      </c>
      <c r="L268" s="24">
        <v>96</v>
      </c>
      <c r="M268" s="29">
        <f t="shared" ref="M268:M272" si="25">IF(L268=0,1,L268*(maxPosteriorScalePower/100))</f>
        <v>1152</v>
      </c>
      <c r="N268" s="69">
        <v>106137.84135240571</v>
      </c>
      <c r="O268" s="69">
        <v>118010.40312093629</v>
      </c>
      <c r="P268" s="70">
        <f t="shared" si="19"/>
        <v>0</v>
      </c>
      <c r="R268" s="24">
        <v>96</v>
      </c>
      <c r="S268" s="29">
        <f t="shared" ref="S268:S272" si="26">IF(R268=0,1,R268*(maxHeadsInControl/100))</f>
        <v>1152</v>
      </c>
      <c r="T268" s="69">
        <v>61818.181818181823</v>
      </c>
      <c r="U268" s="69">
        <v>150181.81818181818</v>
      </c>
      <c r="V268" s="70">
        <f t="shared" si="20"/>
        <v>0</v>
      </c>
    </row>
    <row r="269" spans="2:22" x14ac:dyDescent="0.2">
      <c r="B269" s="24">
        <f t="shared" si="21"/>
        <v>0.97000000000000064</v>
      </c>
      <c r="C269" s="54">
        <f t="shared" si="14"/>
        <v>1</v>
      </c>
      <c r="D269" s="54">
        <f t="shared" si="23"/>
        <v>1.6176695497232239E-28</v>
      </c>
      <c r="E269" s="49" cm="1">
        <f t="array" ref="E269">IF($B269=0,0,IF($B269=1,0,_xlfn.BETA.DIST($B269,alpha_experiment_posterior,beta_experiment_posterior,FALSE)))</f>
        <v>1.3989617745586522E-27</v>
      </c>
      <c r="G269" s="24">
        <f t="shared" si="22"/>
        <v>0.97000000000000064</v>
      </c>
      <c r="H269" s="54">
        <f t="shared" si="24"/>
        <v>1</v>
      </c>
      <c r="I269" s="54" cm="1">
        <f t="array" ref="I269">J269*maxPriorValue_control/maxPosteriorValue_control</f>
        <v>4.1549995829060652E-29</v>
      </c>
      <c r="J269" s="49" cm="1">
        <f t="array" ref="J269">IF($B269=0,0,IF($B269=1,0,_xlfn.BETA.DIST($B269,alpha_control_posterior,beta_control_posterior,FALSE)))</f>
        <v>4.0046125530765104E-28</v>
      </c>
      <c r="L269" s="24">
        <v>97</v>
      </c>
      <c r="M269" s="29">
        <f t="shared" si="25"/>
        <v>1164</v>
      </c>
      <c r="N269" s="69">
        <v>106865.67164179105</v>
      </c>
      <c r="O269" s="69">
        <v>118754.05580791696</v>
      </c>
      <c r="P269" s="70">
        <f t="shared" si="19"/>
        <v>0</v>
      </c>
      <c r="R269" s="24">
        <v>97</v>
      </c>
      <c r="S269" s="29">
        <f t="shared" si="26"/>
        <v>1164</v>
      </c>
      <c r="T269" s="69">
        <v>61818.181818181823</v>
      </c>
      <c r="U269" s="69">
        <v>151272.72727272726</v>
      </c>
      <c r="V269" s="70">
        <f t="shared" si="20"/>
        <v>0</v>
      </c>
    </row>
    <row r="270" spans="2:22" x14ac:dyDescent="0.2">
      <c r="B270" s="24">
        <f>B269+0.01</f>
        <v>0.98000000000000065</v>
      </c>
      <c r="C270" s="54">
        <f t="shared" si="14"/>
        <v>1</v>
      </c>
      <c r="D270" s="54">
        <f t="shared" si="23"/>
        <v>6.7842385427152392E-32</v>
      </c>
      <c r="E270" s="49" cm="1">
        <f t="array" ref="E270">IF($B270=0,0,IF($B270=1,0,_xlfn.BETA.DIST($B270,alpha_experiment_posterior,beta_experiment_posterior,FALSE)))</f>
        <v>5.8670143060861625E-31</v>
      </c>
      <c r="G270" s="24">
        <f>G269+0.01</f>
        <v>0.98000000000000065</v>
      </c>
      <c r="H270" s="54">
        <f t="shared" si="24"/>
        <v>1</v>
      </c>
      <c r="I270" s="54" cm="1">
        <f t="array" ref="I270">J270*maxPriorValue_control/maxPosteriorValue_control</f>
        <v>1.60351550520893E-32</v>
      </c>
      <c r="J270" s="49" cm="1">
        <f t="array" ref="J270">IF($B270=0,0,IF($B270=1,0,_xlfn.BETA.DIST($B270,alpha_control_posterior,beta_control_posterior,FALSE)))</f>
        <v>1.5454774887657739E-31</v>
      </c>
      <c r="L270" s="24">
        <v>98</v>
      </c>
      <c r="M270" s="29">
        <f t="shared" si="25"/>
        <v>1176</v>
      </c>
      <c r="N270" s="69">
        <v>107590.67357512955</v>
      </c>
      <c r="O270" s="69">
        <v>119494.81865284975</v>
      </c>
      <c r="P270" s="70">
        <f t="shared" si="19"/>
        <v>0</v>
      </c>
      <c r="R270" s="24">
        <v>98</v>
      </c>
      <c r="S270" s="29">
        <f t="shared" si="26"/>
        <v>1176</v>
      </c>
      <c r="T270" s="69">
        <v>61818.181818181823</v>
      </c>
      <c r="U270" s="69">
        <v>152363.63636363638</v>
      </c>
      <c r="V270" s="70">
        <f t="shared" si="20"/>
        <v>0</v>
      </c>
    </row>
    <row r="271" spans="2:22" x14ac:dyDescent="0.2">
      <c r="B271" s="24">
        <f t="shared" ref="B271" si="27">B270+0.01</f>
        <v>0.99000000000000066</v>
      </c>
      <c r="C271" s="54">
        <f t="shared" si="14"/>
        <v>1</v>
      </c>
      <c r="D271" s="54">
        <f t="shared" si="23"/>
        <v>1.1356708752246154E-37</v>
      </c>
      <c r="E271" s="49" cm="1">
        <f t="array" ref="E271">IF($B271=0,0,IF($B271=1,0,_xlfn.BETA.DIST($B271,alpha_experiment_posterior,beta_experiment_posterior,FALSE)))</f>
        <v>9.8212897880820923E-37</v>
      </c>
      <c r="G271" s="24">
        <f t="shared" ref="G271" si="28">G270+0.01</f>
        <v>0.99000000000000066</v>
      </c>
      <c r="H271" s="54">
        <f t="shared" si="24"/>
        <v>1</v>
      </c>
      <c r="I271" s="54" cm="1">
        <f t="array" ref="I271">J271*maxPriorValue_control/maxPosteriorValue_control</f>
        <v>2.3320438867838198E-38</v>
      </c>
      <c r="J271" s="49" cm="1">
        <f t="array" ref="J271">IF($B271=0,0,IF($B271=1,0,_xlfn.BETA.DIST($B271,alpha_control_posterior,beta_control_posterior,FALSE)))</f>
        <v>2.2476373431566125E-37</v>
      </c>
      <c r="L271" s="24">
        <v>99</v>
      </c>
      <c r="M271" s="29">
        <f t="shared" si="25"/>
        <v>1188</v>
      </c>
      <c r="N271" s="69">
        <v>108312.86360698126</v>
      </c>
      <c r="O271" s="69">
        <v>120232.7084680026</v>
      </c>
      <c r="P271" s="70">
        <f t="shared" si="19"/>
        <v>0</v>
      </c>
      <c r="R271" s="24">
        <v>99</v>
      </c>
      <c r="S271" s="29">
        <f t="shared" si="26"/>
        <v>1188</v>
      </c>
      <c r="T271" s="69">
        <v>61818.181818181823</v>
      </c>
      <c r="U271" s="69">
        <v>153454.54545454544</v>
      </c>
      <c r="V271" s="70">
        <f t="shared" si="20"/>
        <v>0</v>
      </c>
    </row>
    <row r="272" spans="2:22" ht="17" thickBot="1" x14ac:dyDescent="0.25">
      <c r="B272" s="26">
        <v>1</v>
      </c>
      <c r="C272" s="55">
        <f t="shared" si="14"/>
        <v>0</v>
      </c>
      <c r="D272" s="55">
        <f t="shared" si="23"/>
        <v>0</v>
      </c>
      <c r="E272" s="50" cm="1">
        <f t="array" ref="E272">IF($B272=0,0,IF($B272=1,0,_xlfn.BETA.DIST($B272,alpha_experiment_posterior,beta_experiment_posterior,FALSE)))</f>
        <v>0</v>
      </c>
      <c r="G272" s="26">
        <v>1</v>
      </c>
      <c r="H272" s="55">
        <f t="shared" si="24"/>
        <v>0</v>
      </c>
      <c r="I272" s="55" cm="1">
        <f t="array" ref="I272">J272*maxPriorValue_control/maxPosteriorValue_control</f>
        <v>0</v>
      </c>
      <c r="J272" s="50" cm="1">
        <f t="array" ref="J272">IF($B272=0,0,IF($B272=1,0,_xlfn.BETA.DIST($B272,alpha_control_posterior,beta_control_posterior,FALSE)))</f>
        <v>0</v>
      </c>
      <c r="L272" s="26">
        <v>100</v>
      </c>
      <c r="M272" s="30">
        <f t="shared" si="25"/>
        <v>1200</v>
      </c>
      <c r="N272" s="71">
        <v>109032.25806451612</v>
      </c>
      <c r="O272" s="71">
        <v>120967.74193548386</v>
      </c>
      <c r="P272" s="72">
        <f t="shared" si="19"/>
        <v>0</v>
      </c>
      <c r="R272" s="26">
        <v>100</v>
      </c>
      <c r="S272" s="30">
        <f t="shared" si="26"/>
        <v>1200</v>
      </c>
      <c r="T272" s="71">
        <v>61818.181818181823</v>
      </c>
      <c r="U272" s="71">
        <v>154545.45454545453</v>
      </c>
      <c r="V272" s="72">
        <f t="shared" si="20"/>
        <v>0</v>
      </c>
    </row>
    <row r="274" spans="2:10" x14ac:dyDescent="0.2">
      <c r="B274" s="1" t="s">
        <v>40</v>
      </c>
      <c r="C274" s="11">
        <f>MAX(C172:C272)</f>
        <v>1</v>
      </c>
      <c r="E274" s="11">
        <f>MAX(E172:E272)</f>
        <v>8.6480070963690228</v>
      </c>
      <c r="G274" s="1" t="s">
        <v>40</v>
      </c>
      <c r="H274" s="11">
        <f>MAX(H172:H272)</f>
        <v>1</v>
      </c>
      <c r="J274" s="11">
        <f>MAX(J172:J272)</f>
        <v>9.6380576536078202</v>
      </c>
    </row>
    <row r="278" spans="2:10" x14ac:dyDescent="0.2">
      <c r="B278" s="52" t="s">
        <v>56</v>
      </c>
    </row>
    <row r="279" spans="2:10" x14ac:dyDescent="0.2">
      <c r="B279" s="1" t="str">
        <f>metricOfInterest</f>
        <v>Long-run fraction of clicks</v>
      </c>
    </row>
    <row r="281" spans="2:10" x14ac:dyDescent="0.2">
      <c r="B281" s="52" t="s">
        <v>65</v>
      </c>
    </row>
    <row r="282" spans="2:10" x14ac:dyDescent="0.2">
      <c r="B282" s="1" t="str">
        <f>CONCATENATE("Sensitivity to ",headEquivalent," in Control")</f>
        <v>Sensitivity to button-click on home page in Control</v>
      </c>
    </row>
    <row r="284" spans="2:10" x14ac:dyDescent="0.2">
      <c r="B284" s="52" t="s">
        <v>66</v>
      </c>
    </row>
    <row r="285" spans="2:10" x14ac:dyDescent="0.2">
      <c r="B285" s="1" t="str">
        <f>CONCATENATE("number of ",headEquivalent," in Control")</f>
        <v>number of button-click on home page in Control</v>
      </c>
    </row>
    <row r="287" spans="2:10" x14ac:dyDescent="0.2">
      <c r="B287" s="52" t="s">
        <v>51</v>
      </c>
      <c r="C287" s="1">
        <f>posteriorScalePower</f>
        <v>500</v>
      </c>
      <c r="D287" s="1">
        <v>0</v>
      </c>
    </row>
    <row r="288" spans="2:10" x14ac:dyDescent="0.2">
      <c r="C288" s="1">
        <f>C287</f>
        <v>500</v>
      </c>
      <c r="D288" s="82">
        <f>MAX(N172:O272)</f>
        <v>120967.74193548386</v>
      </c>
    </row>
    <row r="290" spans="2:4" x14ac:dyDescent="0.2">
      <c r="B290" s="52" t="s">
        <v>67</v>
      </c>
      <c r="C290" s="1">
        <f>numHeads_control</f>
        <v>300</v>
      </c>
      <c r="D290" s="1">
        <v>0</v>
      </c>
    </row>
    <row r="291" spans="2:4" x14ac:dyDescent="0.2">
      <c r="C291" s="1">
        <f>C290</f>
        <v>300</v>
      </c>
      <c r="D291" s="82">
        <f>MAX(T172:U272)</f>
        <v>154545.45454545453</v>
      </c>
    </row>
  </sheetData>
  <mergeCells count="9">
    <mergeCell ref="E17:K17"/>
    <mergeCell ref="E19:H19"/>
    <mergeCell ref="E21:H21"/>
    <mergeCell ref="E7:H7"/>
    <mergeCell ref="E5:H5"/>
    <mergeCell ref="E9:H9"/>
    <mergeCell ref="E11:H11"/>
    <mergeCell ref="E13:H13"/>
    <mergeCell ref="E15:K15"/>
  </mergeCells>
  <dataValidations count="1">
    <dataValidation type="list" allowBlank="1" showInputMessage="1" showErrorMessage="1" sqref="B33 I33" xr:uid="{978A0FB0-DF35-2047-A2C7-C56BD37859A3}">
      <formula1>$B$162:$B$164</formula1>
    </dataValidation>
  </dataValidation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size="41" baseType="lpstr">
      <vt:lpstr>License</vt:lpstr>
      <vt:lpstr>Model</vt:lpstr>
      <vt:lpstr>alpha_control_original_prior</vt:lpstr>
      <vt:lpstr>alpha_control_posterior</vt:lpstr>
      <vt:lpstr>alpha_control_prior</vt:lpstr>
      <vt:lpstr>alpha_experiment_original_prior</vt:lpstr>
      <vt:lpstr>alpha_experiment_posterior</vt:lpstr>
      <vt:lpstr>alpha_experiment_prior</vt:lpstr>
      <vt:lpstr>beta_control_original_prior</vt:lpstr>
      <vt:lpstr>beta_control_posterior</vt:lpstr>
      <vt:lpstr>beta_control_prior</vt:lpstr>
      <vt:lpstr>beta_experiment_original_prior</vt:lpstr>
      <vt:lpstr>beta_experiment_posterior</vt:lpstr>
      <vt:lpstr>beta_experiment_prior</vt:lpstr>
      <vt:lpstr>choiceTable</vt:lpstr>
      <vt:lpstr>costOfLaunchingFeature</vt:lpstr>
      <vt:lpstr>headEquivalent</vt:lpstr>
      <vt:lpstr>maxHeadsInControl</vt:lpstr>
      <vt:lpstr>maxPosteriorScalePower</vt:lpstr>
      <vt:lpstr>maxPosteriorValue_control</vt:lpstr>
      <vt:lpstr>maxPosteriorValue_experiment</vt:lpstr>
      <vt:lpstr>maxPriorValue_control</vt:lpstr>
      <vt:lpstr>maxPriorValue_experiment</vt:lpstr>
      <vt:lpstr>mean_posterior_control</vt:lpstr>
      <vt:lpstr>mean_posterior_experiment</vt:lpstr>
      <vt:lpstr>mean_prior_control</vt:lpstr>
      <vt:lpstr>mean_prior_experiment</vt:lpstr>
      <vt:lpstr>metricOfInterest</vt:lpstr>
      <vt:lpstr>numHeads_control</vt:lpstr>
      <vt:lpstr>numHeads_experiment</vt:lpstr>
      <vt:lpstr>numTosses_control</vt:lpstr>
      <vt:lpstr>numTosses_experiment</vt:lpstr>
      <vt:lpstr>numUsersAtLaunch</vt:lpstr>
      <vt:lpstr>posteriorScalePower</vt:lpstr>
      <vt:lpstr>priorScalePower_control</vt:lpstr>
      <vt:lpstr>priorScalePower_experiment</vt:lpstr>
      <vt:lpstr>priorType_control</vt:lpstr>
      <vt:lpstr>priorType_experiment</vt:lpstr>
      <vt:lpstr>tossEquivalent</vt:lpstr>
      <vt:lpstr>unitOfDiversion</vt:lpstr>
      <vt:lpstr>valueOfHead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2020-07-18T23:18:43Z</dcterms:created>
  <dcterms:modified xsi:type="dcterms:W3CDTF">2020-07-21T05:35:42Z</dcterms:modified>
</cp:coreProperties>
</file>