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ikraha/PycharmProjects/DA Tools/ABTest/"/>
    </mc:Choice>
  </mc:AlternateContent>
  <xr:revisionPtr revIDLastSave="0" documentId="13_ncr:1_{BD9AA395-F461-7D41-BB8E-EB8EB64FB01F}" xr6:coauthVersionLast="45" xr6:coauthVersionMax="45" xr10:uidLastSave="{00000000-0000-0000-0000-000000000000}"/>
  <bookViews>
    <workbookView xWindow="0" yWindow="460" windowWidth="33600" windowHeight="20540" activeTab="1" xr2:uid="{10366E7F-EA89-9541-A813-9FA5048F813E}"/>
  </bookViews>
  <sheets>
    <sheet name="Sheet1" sheetId="1" r:id="rId1"/>
    <sheet name="Sheet2" sheetId="2" r:id="rId2"/>
  </sheets>
  <definedNames>
    <definedName name="alpha_control_original_prior">Sheet2!$J$162</definedName>
    <definedName name="alpha_control_posterior">Sheet2!$J$167</definedName>
    <definedName name="alpha_control_prior">Sheet2!$J$37</definedName>
    <definedName name="alpha_experiment_original_prior">Sheet2!$G$162</definedName>
    <definedName name="alpha_experiment_posterior">Sheet2!$E$167</definedName>
    <definedName name="alpha_experiment_prior">Sheet2!$C$37</definedName>
    <definedName name="beta_control_original_prior">Sheet2!$J$163</definedName>
    <definedName name="beta_control_posterior">Sheet2!$J$168</definedName>
    <definedName name="beta_control_prior">Sheet2!$J$38</definedName>
    <definedName name="beta_experiment_original_prior">Sheet2!$G$163</definedName>
    <definedName name="beta_experiment_posterior">Sheet2!$E$168</definedName>
    <definedName name="beta_experiment_prior">Sheet2!$C$38</definedName>
    <definedName name="choiceTable">Sheet2!$B$161:$D$164</definedName>
    <definedName name="costOfLaunchingFeature">Sheet2!$E$19</definedName>
    <definedName name="headEquivalent">Sheet2!$E$11</definedName>
    <definedName name="maxHeadsInControl">Sheet2!$F$127</definedName>
    <definedName name="maxPosteriorScalePower">Sheet2!$B$127</definedName>
    <definedName name="maxPosteriorValue_control">Sheet2!$J$274</definedName>
    <definedName name="maxPosteriorValue_experiment">Sheet2!$E$274</definedName>
    <definedName name="maxPriorValue_control">Sheet2!$H$274</definedName>
    <definedName name="maxPriorValue_experiment">Sheet2!$C$274</definedName>
    <definedName name="mean_posterior_control">Sheet2!$J$89</definedName>
    <definedName name="mean_posterior_experiment">Sheet2!$C$89</definedName>
    <definedName name="mean_prior_control">Sheet2!$I$47</definedName>
    <definedName name="mean_prior_experiment">Sheet2!$B$47</definedName>
    <definedName name="metricOfInterest">Sheet2!$E$5</definedName>
    <definedName name="numHeads_control">Sheet2!$I$78</definedName>
    <definedName name="numHeads_experiment">Sheet2!$B$78</definedName>
    <definedName name="numTosses_control">Sheet2!$I$74</definedName>
    <definedName name="numTosses_experiment">Sheet2!$B$74</definedName>
    <definedName name="numUsersAtLaunch">Sheet2!$E$21</definedName>
    <definedName name="posteriorScalePower">Sheet2!$B$83</definedName>
    <definedName name="priorScalePower_control">Sheet2!$I$44</definedName>
    <definedName name="priorScalePower_experiment">Sheet2!$B$44</definedName>
    <definedName name="priorType_control">Sheet2!$I$33</definedName>
    <definedName name="priorType_experiment">Sheet2!$B$33</definedName>
    <definedName name="tossEquivalent">Sheet2!$E$9</definedName>
    <definedName name="unitOfDiversion">Sheet2!$E$7</definedName>
    <definedName name="valueOfHead">Sheet2!$E$13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1" i="2" l="1"/>
  <c r="C290" i="2"/>
  <c r="C291" i="2"/>
  <c r="B285" i="2"/>
  <c r="B282" i="2"/>
  <c r="D288" i="2"/>
  <c r="C287" i="2"/>
  <c r="C288" i="2"/>
  <c r="J162" i="2"/>
  <c r="J163" i="2"/>
  <c r="J37" i="2"/>
  <c r="J38" i="2"/>
  <c r="L69" i="2"/>
  <c r="K69" i="2"/>
  <c r="J69" i="2"/>
  <c r="B27" i="2"/>
  <c r="B26" i="2"/>
  <c r="B25" i="2"/>
  <c r="B24" i="2"/>
  <c r="J167" i="2"/>
  <c r="J168" i="2"/>
  <c r="J114" i="2"/>
  <c r="J115" i="2"/>
  <c r="N114" i="2"/>
  <c r="N115" i="2"/>
  <c r="N119" i="2"/>
  <c r="K114" i="2"/>
  <c r="K115" i="2"/>
  <c r="L118" i="2"/>
  <c r="G162" i="2"/>
  <c r="G163" i="2"/>
  <c r="C37" i="2"/>
  <c r="E167" i="2"/>
  <c r="C38" i="2"/>
  <c r="E168" i="2"/>
  <c r="C114" i="2"/>
  <c r="C115" i="2"/>
  <c r="G114" i="2"/>
  <c r="G115" i="2"/>
  <c r="G119" i="2"/>
  <c r="E118" i="2"/>
  <c r="I114" i="2"/>
  <c r="B114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172" i="2"/>
  <c r="J89" i="2"/>
  <c r="U171" i="2"/>
  <c r="C89" i="2"/>
  <c r="T171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172" i="2"/>
  <c r="L119" i="2"/>
  <c r="E119" i="2"/>
  <c r="L114" i="2"/>
  <c r="M114" i="2"/>
  <c r="L115" i="2"/>
  <c r="M115" i="2"/>
  <c r="D114" i="2"/>
  <c r="D115" i="2"/>
  <c r="B279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172" i="2"/>
  <c r="C117" i="2"/>
  <c r="C118" i="2"/>
  <c r="C119" i="2"/>
  <c r="J117" i="2"/>
  <c r="C120" i="2"/>
  <c r="O171" i="2"/>
  <c r="N171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172" i="2"/>
  <c r="J78" i="2"/>
  <c r="C78" i="2"/>
  <c r="F114" i="2"/>
  <c r="F115" i="2"/>
  <c r="E114" i="2"/>
  <c r="E115" i="2"/>
  <c r="J90" i="2"/>
  <c r="C90" i="2"/>
  <c r="J41" i="2"/>
  <c r="C41" i="2"/>
  <c r="J87" i="2"/>
  <c r="J86" i="2"/>
  <c r="C87" i="2"/>
  <c r="C86" i="2"/>
  <c r="J172" i="2" a="1"/>
  <c r="J172" i="2"/>
  <c r="B173" i="2"/>
  <c r="J173" i="2" a="1"/>
  <c r="J173" i="2"/>
  <c r="B174" i="2"/>
  <c r="J174" i="2" a="1"/>
  <c r="J174" i="2"/>
  <c r="B175" i="2"/>
  <c r="J175" i="2" a="1"/>
  <c r="J175" i="2"/>
  <c r="B176" i="2"/>
  <c r="J176" i="2" a="1"/>
  <c r="B177" i="2"/>
  <c r="J177" i="2" a="1"/>
  <c r="B178" i="2"/>
  <c r="J178" i="2" a="1"/>
  <c r="B179" i="2"/>
  <c r="J179" i="2" a="1"/>
  <c r="B180" i="2"/>
  <c r="J180" i="2" a="1"/>
  <c r="B181" i="2"/>
  <c r="J181" i="2" a="1"/>
  <c r="B182" i="2"/>
  <c r="J182" i="2" a="1"/>
  <c r="B183" i="2"/>
  <c r="J183" i="2" a="1"/>
  <c r="B184" i="2"/>
  <c r="J184" i="2" a="1"/>
  <c r="B185" i="2"/>
  <c r="J185" i="2" a="1"/>
  <c r="B186" i="2"/>
  <c r="J186" i="2" a="1"/>
  <c r="B187" i="2"/>
  <c r="J187" i="2" a="1"/>
  <c r="B188" i="2"/>
  <c r="J188" i="2" a="1"/>
  <c r="B189" i="2"/>
  <c r="J189" i="2" a="1"/>
  <c r="B190" i="2"/>
  <c r="J190" i="2" a="1"/>
  <c r="B191" i="2"/>
  <c r="J191" i="2" a="1"/>
  <c r="B192" i="2"/>
  <c r="J192" i="2" a="1"/>
  <c r="B193" i="2"/>
  <c r="J193" i="2" a="1"/>
  <c r="B194" i="2"/>
  <c r="J194" i="2" a="1"/>
  <c r="B195" i="2"/>
  <c r="J195" i="2" a="1"/>
  <c r="B196" i="2"/>
  <c r="J196" i="2" a="1"/>
  <c r="B197" i="2"/>
  <c r="J197" i="2" a="1"/>
  <c r="B198" i="2"/>
  <c r="J198" i="2" a="1"/>
  <c r="B199" i="2"/>
  <c r="J199" i="2" a="1"/>
  <c r="B200" i="2"/>
  <c r="J200" i="2" a="1"/>
  <c r="B201" i="2"/>
  <c r="J201" i="2" a="1"/>
  <c r="B202" i="2"/>
  <c r="J202" i="2" a="1"/>
  <c r="B203" i="2"/>
  <c r="J203" i="2" a="1"/>
  <c r="B204" i="2"/>
  <c r="J204" i="2" a="1"/>
  <c r="B205" i="2"/>
  <c r="J205" i="2" a="1"/>
  <c r="B206" i="2"/>
  <c r="J206" i="2" a="1"/>
  <c r="B207" i="2"/>
  <c r="J207" i="2" a="1"/>
  <c r="B208" i="2"/>
  <c r="J208" i="2" a="1"/>
  <c r="B209" i="2"/>
  <c r="J209" i="2" a="1"/>
  <c r="B210" i="2"/>
  <c r="J210" i="2" a="1"/>
  <c r="B211" i="2"/>
  <c r="J211" i="2" a="1"/>
  <c r="B212" i="2"/>
  <c r="J212" i="2" a="1"/>
  <c r="B213" i="2"/>
  <c r="J213" i="2" a="1"/>
  <c r="B214" i="2"/>
  <c r="J214" i="2" a="1"/>
  <c r="B215" i="2"/>
  <c r="J215" i="2" a="1"/>
  <c r="B216" i="2"/>
  <c r="J216" i="2" a="1"/>
  <c r="B217" i="2"/>
  <c r="J217" i="2" a="1"/>
  <c r="B218" i="2"/>
  <c r="J218" i="2" a="1"/>
  <c r="B219" i="2"/>
  <c r="J219" i="2" a="1"/>
  <c r="B220" i="2"/>
  <c r="J220" i="2" a="1"/>
  <c r="B221" i="2"/>
  <c r="J221" i="2" a="1"/>
  <c r="B222" i="2"/>
  <c r="J222" i="2" a="1"/>
  <c r="B223" i="2"/>
  <c r="J223" i="2" a="1"/>
  <c r="B224" i="2"/>
  <c r="J224" i="2" a="1"/>
  <c r="B225" i="2"/>
  <c r="J225" i="2" a="1"/>
  <c r="B226" i="2"/>
  <c r="J226" i="2" a="1"/>
  <c r="B227" i="2"/>
  <c r="J227" i="2" a="1"/>
  <c r="B228" i="2"/>
  <c r="J228" i="2" a="1"/>
  <c r="B229" i="2"/>
  <c r="J229" i="2" a="1"/>
  <c r="B230" i="2"/>
  <c r="J230" i="2" a="1"/>
  <c r="B231" i="2"/>
  <c r="J231" i="2" a="1"/>
  <c r="B232" i="2"/>
  <c r="J232" i="2" a="1"/>
  <c r="B233" i="2"/>
  <c r="J233" i="2" a="1"/>
  <c r="B234" i="2"/>
  <c r="J234" i="2" a="1"/>
  <c r="B235" i="2"/>
  <c r="J235" i="2" a="1"/>
  <c r="B236" i="2"/>
  <c r="J236" i="2" a="1"/>
  <c r="B237" i="2"/>
  <c r="J237" i="2" a="1"/>
  <c r="B238" i="2"/>
  <c r="J238" i="2" a="1"/>
  <c r="B239" i="2"/>
  <c r="J239" i="2" a="1"/>
  <c r="B240" i="2"/>
  <c r="J240" i="2" a="1"/>
  <c r="B241" i="2"/>
  <c r="J241" i="2" a="1"/>
  <c r="B242" i="2"/>
  <c r="J242" i="2" a="1"/>
  <c r="B243" i="2"/>
  <c r="J243" i="2" a="1"/>
  <c r="B244" i="2"/>
  <c r="J244" i="2" a="1"/>
  <c r="B245" i="2"/>
  <c r="J245" i="2" a="1"/>
  <c r="B246" i="2"/>
  <c r="J246" i="2" a="1"/>
  <c r="B247" i="2"/>
  <c r="J247" i="2" a="1"/>
  <c r="B248" i="2"/>
  <c r="J248" i="2" a="1"/>
  <c r="B249" i="2"/>
  <c r="J249" i="2" a="1"/>
  <c r="B250" i="2"/>
  <c r="J250" i="2" a="1"/>
  <c r="B251" i="2"/>
  <c r="J251" i="2" a="1"/>
  <c r="B252" i="2"/>
  <c r="J252" i="2" a="1"/>
  <c r="B253" i="2"/>
  <c r="J253" i="2" a="1"/>
  <c r="B254" i="2"/>
  <c r="J254" i="2" a="1"/>
  <c r="B255" i="2"/>
  <c r="J255" i="2" a="1"/>
  <c r="B256" i="2"/>
  <c r="J256" i="2" a="1"/>
  <c r="B257" i="2"/>
  <c r="J257" i="2" a="1"/>
  <c r="B258" i="2"/>
  <c r="J258" i="2" a="1"/>
  <c r="B259" i="2"/>
  <c r="J259" i="2" a="1"/>
  <c r="B260" i="2"/>
  <c r="J260" i="2" a="1"/>
  <c r="B261" i="2"/>
  <c r="J261" i="2" a="1"/>
  <c r="B262" i="2"/>
  <c r="J262" i="2" a="1"/>
  <c r="B263" i="2"/>
  <c r="J263" i="2" a="1"/>
  <c r="B264" i="2"/>
  <c r="J264" i="2" a="1"/>
  <c r="B265" i="2"/>
  <c r="J265" i="2" a="1"/>
  <c r="B266" i="2"/>
  <c r="J266" i="2" a="1"/>
  <c r="B267" i="2"/>
  <c r="J267" i="2" a="1"/>
  <c r="B268" i="2"/>
  <c r="J268" i="2" a="1"/>
  <c r="B269" i="2"/>
  <c r="J269" i="2" a="1"/>
  <c r="B270" i="2"/>
  <c r="J270" i="2" a="1"/>
  <c r="B271" i="2"/>
  <c r="J271" i="2" a="1"/>
  <c r="J272" i="2" a="1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4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H272" i="2"/>
  <c r="H274" i="2"/>
  <c r="I173" i="2" a="1"/>
  <c r="I173" i="2"/>
  <c r="I174" i="2" a="1"/>
  <c r="I174" i="2"/>
  <c r="I175" i="2" a="1"/>
  <c r="I175" i="2"/>
  <c r="I176" i="2" a="1"/>
  <c r="I176" i="2"/>
  <c r="I177" i="2" a="1"/>
  <c r="I177" i="2"/>
  <c r="I178" i="2" a="1"/>
  <c r="I178" i="2"/>
  <c r="I179" i="2" a="1"/>
  <c r="I179" i="2"/>
  <c r="I180" i="2" a="1"/>
  <c r="I180" i="2"/>
  <c r="I181" i="2" a="1"/>
  <c r="I181" i="2"/>
  <c r="I182" i="2" a="1"/>
  <c r="I182" i="2"/>
  <c r="I183" i="2" a="1"/>
  <c r="I183" i="2"/>
  <c r="I184" i="2" a="1"/>
  <c r="I184" i="2"/>
  <c r="I185" i="2" a="1"/>
  <c r="I185" i="2"/>
  <c r="I186" i="2" a="1"/>
  <c r="I186" i="2"/>
  <c r="I187" i="2" a="1"/>
  <c r="I187" i="2"/>
  <c r="I188" i="2" a="1"/>
  <c r="I188" i="2"/>
  <c r="I189" i="2" a="1"/>
  <c r="I189" i="2"/>
  <c r="I190" i="2" a="1"/>
  <c r="I190" i="2"/>
  <c r="I191" i="2" a="1"/>
  <c r="I191" i="2"/>
  <c r="I192" i="2" a="1"/>
  <c r="I192" i="2"/>
  <c r="I193" i="2" a="1"/>
  <c r="I193" i="2"/>
  <c r="I194" i="2" a="1"/>
  <c r="I194" i="2"/>
  <c r="I195" i="2" a="1"/>
  <c r="I195" i="2"/>
  <c r="I196" i="2" a="1"/>
  <c r="I196" i="2"/>
  <c r="I197" i="2" a="1"/>
  <c r="I197" i="2"/>
  <c r="I198" i="2" a="1"/>
  <c r="I198" i="2"/>
  <c r="I199" i="2" a="1"/>
  <c r="I199" i="2"/>
  <c r="I200" i="2" a="1"/>
  <c r="I200" i="2"/>
  <c r="I201" i="2" a="1"/>
  <c r="I201" i="2"/>
  <c r="I202" i="2" a="1"/>
  <c r="I202" i="2"/>
  <c r="I203" i="2" a="1"/>
  <c r="I203" i="2"/>
  <c r="I204" i="2" a="1"/>
  <c r="I204" i="2"/>
  <c r="I205" i="2" a="1"/>
  <c r="I205" i="2"/>
  <c r="I206" i="2" a="1"/>
  <c r="I206" i="2"/>
  <c r="I207" i="2" a="1"/>
  <c r="I207" i="2"/>
  <c r="I208" i="2" a="1"/>
  <c r="I208" i="2"/>
  <c r="I209" i="2" a="1"/>
  <c r="I209" i="2"/>
  <c r="I210" i="2" a="1"/>
  <c r="I210" i="2"/>
  <c r="I211" i="2" a="1"/>
  <c r="I211" i="2"/>
  <c r="I212" i="2" a="1"/>
  <c r="I212" i="2"/>
  <c r="I213" i="2" a="1"/>
  <c r="I213" i="2"/>
  <c r="I214" i="2" a="1"/>
  <c r="I214" i="2"/>
  <c r="I215" i="2" a="1"/>
  <c r="I215" i="2"/>
  <c r="I216" i="2" a="1"/>
  <c r="I216" i="2"/>
  <c r="I217" i="2" a="1"/>
  <c r="I217" i="2"/>
  <c r="I218" i="2" a="1"/>
  <c r="I218" i="2"/>
  <c r="I219" i="2" a="1"/>
  <c r="I219" i="2"/>
  <c r="I220" i="2" a="1"/>
  <c r="I220" i="2"/>
  <c r="I221" i="2" a="1"/>
  <c r="I221" i="2"/>
  <c r="I222" i="2" a="1"/>
  <c r="I222" i="2"/>
  <c r="I223" i="2" a="1"/>
  <c r="I223" i="2"/>
  <c r="I224" i="2" a="1"/>
  <c r="I224" i="2"/>
  <c r="I225" i="2" a="1"/>
  <c r="I225" i="2"/>
  <c r="I226" i="2" a="1"/>
  <c r="I226" i="2"/>
  <c r="I227" i="2" a="1"/>
  <c r="I227" i="2"/>
  <c r="I228" i="2" a="1"/>
  <c r="I228" i="2"/>
  <c r="I229" i="2" a="1"/>
  <c r="I229" i="2"/>
  <c r="I230" i="2" a="1"/>
  <c r="I230" i="2"/>
  <c r="I231" i="2" a="1"/>
  <c r="I231" i="2"/>
  <c r="I232" i="2" a="1"/>
  <c r="I232" i="2"/>
  <c r="I233" i="2" a="1"/>
  <c r="I233" i="2"/>
  <c r="I234" i="2" a="1"/>
  <c r="I234" i="2"/>
  <c r="I235" i="2" a="1"/>
  <c r="I235" i="2"/>
  <c r="I236" i="2" a="1"/>
  <c r="I236" i="2"/>
  <c r="I237" i="2" a="1"/>
  <c r="I237" i="2"/>
  <c r="I238" i="2" a="1"/>
  <c r="I238" i="2"/>
  <c r="I239" i="2" a="1"/>
  <c r="I239" i="2"/>
  <c r="I240" i="2" a="1"/>
  <c r="I240" i="2"/>
  <c r="I241" i="2" a="1"/>
  <c r="I241" i="2"/>
  <c r="I242" i="2" a="1"/>
  <c r="I242" i="2"/>
  <c r="I243" i="2" a="1"/>
  <c r="I243" i="2"/>
  <c r="I244" i="2" a="1"/>
  <c r="I244" i="2"/>
  <c r="I245" i="2" a="1"/>
  <c r="I245" i="2"/>
  <c r="I246" i="2" a="1"/>
  <c r="I246" i="2"/>
  <c r="I247" i="2" a="1"/>
  <c r="I247" i="2"/>
  <c r="I248" i="2" a="1"/>
  <c r="I248" i="2"/>
  <c r="I249" i="2" a="1"/>
  <c r="I249" i="2"/>
  <c r="I250" i="2" a="1"/>
  <c r="I250" i="2"/>
  <c r="I251" i="2" a="1"/>
  <c r="I251" i="2"/>
  <c r="I252" i="2" a="1"/>
  <c r="I252" i="2"/>
  <c r="I253" i="2" a="1"/>
  <c r="I253" i="2"/>
  <c r="I254" i="2" a="1"/>
  <c r="I254" i="2"/>
  <c r="I255" i="2" a="1"/>
  <c r="I255" i="2"/>
  <c r="I256" i="2" a="1"/>
  <c r="I256" i="2"/>
  <c r="I257" i="2" a="1"/>
  <c r="I257" i="2"/>
  <c r="I258" i="2" a="1"/>
  <c r="I258" i="2"/>
  <c r="I259" i="2" a="1"/>
  <c r="I259" i="2"/>
  <c r="I260" i="2" a="1"/>
  <c r="I260" i="2"/>
  <c r="I261" i="2" a="1"/>
  <c r="I261" i="2"/>
  <c r="I262" i="2" a="1"/>
  <c r="I262" i="2"/>
  <c r="I263" i="2" a="1"/>
  <c r="I263" i="2"/>
  <c r="I264" i="2" a="1"/>
  <c r="I264" i="2"/>
  <c r="I265" i="2" a="1"/>
  <c r="I265" i="2"/>
  <c r="I266" i="2" a="1"/>
  <c r="I266" i="2"/>
  <c r="I267" i="2" a="1"/>
  <c r="I267" i="2"/>
  <c r="I268" i="2" a="1"/>
  <c r="I268" i="2"/>
  <c r="I269" i="2" a="1"/>
  <c r="I269" i="2"/>
  <c r="I270" i="2" a="1"/>
  <c r="I270" i="2"/>
  <c r="I271" i="2" a="1"/>
  <c r="I271" i="2"/>
  <c r="I272" i="2" a="1"/>
  <c r="I272" i="2"/>
  <c r="I172" i="2" a="1"/>
  <c r="I172" i="2"/>
  <c r="H168" i="2"/>
  <c r="H167" i="2"/>
  <c r="E173" i="2" a="1"/>
  <c r="E173" i="2"/>
  <c r="E172" i="2" a="1"/>
  <c r="E172" i="2"/>
  <c r="E174" i="2" a="1"/>
  <c r="E174" i="2"/>
  <c r="E175" i="2" a="1"/>
  <c r="E176" i="2" a="1"/>
  <c r="E177" i="2" a="1"/>
  <c r="E178" i="2" a="1"/>
  <c r="E179" i="2" a="1"/>
  <c r="E180" i="2" a="1"/>
  <c r="E181" i="2" a="1"/>
  <c r="E182" i="2" a="1"/>
  <c r="E183" i="2" a="1"/>
  <c r="E184" i="2" a="1"/>
  <c r="E185" i="2" a="1"/>
  <c r="E186" i="2" a="1"/>
  <c r="E187" i="2" a="1"/>
  <c r="E188" i="2" a="1"/>
  <c r="E189" i="2" a="1"/>
  <c r="E190" i="2" a="1"/>
  <c r="E191" i="2" a="1"/>
  <c r="E192" i="2" a="1"/>
  <c r="E193" i="2" a="1"/>
  <c r="E194" i="2" a="1"/>
  <c r="E195" i="2" a="1"/>
  <c r="E196" i="2" a="1"/>
  <c r="E197" i="2" a="1"/>
  <c r="E198" i="2" a="1"/>
  <c r="E199" i="2" a="1"/>
  <c r="E200" i="2" a="1"/>
  <c r="E201" i="2" a="1"/>
  <c r="E202" i="2" a="1"/>
  <c r="E203" i="2" a="1"/>
  <c r="E204" i="2" a="1"/>
  <c r="E205" i="2" a="1"/>
  <c r="E206" i="2" a="1"/>
  <c r="E207" i="2" a="1"/>
  <c r="E208" i="2" a="1"/>
  <c r="E209" i="2" a="1"/>
  <c r="E210" i="2" a="1"/>
  <c r="E211" i="2" a="1"/>
  <c r="E212" i="2" a="1"/>
  <c r="E213" i="2" a="1"/>
  <c r="E214" i="2" a="1"/>
  <c r="E215" i="2" a="1"/>
  <c r="E216" i="2" a="1"/>
  <c r="E217" i="2" a="1"/>
  <c r="E218" i="2" a="1"/>
  <c r="E219" i="2" a="1"/>
  <c r="E220" i="2" a="1"/>
  <c r="E221" i="2" a="1"/>
  <c r="E222" i="2" a="1"/>
  <c r="E223" i="2" a="1"/>
  <c r="E224" i="2" a="1"/>
  <c r="E225" i="2" a="1"/>
  <c r="E226" i="2" a="1"/>
  <c r="E227" i="2" a="1"/>
  <c r="E228" i="2" a="1"/>
  <c r="E229" i="2" a="1"/>
  <c r="E230" i="2" a="1"/>
  <c r="E231" i="2" a="1"/>
  <c r="E232" i="2" a="1"/>
  <c r="E233" i="2" a="1"/>
  <c r="E234" i="2" a="1"/>
  <c r="E235" i="2" a="1"/>
  <c r="E236" i="2" a="1"/>
  <c r="E237" i="2" a="1"/>
  <c r="E238" i="2" a="1"/>
  <c r="E239" i="2" a="1"/>
  <c r="E240" i="2" a="1"/>
  <c r="E241" i="2" a="1"/>
  <c r="E242" i="2" a="1"/>
  <c r="E243" i="2" a="1"/>
  <c r="E244" i="2" a="1"/>
  <c r="E245" i="2" a="1"/>
  <c r="E246" i="2" a="1"/>
  <c r="E247" i="2" a="1"/>
  <c r="E248" i="2" a="1"/>
  <c r="E249" i="2" a="1"/>
  <c r="E250" i="2" a="1"/>
  <c r="E251" i="2" a="1"/>
  <c r="E252" i="2" a="1"/>
  <c r="E253" i="2" a="1"/>
  <c r="E254" i="2" a="1"/>
  <c r="E255" i="2" a="1"/>
  <c r="E256" i="2" a="1"/>
  <c r="E257" i="2" a="1"/>
  <c r="E258" i="2" a="1"/>
  <c r="E259" i="2" a="1"/>
  <c r="E260" i="2" a="1"/>
  <c r="E261" i="2" a="1"/>
  <c r="E262" i="2" a="1"/>
  <c r="E263" i="2" a="1"/>
  <c r="E264" i="2" a="1"/>
  <c r="E265" i="2" a="1"/>
  <c r="E266" i="2" a="1"/>
  <c r="E267" i="2" a="1"/>
  <c r="E268" i="2" a="1"/>
  <c r="E269" i="2" a="1"/>
  <c r="E270" i="2" a="1"/>
  <c r="E271" i="2" a="1"/>
  <c r="E272" i="2" a="1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4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4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172" i="2"/>
  <c r="C167" i="2"/>
  <c r="C168" i="2"/>
  <c r="I77" i="2"/>
  <c r="B77" i="2"/>
  <c r="I73" i="2"/>
  <c r="B73" i="2"/>
  <c r="J40" i="2"/>
  <c r="C40" i="2"/>
  <c r="J47" i="2"/>
  <c r="C47" i="2"/>
  <c r="J44" i="2"/>
  <c r="C44" i="2"/>
  <c r="E69" i="2"/>
  <c r="D69" i="2"/>
  <c r="C69" i="2"/>
  <c r="B21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<sst xmlns="http://schemas.openxmlformats.org/spreadsheetml/2006/main" count="134" uniqueCount="82">
  <si>
    <t>License:</t>
  </si>
  <si>
    <t>MIT License</t>
  </si>
  <si>
    <t xml:space="preserve">© Somik Raha </t>
  </si>
  <si>
    <t>Copyright 2020 Somik Raha</t>
  </si>
  <si>
    <t xml:space="preserve">Permission is hereby granted, free of charge, to any person obtaining a copy of this software and associated documentation files (the "Software"), </t>
  </si>
  <si>
    <t xml:space="preserve">to deal in the Software without restriction, including without limitation the rights to use, copy, modify, merge, publish, distribute, sublicense, </t>
  </si>
  <si>
    <t>and/or sell copies of the Software, and to permit persons to whom the Software is furnished to do so, subject to the following conditions:</t>
  </si>
  <si>
    <t>and to permit persons to whom the Software is furnished to do so, subject to the following conditions:</t>
  </si>
  <si>
    <t>The above copyright notice and this permission notice shall be included in all copies or substantial portions of the Software.</t>
  </si>
  <si>
    <t xml:space="preserve">THE SOFTWARE IS PROVIDED "AS IS", WITHOUT WARRANTY OF ANY KIND, EXPRESS OR IMPLIED, INCLUDING BUT NOT LIMITED TO </t>
  </si>
  <si>
    <t xml:space="preserve">THE WARRANTIES OF MERCHANTABILITY, FITNESS FOR A PARTICULAR PURPOSE AND NONINFRINGEMENT. </t>
  </si>
  <si>
    <t xml:space="preserve">IN NO EVENT SHALL THE AUTHORS OR COPYRIGHT HOLDERS BE LIABLE FOR ANY CLAIM, DAMAGES OR OTHER LIABILITY, </t>
  </si>
  <si>
    <t>WHETHER IN AN ACTION OF CONTRACT, TORT OR OTHERWISE, ARISING FROM, OUT OF OR IN CONNECTION WITH THE SOFTWARE OR THE USE OR OTHER DEALINGS IN THE SOFTWARE.</t>
  </si>
  <si>
    <t>v1</t>
  </si>
  <si>
    <t>ABDA</t>
  </si>
  <si>
    <t>Setup</t>
  </si>
  <si>
    <t>Metric of interest</t>
  </si>
  <si>
    <t>Toss Equivalent</t>
  </si>
  <si>
    <t>page view</t>
  </si>
  <si>
    <t>Head Equivalent</t>
  </si>
  <si>
    <t>button-click on home page</t>
  </si>
  <si>
    <t>Value of Head ($)</t>
  </si>
  <si>
    <t>Description of Experiment</t>
  </si>
  <si>
    <t>show a large button titled 'Start Now' on homepage</t>
  </si>
  <si>
    <t>Description of Control</t>
  </si>
  <si>
    <t>show a normal button titled 'Start Now' on homepage</t>
  </si>
  <si>
    <t>Cost of launching feature ($)</t>
  </si>
  <si>
    <t>Unit of diversion</t>
  </si>
  <si>
    <t>users</t>
  </si>
  <si>
    <t>Build Priors</t>
  </si>
  <si>
    <t>Experiment</t>
  </si>
  <si>
    <t>Control</t>
  </si>
  <si>
    <t>Choices</t>
  </si>
  <si>
    <t>Learn</t>
  </si>
  <si>
    <t>Sensitivity</t>
  </si>
  <si>
    <t>Appendix</t>
  </si>
  <si>
    <t>Uniform</t>
  </si>
  <si>
    <t>Symmetric</t>
  </si>
  <si>
    <t>Asymmetric</t>
  </si>
  <si>
    <t>Alpha</t>
  </si>
  <si>
    <t>Beta</t>
  </si>
  <si>
    <t>Experiment Prior Scale Power</t>
  </si>
  <si>
    <t>Control Prior Scale Power</t>
  </si>
  <si>
    <t>pdf(x)</t>
  </si>
  <si>
    <t>x</t>
  </si>
  <si>
    <t>EXPERIMENT PRIOR</t>
  </si>
  <si>
    <t>CONTROL PRIOR</t>
  </si>
  <si>
    <t>Mean</t>
  </si>
  <si>
    <t>How sure do you want to be? Adjust the posterior scale power below for both Experiment and Control</t>
  </si>
  <si>
    <t>posterior pdf(x)</t>
  </si>
  <si>
    <t>EXPERIMENT POSTERIOR</t>
  </si>
  <si>
    <t>ORIGINAL EXPERIMENT PRIOR</t>
  </si>
  <si>
    <t>ORIGINAL CONTROL PRIOR</t>
  </si>
  <si>
    <t>scaled posterior pdf(x)</t>
  </si>
  <si>
    <t>MAX</t>
  </si>
  <si>
    <t>CONTROL POSTERIOR</t>
  </si>
  <si>
    <t>Posterior Beta parameters</t>
  </si>
  <si>
    <t>Variance</t>
  </si>
  <si>
    <t>Prior Beta parameters</t>
  </si>
  <si>
    <t>Posterior Inference</t>
  </si>
  <si>
    <t>Value</t>
  </si>
  <si>
    <t>Mean Value</t>
  </si>
  <si>
    <t>Cost of Launching Feature</t>
  </si>
  <si>
    <t>Net Value of Experiment</t>
  </si>
  <si>
    <t>Max Posterior Scale Power</t>
  </si>
  <si>
    <t>Posterior Scale Power</t>
  </si>
  <si>
    <t>#</t>
  </si>
  <si>
    <t>Added Value over Control</t>
  </si>
  <si>
    <t>Value Added over Control</t>
  </si>
  <si>
    <t>Value through Control</t>
  </si>
  <si>
    <t>Horizontal Axis Title in PDF graphs</t>
  </si>
  <si>
    <t>95% Bayesian Confidence Interval</t>
  </si>
  <si>
    <t xml:space="preserve">Remember, the control does not incur the cost of launching </t>
  </si>
  <si>
    <t>the feature (that's why it's the control)</t>
  </si>
  <si>
    <t>Max Heads in Control</t>
  </si>
  <si>
    <t>Heads in Control</t>
  </si>
  <si>
    <t>Long-run fraction of clicks</t>
  </si>
  <si>
    <t>Value of clicks</t>
  </si>
  <si>
    <t>Narrative</t>
  </si>
  <si>
    <t>Title of Sensitivity Chart (number of heads in Control)</t>
  </si>
  <si>
    <t>Axis Title of Sensitivity Chart (number of heads in Control)</t>
  </si>
  <si>
    <t>Number of heads in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</si>
</sst>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000000"/>
    <numFmt numFmtId="168" formatCode="0.0000"/>
    <numFmt numFmtId="169" formatCode="0.000"/>
    <numFmt numFmtId="170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444444"/>
      <name val="Arial"/>
      <family val="2"/>
    </font>
    <font>
      <sz val="14"/>
      <color rgb="FF444444"/>
      <name val="Arial"/>
      <family val="2"/>
    </font>
    <font>
      <b/>
      <sz val="72"/>
      <color theme="1"/>
      <name val="American Typewriter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American Typewriter"/>
      <family val="1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0" fontId="11" fillId="2" borderId="0" xfId="0" applyFont="1" applyFill="1"/>
    <xf numFmtId="0" fontId="12" fillId="2" borderId="2" xfId="0" applyFont="1" applyFill="1" applyBorder="1"/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0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167" fontId="0" fillId="2" borderId="0" xfId="0" applyNumberFormat="1" applyFill="1"/>
    <xf numFmtId="168" fontId="0" fillId="2" borderId="0" xfId="0" applyNumberFormat="1" applyFill="1"/>
    <xf numFmtId="9" fontId="12" fillId="2" borderId="10" xfId="0" applyNumberFormat="1" applyFont="1" applyFill="1" applyBorder="1"/>
    <xf numFmtId="9" fontId="12" fillId="2" borderId="11" xfId="0" applyNumberFormat="1" applyFont="1" applyFill="1" applyBorder="1"/>
    <xf numFmtId="9" fontId="12" fillId="2" borderId="12" xfId="0" applyNumberFormat="1" applyFont="1" applyFill="1" applyBorder="1"/>
    <xf numFmtId="169" fontId="10" fillId="2" borderId="7" xfId="0" applyNumberFormat="1" applyFont="1" applyFill="1" applyBorder="1"/>
    <xf numFmtId="169" fontId="10" fillId="2" borderId="8" xfId="0" applyNumberFormat="1" applyFont="1" applyFill="1" applyBorder="1"/>
    <xf numFmtId="169" fontId="10" fillId="2" borderId="9" xfId="0" applyNumberFormat="1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0" fillId="2" borderId="2" xfId="0" applyFill="1" applyBorder="1"/>
    <xf numFmtId="0" fontId="0" fillId="2" borderId="4" xfId="0" applyFill="1" applyBorder="1"/>
    <xf numFmtId="0" fontId="2" fillId="2" borderId="4" xfId="0" applyFont="1" applyFill="1" applyBorder="1" applyAlignment="1">
      <alignment horizontal="right"/>
    </xf>
    <xf numFmtId="0" fontId="10" fillId="2" borderId="2" xfId="0" applyFont="1" applyFill="1" applyBorder="1"/>
    <xf numFmtId="0" fontId="0" fillId="2" borderId="3" xfId="0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3" fillId="2" borderId="0" xfId="0" applyFont="1" applyFill="1"/>
    <xf numFmtId="2" fontId="0" fillId="2" borderId="6" xfId="0" applyNumberFormat="1" applyFill="1" applyBorder="1"/>
    <xf numFmtId="2" fontId="0" fillId="2" borderId="9" xfId="0" applyNumberFormat="1" applyFill="1" applyBorder="1"/>
    <xf numFmtId="169" fontId="10" fillId="2" borderId="1" xfId="0" applyNumberFormat="1" applyFont="1" applyFill="1" applyBorder="1"/>
    <xf numFmtId="0" fontId="2" fillId="2" borderId="0" xfId="0" applyFont="1" applyFill="1"/>
    <xf numFmtId="0" fontId="2" fillId="2" borderId="0" xfId="0" applyFon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2" fillId="2" borderId="3" xfId="0" applyFont="1" applyFill="1" applyBorder="1"/>
    <xf numFmtId="0" fontId="8" fillId="2" borderId="7" xfId="0" applyFont="1" applyFill="1" applyBorder="1"/>
    <xf numFmtId="0" fontId="8" fillId="2" borderId="9" xfId="0" applyFont="1" applyFill="1" applyBorder="1"/>
    <xf numFmtId="9" fontId="9" fillId="2" borderId="13" xfId="0" applyNumberFormat="1" applyFont="1" applyFill="1" applyBorder="1"/>
    <xf numFmtId="169" fontId="9" fillId="2" borderId="0" xfId="0" applyNumberFormat="1" applyFont="1" applyFill="1" applyBorder="1"/>
    <xf numFmtId="169" fontId="9" fillId="2" borderId="6" xfId="0" applyNumberFormat="1" applyFont="1" applyFill="1" applyBorder="1"/>
    <xf numFmtId="0" fontId="0" fillId="2" borderId="14" xfId="0" applyFill="1" applyBorder="1"/>
    <xf numFmtId="165" fontId="9" fillId="2" borderId="8" xfId="0" applyNumberFormat="1" applyFont="1" applyFill="1" applyBorder="1"/>
    <xf numFmtId="165" fontId="9" fillId="2" borderId="0" xfId="0" applyNumberFormat="1" applyFont="1" applyFill="1"/>
    <xf numFmtId="165" fontId="9" fillId="2" borderId="0" xfId="0" applyNumberFormat="1" applyFont="1" applyFill="1" applyBorder="1"/>
    <xf numFmtId="165" fontId="9" fillId="2" borderId="9" xfId="0" applyNumberFormat="1" applyFont="1" applyFill="1" applyBorder="1"/>
    <xf numFmtId="0" fontId="14" fillId="2" borderId="0" xfId="0" applyFont="1" applyFill="1"/>
    <xf numFmtId="0" fontId="9" fillId="3" borderId="0" xfId="0" applyFont="1" applyFill="1"/>
    <xf numFmtId="165" fontId="0" fillId="2" borderId="0" xfId="0" applyNumberFormat="1" applyFill="1" applyBorder="1"/>
    <xf numFmtId="165" fontId="0" fillId="2" borderId="6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0" fontId="15" fillId="2" borderId="0" xfId="0" applyFont="1" applyFill="1"/>
    <xf numFmtId="170" fontId="9" fillId="2" borderId="13" xfId="0" applyNumberFormat="1" applyFont="1" applyFill="1" applyBorder="1"/>
    <xf numFmtId="170" fontId="9" fillId="2" borderId="15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16" fillId="2" borderId="2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17" fillId="2" borderId="0" xfId="0" applyFont="1" applyFill="1"/>
    <xf numFmtId="164" fontId="10" fillId="3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66" fontId="10" fillId="3" borderId="0" xfId="1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Sheet2!$C$172:$C$272</c:f>
              <c:numCache>
                <c:formatCode>0.00</c:formatCode>
                <c:ptCount val="101"/>
                <c:pt idx="0">
                  <c:v>0</c:v>
                </c:pt>
                <c:pt idx="1">
                  <c:v>1.9000000000000051E-35</c:v>
                </c:pt>
                <c:pt idx="2">
                  <c:v>4.9807360000000387E-30</c:v>
                </c:pt>
                <c:pt idx="3">
                  <c:v>7.3609892909999698E-27</c:v>
                </c:pt>
                <c:pt idx="4">
                  <c:v>1.3056700579840076E-24</c:v>
                </c:pt>
                <c:pt idx="5">
                  <c:v>7.2479248046875226E-23</c:v>
                </c:pt>
                <c:pt idx="6">
                  <c:v>1.9296391766999059E-21</c:v>
                </c:pt>
                <c:pt idx="7">
                  <c:v>3.0939858360298587E-20</c:v>
                </c:pt>
                <c:pt idx="8">
                  <c:v>3.4227357168015655E-19</c:v>
                </c:pt>
                <c:pt idx="9">
                  <c:v>2.8517980706429724E-18</c:v>
                </c:pt>
                <c:pt idx="10">
                  <c:v>1.8999999999999887E-17</c:v>
                </c:pt>
                <c:pt idx="11">
                  <c:v>1.0563842895635179E-16</c:v>
                </c:pt>
                <c:pt idx="12">
                  <c:v>5.0584333233681914E-16</c:v>
                </c:pt>
                <c:pt idx="13">
                  <c:v>2.1366527320871942E-15</c:v>
                </c:pt>
                <c:pt idx="14">
                  <c:v>8.1106982300020969E-15</c:v>
                </c:pt>
                <c:pt idx="15">
                  <c:v>2.8079945720672506E-14</c:v>
                </c:pt>
                <c:pt idx="16">
                  <c:v>8.9724963174522782E-14</c:v>
                </c:pt>
                <c:pt idx="17">
                  <c:v>2.6719860458928741E-13</c:v>
                </c:pt>
                <c:pt idx="18">
                  <c:v>7.4758175343063519E-13</c:v>
                </c:pt>
                <c:pt idx="19">
                  <c:v>1.9784196556603187E-12</c:v>
                </c:pt>
                <c:pt idx="20">
                  <c:v>4.9807360000000139E-12</c:v>
                </c:pt>
                <c:pt idx="21">
                  <c:v>1.1986735055537662E-11</c:v>
                </c:pt>
                <c:pt idx="22">
                  <c:v>2.7692480320334123E-11</c:v>
                </c:pt>
                <c:pt idx="23">
                  <c:v>6.163886728800987E-11</c:v>
                </c:pt>
                <c:pt idx="24">
                  <c:v>1.3260379451210425E-10</c:v>
                </c:pt>
                <c:pt idx="25">
                  <c:v>2.7648638933897122E-10</c:v>
                </c:pt>
                <c:pt idx="26">
                  <c:v>5.6011069380026834E-10</c:v>
                </c:pt>
                <c:pt idx="27">
                  <c:v>1.1048450030577652E-9</c:v>
                </c:pt>
                <c:pt idx="28">
                  <c:v>2.1261708768056805E-9</c:v>
                </c:pt>
                <c:pt idx="29">
                  <c:v>3.9986884029382926E-9</c:v>
                </c:pt>
                <c:pt idx="30">
                  <c:v>7.3609892910000371E-9</c:v>
                </c:pt>
                <c:pt idx="31">
                  <c:v>1.328201877998192E-8</c:v>
                </c:pt>
                <c:pt idx="32">
                  <c:v>2.3520860746422388E-8</c:v>
                </c:pt>
                <c:pt idx="33">
                  <c:v>4.0926491803462161E-8</c:v>
                </c:pt>
                <c:pt idx="34">
                  <c:v>7.004451100145453E-8</c:v>
                </c:pt>
                <c:pt idx="35">
                  <c:v>1.1802619308585671E-7</c:v>
                </c:pt>
                <c:pt idx="36">
                  <c:v>1.9597407117132144E-7</c:v>
                </c:pt>
                <c:pt idx="37">
                  <c:v>3.2091102240070501E-7</c:v>
                </c:pt>
                <c:pt idx="38">
                  <c:v>5.1863084221342124E-7</c:v>
                </c:pt>
                <c:pt idx="39">
                  <c:v>8.2778304628841297E-7</c:v>
                </c:pt>
                <c:pt idx="40">
                  <c:v>1.3056700579840104E-6</c:v>
                </c:pt>
                <c:pt idx="41">
                  <c:v>2.0363996883831183E-6</c:v>
                </c:pt>
                <c:pt idx="42">
                  <c:v>3.1422506743988699E-6</c:v>
                </c:pt>
                <c:pt idx="43">
                  <c:v>4.799387337896511E-6</c:v>
                </c:pt>
                <c:pt idx="44">
                  <c:v>7.2594175610937191E-6</c:v>
                </c:pt>
                <c:pt idx="45">
                  <c:v>1.0878746302196538E-5</c:v>
                </c:pt>
                <c:pt idx="46">
                  <c:v>1.6158259226348168E-5</c:v>
                </c:pt>
                <c:pt idx="47">
                  <c:v>2.3796607300717446E-5</c:v>
                </c:pt>
                <c:pt idx="48">
                  <c:v>3.4761289108581118E-5</c:v>
                </c:pt>
                <c:pt idx="49">
                  <c:v>5.0382886071333906E-5</c:v>
                </c:pt>
                <c:pt idx="50">
                  <c:v>7.2479248046875637E-5</c:v>
                </c:pt>
                <c:pt idx="51">
                  <c:v>1.0351821405009977E-4</c:v>
                </c:pt>
                <c:pt idx="52">
                  <c:v>1.4682965771557752E-4</c:v>
                </c:pt>
                <c:pt idx="53">
                  <c:v>2.0688035547387695E-4</c:v>
                </c:pt>
                <c:pt idx="54">
                  <c:v>2.8962848848157626E-4</c:v>
                </c:pt>
                <c:pt idx="55">
                  <c:v>4.0297862608472195E-4</c:v>
                </c:pt>
                <c:pt idx="56">
                  <c:v>5.5736293832935112E-4</c:v>
                </c:pt>
                <c:pt idx="57">
                  <c:v>7.6648031044313663E-4</c:v>
                </c:pt>
                <c:pt idx="58">
                  <c:v>1.0482321726998593E-3</c:v>
                </c:pt>
                <c:pt idx="59">
                  <c:v>1.425902434526639E-3</c:v>
                </c:pt>
                <c:pt idx="60">
                  <c:v>1.9296391766999202E-3</c:v>
                </c:pt>
                <c:pt idx="61">
                  <c:v>2.5983080039704331E-3</c:v>
                </c:pt>
                <c:pt idx="62">
                  <c:v>3.4818015310595922E-3</c:v>
                </c:pt>
                <c:pt idx="63">
                  <c:v>4.6439067567298617E-3</c:v>
                </c:pt>
                <c:pt idx="64">
                  <c:v>6.1658525195101609E-3</c:v>
                </c:pt>
                <c:pt idx="65">
                  <c:v>8.1506833346832678E-3</c:v>
                </c:pt>
                <c:pt idx="66">
                  <c:v>1.0728634267326793E-2</c:v>
                </c:pt>
                <c:pt idx="67">
                  <c:v>1.4063714763278961E-2</c:v>
                </c:pt>
                <c:pt idx="68">
                  <c:v>1.8361748291965338E-2</c:v>
                </c:pt>
                <c:pt idx="69">
                  <c:v>2.3880160106127084E-2</c:v>
                </c:pt>
                <c:pt idx="70">
                  <c:v>3.0939858360298871E-2</c:v>
                </c:pt>
                <c:pt idx="71">
                  <c:v>3.993961534446322E-2</c:v>
                </c:pt>
                <c:pt idx="72">
                  <c:v>5.137342691313506E-2</c:v>
                </c:pt>
                <c:pt idx="73">
                  <c:v>6.5851410709433761E-2</c:v>
                </c:pt>
                <c:pt idx="74">
                  <c:v>8.4124899056210692E-2</c:v>
                </c:pt>
                <c:pt idx="75">
                  <c:v>0.10711649215954931</c:v>
                </c:pt>
                <c:pt idx="76">
                  <c:v>0.13595596350119543</c:v>
                </c:pt>
                <c:pt idx="77">
                  <c:v>0.1720230541744231</c:v>
                </c:pt>
                <c:pt idx="78">
                  <c:v>0.21699835888623006</c:v>
                </c:pt>
                <c:pt idx="79">
                  <c:v>0.2729236961320376</c:v>
                </c:pt>
                <c:pt idx="80">
                  <c:v>0.34227357168016126</c:v>
                </c:pt>
                <c:pt idx="81">
                  <c:v>0.428039591353849</c:v>
                </c:pt>
                <c:pt idx="82">
                  <c:v>0.53382995991150617</c:v>
                </c:pt>
                <c:pt idx="83">
                  <c:v>0.66398652175037742</c:v>
                </c:pt>
                <c:pt idx="84">
                  <c:v>0.82372216078962046</c:v>
                </c:pt>
                <c:pt idx="85">
                  <c:v>1.0192817863055794</c:v>
                </c:pt>
                <c:pt idx="86">
                  <c:v>1.258130594305545</c:v>
                </c:pt>
                <c:pt idx="87">
                  <c:v>1.5491738164249911</c:v>
                </c:pt>
                <c:pt idx="88">
                  <c:v>1.9030127571353548</c:v>
                </c:pt>
                <c:pt idx="89">
                  <c:v>2.3322425827580306</c:v>
                </c:pt>
                <c:pt idx="90">
                  <c:v>2.8517980706430159</c:v>
                </c:pt>
                <c:pt idx="91">
                  <c:v>3.4793543629433321</c:v>
                </c:pt>
                <c:pt idx="92">
                  <c:v>4.235790706631823</c:v>
                </c:pt>
                <c:pt idx="93">
                  <c:v>5.1457262106478137</c:v>
                </c:pt>
                <c:pt idx="94">
                  <c:v>6.2381378242392911</c:v>
                </c:pt>
                <c:pt idx="95">
                  <c:v>7.5470720507062401</c:v>
                </c:pt>
                <c:pt idx="96">
                  <c:v>9.1124633720799082</c:v>
                </c:pt>
                <c:pt idx="97">
                  <c:v>10.981073988317906</c:v>
                </c:pt>
                <c:pt idx="98">
                  <c:v>13.207571286283782</c:v>
                </c:pt>
                <c:pt idx="99">
                  <c:v>15.855761467551851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E9-F246-8F6D-AF204941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Sheet2!$H$172:$H$272</c:f>
              <c:numCache>
                <c:formatCode>0.00</c:formatCode>
                <c:ptCount val="101"/>
                <c:pt idx="0">
                  <c:v>0</c:v>
                </c:pt>
                <c:pt idx="1">
                  <c:v>2.8828657213730291</c:v>
                </c:pt>
                <c:pt idx="2">
                  <c:v>4.8517608806756174</c:v>
                </c:pt>
                <c:pt idx="3">
                  <c:v>6.1131752099913399</c:v>
                </c:pt>
                <c:pt idx="4">
                  <c:v>6.8343475290598503</c:v>
                </c:pt>
                <c:pt idx="5">
                  <c:v>7.1498577322479315</c:v>
                </c:pt>
                <c:pt idx="6">
                  <c:v>7.1672221810408043</c:v>
                </c:pt>
                <c:pt idx="7">
                  <c:v>6.9716290595872774</c:v>
                </c:pt>
                <c:pt idx="8">
                  <c:v>6.6299332799453854</c:v>
                </c:pt>
                <c:pt idx="9">
                  <c:v>6.1940154593056382</c:v>
                </c:pt>
                <c:pt idx="10">
                  <c:v>5.7035961412859653</c:v>
                </c:pt>
                <c:pt idx="11">
                  <c:v>5.1885846223155596</c:v>
                </c:pt>
                <c:pt idx="12">
                  <c:v>4.6710313129685428</c:v>
                </c:pt>
                <c:pt idx="13">
                  <c:v>4.1667433683154469</c:v>
                </c:pt>
                <c:pt idx="14">
                  <c:v>3.6866152298255077</c:v>
                </c:pt>
                <c:pt idx="15">
                  <c:v>3.2377186153235678</c:v>
                </c:pt>
                <c:pt idx="16">
                  <c:v>2.8241902655643805</c:v>
                </c:pt>
                <c:pt idx="17">
                  <c:v>2.4479503091037738</c:v>
                </c:pt>
                <c:pt idx="18">
                  <c:v>2.1092793537966585</c:v>
                </c:pt>
                <c:pt idx="19">
                  <c:v>1.8072782746051186</c:v>
                </c:pt>
                <c:pt idx="20">
                  <c:v>1.5402310725607078</c:v>
                </c:pt>
                <c:pt idx="21">
                  <c:v>1.3058880650368225</c:v>
                </c:pt>
                <c:pt idx="22">
                  <c:v>1.1016839758839243</c:v>
                </c:pt>
                <c:pt idx="23">
                  <c:v>0.92490317439234104</c:v>
                </c:pt>
                <c:pt idx="24">
                  <c:v>0.77280231884889139</c:v>
                </c:pt>
                <c:pt idx="25">
                  <c:v>0.64269895295728829</c:v>
                </c:pt>
                <c:pt idx="26">
                  <c:v>0.53203314538251545</c:v>
                </c:pt>
                <c:pt idx="27">
                  <c:v>0.43840802198334822</c:v>
                </c:pt>
                <c:pt idx="28">
                  <c:v>0.35961398839194109</c:v>
                </c:pt>
                <c:pt idx="29">
                  <c:v>0.29364055225083885</c:v>
                </c:pt>
                <c:pt idx="30">
                  <c:v>0.23867890735087394</c:v>
                </c:pt>
                <c:pt idx="31">
                  <c:v>0.19311781651041646</c:v>
                </c:pt>
                <c:pt idx="32">
                  <c:v>0.15553480906135136</c:v>
                </c:pt>
                <c:pt idx="33">
                  <c:v>0.12468427715503881</c:v>
                </c:pt>
                <c:pt idx="34">
                  <c:v>9.9483699569756293E-2</c:v>
                </c:pt>
                <c:pt idx="35">
                  <c:v>7.8998930782313848E-2</c:v>
                </c:pt>
                <c:pt idx="36">
                  <c:v>6.2429256760039582E-2</c:v>
                </c:pt>
                <c:pt idx="37">
                  <c:v>4.9092728571143628E-2</c:v>
                </c:pt>
                <c:pt idx="38">
                  <c:v>3.8412133020076247E-2</c:v>
                </c:pt>
                <c:pt idx="39">
                  <c:v>2.990183965224948E-2</c:v>
                </c:pt>
                <c:pt idx="40">
                  <c:v>2.3155670120398777E-2</c:v>
                </c:pt>
                <c:pt idx="41">
                  <c:v>1.7835864350519384E-2</c:v>
                </c:pt>
                <c:pt idx="42">
                  <c:v>1.3663164182087616E-2</c:v>
                </c:pt>
                <c:pt idx="43">
                  <c:v>1.0407995794438267E-2</c:v>
                </c:pt>
                <c:pt idx="44">
                  <c:v>7.8827044135149765E-3</c:v>
                </c:pt>
                <c:pt idx="45">
                  <c:v>5.934776129611268E-3</c:v>
                </c:pt>
                <c:pt idx="46">
                  <c:v>4.4409701567174314E-3</c:v>
                </c:pt>
                <c:pt idx="47">
                  <c:v>3.3022788817150465E-3</c:v>
                </c:pt>
                <c:pt idx="48">
                  <c:v>2.4396312358895551E-3</c:v>
                </c:pt>
                <c:pt idx="49">
                  <c:v>1.7902561723958195E-3</c:v>
                </c:pt>
                <c:pt idx="50">
                  <c:v>1.3046264648437398E-3</c:v>
                </c:pt>
                <c:pt idx="51">
                  <c:v>9.4390794721395594E-4</c:v>
                </c:pt>
                <c:pt idx="52">
                  <c:v>6.7784513761731918E-4</c:v>
                </c:pt>
                <c:pt idx="53">
                  <c:v>4.8302049712519362E-4</c:v>
                </c:pt>
                <c:pt idx="54">
                  <c:v>3.4143104278282893E-4</c:v>
                </c:pt>
                <c:pt idx="55">
                  <c:v>2.3933241864831928E-4</c:v>
                </c:pt>
                <c:pt idx="56">
                  <c:v>1.6630665685414366E-4</c:v>
                </c:pt>
                <c:pt idx="57">
                  <c:v>1.1451561415538861E-4</c:v>
                </c:pt>
                <c:pt idx="58">
                  <c:v>7.8107373906484689E-5</c:v>
                </c:pt>
                <c:pt idx="59">
                  <c:v>5.2747718757629954E-5</c:v>
                </c:pt>
                <c:pt idx="60">
                  <c:v>3.5253091565567536E-5</c:v>
                </c:pt>
                <c:pt idx="61">
                  <c:v>2.3305276533965578E-5</c:v>
                </c:pt>
                <c:pt idx="62">
                  <c:v>1.5231368945004397E-5</c:v>
                </c:pt>
                <c:pt idx="63">
                  <c:v>9.8354891730376207E-6</c:v>
                </c:pt>
                <c:pt idx="64">
                  <c:v>6.2711702774821344E-6</c:v>
                </c:pt>
                <c:pt idx="65">
                  <c:v>3.9454470260128212E-6</c:v>
                </c:pt>
                <c:pt idx="66">
                  <c:v>2.4474376196978241E-6</c:v>
                </c:pt>
                <c:pt idx="67">
                  <c:v>1.4956772459083025E-6</c:v>
                </c:pt>
                <c:pt idx="68">
                  <c:v>8.9967292355062761E-7</c:v>
                </c:pt>
                <c:pt idx="69">
                  <c:v>5.321376556366835E-7</c:v>
                </c:pt>
                <c:pt idx="70">
                  <c:v>3.0916155022199337E-7</c:v>
                </c:pt>
                <c:pt idx="71">
                  <c:v>1.762180613432762E-7</c:v>
                </c:pt>
                <c:pt idx="72">
                  <c:v>9.8411337726431204E-8</c:v>
                </c:pt>
                <c:pt idx="73">
                  <c:v>5.3769123482142992E-8</c:v>
                </c:pt>
                <c:pt idx="74">
                  <c:v>2.8694901697766655E-8</c:v>
                </c:pt>
                <c:pt idx="75">
                  <c:v>1.4930265024303897E-8</c:v>
                </c:pt>
                <c:pt idx="76">
                  <c:v>7.5584162871896186E-9</c:v>
                </c:pt>
                <c:pt idx="77">
                  <c:v>3.7144117417903676E-9</c:v>
                </c:pt>
                <c:pt idx="78">
                  <c:v>1.7672837440794296E-9</c:v>
                </c:pt>
                <c:pt idx="79">
                  <c:v>8.1167320233208905E-10</c:v>
                </c:pt>
                <c:pt idx="80">
                  <c:v>3.5861299199998618E-10</c:v>
                </c:pt>
                <c:pt idx="81">
                  <c:v>1.5181767673434756E-10</c:v>
                </c:pt>
                <c:pt idx="82">
                  <c:v>6.1301703781309239E-11</c:v>
                </c:pt>
                <c:pt idx="83">
                  <c:v>2.3482042073904373E-11</c:v>
                </c:pt>
                <c:pt idx="84">
                  <c:v>8.4790090199919853E-12</c:v>
                </c:pt>
                <c:pt idx="85">
                  <c:v>2.8641544635084303E-12</c:v>
                </c:pt>
                <c:pt idx="86">
                  <c:v>8.9681149000303686E-13</c:v>
                </c:pt>
                <c:pt idx="87">
                  <c:v>2.5738447526525443E-13</c:v>
                </c:pt>
                <c:pt idx="88">
                  <c:v>6.6771319868454924E-14</c:v>
                </c:pt>
                <c:pt idx="89">
                  <c:v>1.5384796653460006E-14</c:v>
                </c:pt>
                <c:pt idx="90">
                  <c:v>3.0779999999997084E-15</c:v>
                </c:pt>
                <c:pt idx="91">
                  <c:v>5.1902724885696577E-16</c:v>
                </c:pt>
                <c:pt idx="92">
                  <c:v>7.0850629337783298E-17</c:v>
                </c:pt>
                <c:pt idx="93">
                  <c:v>7.3990461278760641E-18</c:v>
                </c:pt>
                <c:pt idx="94">
                  <c:v>5.4415824782927726E-19</c:v>
                </c:pt>
                <c:pt idx="95">
                  <c:v>2.4787902832026111E-20</c:v>
                </c:pt>
                <c:pt idx="96">
                  <c:v>5.6404946504893344E-22</c:v>
                </c:pt>
                <c:pt idx="97">
                  <c:v>4.2840957673604145E-24</c:v>
                </c:pt>
                <c:pt idx="98">
                  <c:v>4.3930091519975902E-27</c:v>
                </c:pt>
                <c:pt idx="99">
                  <c:v>3.3857999999962023E-32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3-A848-B4EE-22850CD8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6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Sheet2!$C$172:$C$272</c:f>
              <c:numCache>
                <c:formatCode>0.00</c:formatCode>
                <c:ptCount val="101"/>
                <c:pt idx="0">
                  <c:v>0</c:v>
                </c:pt>
                <c:pt idx="1">
                  <c:v>1.9000000000000051E-35</c:v>
                </c:pt>
                <c:pt idx="2">
                  <c:v>4.9807360000000387E-30</c:v>
                </c:pt>
                <c:pt idx="3">
                  <c:v>7.3609892909999698E-27</c:v>
                </c:pt>
                <c:pt idx="4">
                  <c:v>1.3056700579840076E-24</c:v>
                </c:pt>
                <c:pt idx="5">
                  <c:v>7.2479248046875226E-23</c:v>
                </c:pt>
                <c:pt idx="6">
                  <c:v>1.9296391766999059E-21</c:v>
                </c:pt>
                <c:pt idx="7">
                  <c:v>3.0939858360298587E-20</c:v>
                </c:pt>
                <c:pt idx="8">
                  <c:v>3.4227357168015655E-19</c:v>
                </c:pt>
                <c:pt idx="9">
                  <c:v>2.8517980706429724E-18</c:v>
                </c:pt>
                <c:pt idx="10">
                  <c:v>1.8999999999999887E-17</c:v>
                </c:pt>
                <c:pt idx="11">
                  <c:v>1.0563842895635179E-16</c:v>
                </c:pt>
                <c:pt idx="12">
                  <c:v>5.0584333233681914E-16</c:v>
                </c:pt>
                <c:pt idx="13">
                  <c:v>2.1366527320871942E-15</c:v>
                </c:pt>
                <c:pt idx="14">
                  <c:v>8.1106982300020969E-15</c:v>
                </c:pt>
                <c:pt idx="15">
                  <c:v>2.8079945720672506E-14</c:v>
                </c:pt>
                <c:pt idx="16">
                  <c:v>8.9724963174522782E-14</c:v>
                </c:pt>
                <c:pt idx="17">
                  <c:v>2.6719860458928741E-13</c:v>
                </c:pt>
                <c:pt idx="18">
                  <c:v>7.4758175343063519E-13</c:v>
                </c:pt>
                <c:pt idx="19">
                  <c:v>1.9784196556603187E-12</c:v>
                </c:pt>
                <c:pt idx="20">
                  <c:v>4.9807360000000139E-12</c:v>
                </c:pt>
                <c:pt idx="21">
                  <c:v>1.1986735055537662E-11</c:v>
                </c:pt>
                <c:pt idx="22">
                  <c:v>2.7692480320334123E-11</c:v>
                </c:pt>
                <c:pt idx="23">
                  <c:v>6.163886728800987E-11</c:v>
                </c:pt>
                <c:pt idx="24">
                  <c:v>1.3260379451210425E-10</c:v>
                </c:pt>
                <c:pt idx="25">
                  <c:v>2.7648638933897122E-10</c:v>
                </c:pt>
                <c:pt idx="26">
                  <c:v>5.6011069380026834E-10</c:v>
                </c:pt>
                <c:pt idx="27">
                  <c:v>1.1048450030577652E-9</c:v>
                </c:pt>
                <c:pt idx="28">
                  <c:v>2.1261708768056805E-9</c:v>
                </c:pt>
                <c:pt idx="29">
                  <c:v>3.9986884029382926E-9</c:v>
                </c:pt>
                <c:pt idx="30">
                  <c:v>7.3609892910000371E-9</c:v>
                </c:pt>
                <c:pt idx="31">
                  <c:v>1.328201877998192E-8</c:v>
                </c:pt>
                <c:pt idx="32">
                  <c:v>2.3520860746422388E-8</c:v>
                </c:pt>
                <c:pt idx="33">
                  <c:v>4.0926491803462161E-8</c:v>
                </c:pt>
                <c:pt idx="34">
                  <c:v>7.004451100145453E-8</c:v>
                </c:pt>
                <c:pt idx="35">
                  <c:v>1.1802619308585671E-7</c:v>
                </c:pt>
                <c:pt idx="36">
                  <c:v>1.9597407117132144E-7</c:v>
                </c:pt>
                <c:pt idx="37">
                  <c:v>3.2091102240070501E-7</c:v>
                </c:pt>
                <c:pt idx="38">
                  <c:v>5.1863084221342124E-7</c:v>
                </c:pt>
                <c:pt idx="39">
                  <c:v>8.2778304628841297E-7</c:v>
                </c:pt>
                <c:pt idx="40">
                  <c:v>1.3056700579840104E-6</c:v>
                </c:pt>
                <c:pt idx="41">
                  <c:v>2.0363996883831183E-6</c:v>
                </c:pt>
                <c:pt idx="42">
                  <c:v>3.1422506743988699E-6</c:v>
                </c:pt>
                <c:pt idx="43">
                  <c:v>4.799387337896511E-6</c:v>
                </c:pt>
                <c:pt idx="44">
                  <c:v>7.2594175610937191E-6</c:v>
                </c:pt>
                <c:pt idx="45">
                  <c:v>1.0878746302196538E-5</c:v>
                </c:pt>
                <c:pt idx="46">
                  <c:v>1.6158259226348168E-5</c:v>
                </c:pt>
                <c:pt idx="47">
                  <c:v>2.3796607300717446E-5</c:v>
                </c:pt>
                <c:pt idx="48">
                  <c:v>3.4761289108581118E-5</c:v>
                </c:pt>
                <c:pt idx="49">
                  <c:v>5.0382886071333906E-5</c:v>
                </c:pt>
                <c:pt idx="50">
                  <c:v>7.2479248046875637E-5</c:v>
                </c:pt>
                <c:pt idx="51">
                  <c:v>1.0351821405009977E-4</c:v>
                </c:pt>
                <c:pt idx="52">
                  <c:v>1.4682965771557752E-4</c:v>
                </c:pt>
                <c:pt idx="53">
                  <c:v>2.0688035547387695E-4</c:v>
                </c:pt>
                <c:pt idx="54">
                  <c:v>2.8962848848157626E-4</c:v>
                </c:pt>
                <c:pt idx="55">
                  <c:v>4.0297862608472195E-4</c:v>
                </c:pt>
                <c:pt idx="56">
                  <c:v>5.5736293832935112E-4</c:v>
                </c:pt>
                <c:pt idx="57">
                  <c:v>7.6648031044313663E-4</c:v>
                </c:pt>
                <c:pt idx="58">
                  <c:v>1.0482321726998593E-3</c:v>
                </c:pt>
                <c:pt idx="59">
                  <c:v>1.425902434526639E-3</c:v>
                </c:pt>
                <c:pt idx="60">
                  <c:v>1.9296391766999202E-3</c:v>
                </c:pt>
                <c:pt idx="61">
                  <c:v>2.5983080039704331E-3</c:v>
                </c:pt>
                <c:pt idx="62">
                  <c:v>3.4818015310595922E-3</c:v>
                </c:pt>
                <c:pt idx="63">
                  <c:v>4.6439067567298617E-3</c:v>
                </c:pt>
                <c:pt idx="64">
                  <c:v>6.1658525195101609E-3</c:v>
                </c:pt>
                <c:pt idx="65">
                  <c:v>8.1506833346832678E-3</c:v>
                </c:pt>
                <c:pt idx="66">
                  <c:v>1.0728634267326793E-2</c:v>
                </c:pt>
                <c:pt idx="67">
                  <c:v>1.4063714763278961E-2</c:v>
                </c:pt>
                <c:pt idx="68">
                  <c:v>1.8361748291965338E-2</c:v>
                </c:pt>
                <c:pt idx="69">
                  <c:v>2.3880160106127084E-2</c:v>
                </c:pt>
                <c:pt idx="70">
                  <c:v>3.0939858360298871E-2</c:v>
                </c:pt>
                <c:pt idx="71">
                  <c:v>3.993961534446322E-2</c:v>
                </c:pt>
                <c:pt idx="72">
                  <c:v>5.137342691313506E-2</c:v>
                </c:pt>
                <c:pt idx="73">
                  <c:v>6.5851410709433761E-2</c:v>
                </c:pt>
                <c:pt idx="74">
                  <c:v>8.4124899056210692E-2</c:v>
                </c:pt>
                <c:pt idx="75">
                  <c:v>0.10711649215954931</c:v>
                </c:pt>
                <c:pt idx="76">
                  <c:v>0.13595596350119543</c:v>
                </c:pt>
                <c:pt idx="77">
                  <c:v>0.1720230541744231</c:v>
                </c:pt>
                <c:pt idx="78">
                  <c:v>0.21699835888623006</c:v>
                </c:pt>
                <c:pt idx="79">
                  <c:v>0.2729236961320376</c:v>
                </c:pt>
                <c:pt idx="80">
                  <c:v>0.34227357168016126</c:v>
                </c:pt>
                <c:pt idx="81">
                  <c:v>0.428039591353849</c:v>
                </c:pt>
                <c:pt idx="82">
                  <c:v>0.53382995991150617</c:v>
                </c:pt>
                <c:pt idx="83">
                  <c:v>0.66398652175037742</c:v>
                </c:pt>
                <c:pt idx="84">
                  <c:v>0.82372216078962046</c:v>
                </c:pt>
                <c:pt idx="85">
                  <c:v>1.0192817863055794</c:v>
                </c:pt>
                <c:pt idx="86">
                  <c:v>1.258130594305545</c:v>
                </c:pt>
                <c:pt idx="87">
                  <c:v>1.5491738164249911</c:v>
                </c:pt>
                <c:pt idx="88">
                  <c:v>1.9030127571353548</c:v>
                </c:pt>
                <c:pt idx="89">
                  <c:v>2.3322425827580306</c:v>
                </c:pt>
                <c:pt idx="90">
                  <c:v>2.8517980706430159</c:v>
                </c:pt>
                <c:pt idx="91">
                  <c:v>3.4793543629433321</c:v>
                </c:pt>
                <c:pt idx="92">
                  <c:v>4.235790706631823</c:v>
                </c:pt>
                <c:pt idx="93">
                  <c:v>5.1457262106478137</c:v>
                </c:pt>
                <c:pt idx="94">
                  <c:v>6.2381378242392911</c:v>
                </c:pt>
                <c:pt idx="95">
                  <c:v>7.5470720507062401</c:v>
                </c:pt>
                <c:pt idx="96">
                  <c:v>9.1124633720799082</c:v>
                </c:pt>
                <c:pt idx="97">
                  <c:v>10.981073988317906</c:v>
                </c:pt>
                <c:pt idx="98">
                  <c:v>13.207571286283782</c:v>
                </c:pt>
                <c:pt idx="99">
                  <c:v>15.855761467551851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6-8640-AE23-3AE3788CF5F8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Sheet2!$D$172:$D$272</c:f>
              <c:numCache>
                <c:formatCode>0.00</c:formatCode>
                <c:ptCount val="101"/>
                <c:pt idx="0">
                  <c:v>0</c:v>
                </c:pt>
                <c:pt idx="1">
                  <c:v>9.0229625404936674E-26</c:v>
                </c:pt>
                <c:pt idx="2">
                  <c:v>3.3888940387239594E-20</c:v>
                </c:pt>
                <c:pt idx="3">
                  <c:v>5.6891882542424993E-17</c:v>
                </c:pt>
                <c:pt idx="4">
                  <c:v>1.0410915688638785E-14</c:v>
                </c:pt>
                <c:pt idx="5">
                  <c:v>5.6504459001828797E-13</c:v>
                </c:pt>
                <c:pt idx="6">
                  <c:v>1.4205342667235647E-11</c:v>
                </c:pt>
                <c:pt idx="7">
                  <c:v>2.0983077399315424E-10</c:v>
                </c:pt>
                <c:pt idx="8">
                  <c:v>2.0988019478028942E-9</c:v>
                </c:pt>
                <c:pt idx="9">
                  <c:v>1.5577843200581113E-8</c:v>
                </c:pt>
                <c:pt idx="10">
                  <c:v>9.1329188617706099E-8</c:v>
                </c:pt>
                <c:pt idx="11">
                  <c:v>4.4220538470488237E-7</c:v>
                </c:pt>
                <c:pt idx="12">
                  <c:v>1.8273769774532406E-6</c:v>
                </c:pt>
                <c:pt idx="13">
                  <c:v>6.6078182904748049E-6</c:v>
                </c:pt>
                <c:pt idx="14">
                  <c:v>2.1317229102789802E-5</c:v>
                </c:pt>
                <c:pt idx="15">
                  <c:v>6.2303502512440516E-5</c:v>
                </c:pt>
                <c:pt idx="16">
                  <c:v>1.6702111722645313E-4</c:v>
                </c:pt>
                <c:pt idx="17">
                  <c:v>4.1485135565821836E-4</c:v>
                </c:pt>
                <c:pt idx="18">
                  <c:v>9.6272551007666385E-4</c:v>
                </c:pt>
                <c:pt idx="19">
                  <c:v>2.1020037112605742E-3</c:v>
                </c:pt>
                <c:pt idx="20">
                  <c:v>4.3435526167586247E-3</c:v>
                </c:pt>
                <c:pt idx="21">
                  <c:v>8.5372168300701101E-3</c:v>
                </c:pt>
                <c:pt idx="22">
                  <c:v>1.6029360238695819E-2</c:v>
                </c:pt>
                <c:pt idx="23">
                  <c:v>2.8857496956992433E-2</c:v>
                </c:pt>
                <c:pt idx="24">
                  <c:v>4.9974186596088481E-2</c:v>
                </c:pt>
                <c:pt idx="25">
                  <c:v>8.3483728734924323E-2</c:v>
                </c:pt>
                <c:pt idx="26">
                  <c:v>0.13486565898137426</c:v>
                </c:pt>
                <c:pt idx="27">
                  <c:v>0.21115000623932928</c:v>
                </c:pt>
                <c:pt idx="28">
                  <c:v>0.32100244386923321</c:v>
                </c:pt>
                <c:pt idx="29">
                  <c:v>0.47467468842733329</c:v>
                </c:pt>
                <c:pt idx="30">
                  <c:v>0.68377839594679346</c:v>
                </c:pt>
                <c:pt idx="31">
                  <c:v>0.96085046429092502</c:v>
                </c:pt>
                <c:pt idx="32">
                  <c:v>1.3186943166805503</c:v>
                </c:pt>
                <c:pt idx="33">
                  <c:v>1.7695046150205485</c:v>
                </c:pt>
                <c:pt idx="34">
                  <c:v>2.3238100247581235</c:v>
                </c:pt>
                <c:pt idx="35">
                  <c:v>2.9892972281204786</c:v>
                </c:pt>
                <c:pt idx="36">
                  <c:v>3.7696057654646817</c:v>
                </c:pt>
                <c:pt idx="37">
                  <c:v>4.6632036265545018</c:v>
                </c:pt>
                <c:pt idx="38">
                  <c:v>5.6624642466872626</c:v>
                </c:pt>
                <c:pt idx="39">
                  <c:v>6.7530639497866805</c:v>
                </c:pt>
                <c:pt idx="40">
                  <c:v>7.91380349829201</c:v>
                </c:pt>
                <c:pt idx="41">
                  <c:v>9.1169284814691842</c:v>
                </c:pt>
                <c:pt idx="42">
                  <c:v>10.328982794076364</c:v>
                </c:pt>
                <c:pt idx="43">
                  <c:v>11.512181072450177</c:v>
                </c:pt>
                <c:pt idx="44">
                  <c:v>12.626234603983255</c:v>
                </c:pt>
                <c:pt idx="45">
                  <c:v>13.630516579341604</c:v>
                </c:pt>
                <c:pt idx="46">
                  <c:v>14.486412324833633</c:v>
                </c:pt>
                <c:pt idx="47">
                  <c:v>15.159673353306575</c:v>
                </c:pt>
                <c:pt idx="48">
                  <c:v>15.622584362153434</c:v>
                </c:pt>
                <c:pt idx="49">
                  <c:v>15.855761467551851</c:v>
                </c:pt>
                <c:pt idx="50">
                  <c:v>15.84942761869647</c:v>
                </c:pt>
                <c:pt idx="51">
                  <c:v>15.604054743820441</c:v>
                </c:pt>
                <c:pt idx="52">
                  <c:v>15.130317309364504</c:v>
                </c:pt>
                <c:pt idx="53">
                  <c:v>14.448362822081053</c:v>
                </c:pt>
                <c:pt idx="54">
                  <c:v>13.586464897050361</c:v>
                </c:pt>
                <c:pt idx="55">
                  <c:v>12.57917749245731</c:v>
                </c:pt>
                <c:pt idx="56">
                  <c:v>11.465149295429114</c:v>
                </c:pt>
                <c:pt idx="57">
                  <c:v>10.284781081143509</c:v>
                </c:pt>
                <c:pt idx="58">
                  <c:v>9.0779141796777338</c:v>
                </c:pt>
                <c:pt idx="59">
                  <c:v>7.8817251467939009</c:v>
                </c:pt>
                <c:pt idx="60">
                  <c:v>6.7289725832397718</c:v>
                </c:pt>
                <c:pt idx="61">
                  <c:v>5.6467007308973258</c:v>
                </c:pt>
                <c:pt idx="62">
                  <c:v>4.6554561000731978</c:v>
                </c:pt>
                <c:pt idx="63">
                  <c:v>3.7690235399717404</c:v>
                </c:pt>
                <c:pt idx="64">
                  <c:v>2.9946422236014114</c:v>
                </c:pt>
                <c:pt idx="65">
                  <c:v>2.3336244937806625</c:v>
                </c:pt>
                <c:pt idx="66">
                  <c:v>1.7822745822591468</c:v>
                </c:pt>
                <c:pt idx="67">
                  <c:v>1.3329914215415488</c:v>
                </c:pt>
                <c:pt idx="68">
                  <c:v>0.97543999981687435</c:v>
                </c:pt>
                <c:pt idx="69">
                  <c:v>0.69768734495086515</c:v>
                </c:pt>
                <c:pt idx="70">
                  <c:v>0.48721949913020535</c:v>
                </c:pt>
                <c:pt idx="71">
                  <c:v>0.33178132229577229</c:v>
                </c:pt>
                <c:pt idx="72">
                  <c:v>0.22000804037958591</c:v>
                </c:pt>
                <c:pt idx="73">
                  <c:v>0.1418428537226496</c:v>
                </c:pt>
                <c:pt idx="74">
                  <c:v>8.8756063065188642E-2</c:v>
                </c:pt>
                <c:pt idx="75">
                  <c:v>5.3796415144768656E-2</c:v>
                </c:pt>
                <c:pt idx="76">
                  <c:v>3.1514091659309136E-2</c:v>
                </c:pt>
                <c:pt idx="77">
                  <c:v>1.7797274661792713E-2</c:v>
                </c:pt>
                <c:pt idx="78">
                  <c:v>9.6615636749996393E-3</c:v>
                </c:pt>
                <c:pt idx="79">
                  <c:v>5.0251981734421389E-3</c:v>
                </c:pt>
                <c:pt idx="80">
                  <c:v>2.494715872856761E-3</c:v>
                </c:pt>
                <c:pt idx="81">
                  <c:v>1.1769036542033388E-3</c:v>
                </c:pt>
                <c:pt idx="82">
                  <c:v>5.2491132268589686E-4</c:v>
                </c:pt>
                <c:pt idx="83">
                  <c:v>2.2000920171087566E-4</c:v>
                </c:pt>
                <c:pt idx="84">
                  <c:v>8.604143858700711E-5</c:v>
                </c:pt>
                <c:pt idx="85">
                  <c:v>3.1130163050266805E-5</c:v>
                </c:pt>
                <c:pt idx="86">
                  <c:v>1.0312942266190914E-5</c:v>
                </c:pt>
                <c:pt idx="87">
                  <c:v>3.0890698709183633E-6</c:v>
                </c:pt>
                <c:pt idx="88">
                  <c:v>8.2358338892079059E-7</c:v>
                </c:pt>
                <c:pt idx="89">
                  <c:v>1.9161305628324925E-7</c:v>
                </c:pt>
                <c:pt idx="90">
                  <c:v>3.7923865317015682E-8</c:v>
                </c:pt>
                <c:pt idx="91">
                  <c:v>6.1743006765223902E-9</c:v>
                </c:pt>
                <c:pt idx="92">
                  <c:v>7.9011866711609914E-10</c:v>
                </c:pt>
                <c:pt idx="93">
                  <c:v>7.456160005321119E-11</c:v>
                </c:pt>
                <c:pt idx="94">
                  <c:v>4.7256447789997147E-12</c:v>
                </c:pt>
                <c:pt idx="95">
                  <c:v>1.7401283428481755E-13</c:v>
                </c:pt>
                <c:pt idx="96">
                  <c:v>2.9201451064178781E-15</c:v>
                </c:pt>
                <c:pt idx="97">
                  <c:v>1.4164136810037825E-17</c:v>
                </c:pt>
                <c:pt idx="98">
                  <c:v>7.1446269569051658E-21</c:v>
                </c:pt>
                <c:pt idx="99">
                  <c:v>1.4358037276727099E-26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6-8640-AE23-3AE3788C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Sheet2!$H$172:$H$272</c:f>
              <c:numCache>
                <c:formatCode>0.00</c:formatCode>
                <c:ptCount val="101"/>
                <c:pt idx="0">
                  <c:v>0</c:v>
                </c:pt>
                <c:pt idx="1">
                  <c:v>2.8828657213730291</c:v>
                </c:pt>
                <c:pt idx="2">
                  <c:v>4.8517608806756174</c:v>
                </c:pt>
                <c:pt idx="3">
                  <c:v>6.1131752099913399</c:v>
                </c:pt>
                <c:pt idx="4">
                  <c:v>6.8343475290598503</c:v>
                </c:pt>
                <c:pt idx="5">
                  <c:v>7.1498577322479315</c:v>
                </c:pt>
                <c:pt idx="6">
                  <c:v>7.1672221810408043</c:v>
                </c:pt>
                <c:pt idx="7">
                  <c:v>6.9716290595872774</c:v>
                </c:pt>
                <c:pt idx="8">
                  <c:v>6.6299332799453854</c:v>
                </c:pt>
                <c:pt idx="9">
                  <c:v>6.1940154593056382</c:v>
                </c:pt>
                <c:pt idx="10">
                  <c:v>5.7035961412859653</c:v>
                </c:pt>
                <c:pt idx="11">
                  <c:v>5.1885846223155596</c:v>
                </c:pt>
                <c:pt idx="12">
                  <c:v>4.6710313129685428</c:v>
                </c:pt>
                <c:pt idx="13">
                  <c:v>4.1667433683154469</c:v>
                </c:pt>
                <c:pt idx="14">
                  <c:v>3.6866152298255077</c:v>
                </c:pt>
                <c:pt idx="15">
                  <c:v>3.2377186153235678</c:v>
                </c:pt>
                <c:pt idx="16">
                  <c:v>2.8241902655643805</c:v>
                </c:pt>
                <c:pt idx="17">
                  <c:v>2.4479503091037738</c:v>
                </c:pt>
                <c:pt idx="18">
                  <c:v>2.1092793537966585</c:v>
                </c:pt>
                <c:pt idx="19">
                  <c:v>1.8072782746051186</c:v>
                </c:pt>
                <c:pt idx="20">
                  <c:v>1.5402310725607078</c:v>
                </c:pt>
                <c:pt idx="21">
                  <c:v>1.3058880650368225</c:v>
                </c:pt>
                <c:pt idx="22">
                  <c:v>1.1016839758839243</c:v>
                </c:pt>
                <c:pt idx="23">
                  <c:v>0.92490317439234104</c:v>
                </c:pt>
                <c:pt idx="24">
                  <c:v>0.77280231884889139</c:v>
                </c:pt>
                <c:pt idx="25">
                  <c:v>0.64269895295728829</c:v>
                </c:pt>
                <c:pt idx="26">
                  <c:v>0.53203314538251545</c:v>
                </c:pt>
                <c:pt idx="27">
                  <c:v>0.43840802198334822</c:v>
                </c:pt>
                <c:pt idx="28">
                  <c:v>0.35961398839194109</c:v>
                </c:pt>
                <c:pt idx="29">
                  <c:v>0.29364055225083885</c:v>
                </c:pt>
                <c:pt idx="30">
                  <c:v>0.23867890735087394</c:v>
                </c:pt>
                <c:pt idx="31">
                  <c:v>0.19311781651041646</c:v>
                </c:pt>
                <c:pt idx="32">
                  <c:v>0.15553480906135136</c:v>
                </c:pt>
                <c:pt idx="33">
                  <c:v>0.12468427715503881</c:v>
                </c:pt>
                <c:pt idx="34">
                  <c:v>9.9483699569756293E-2</c:v>
                </c:pt>
                <c:pt idx="35">
                  <c:v>7.8998930782313848E-2</c:v>
                </c:pt>
                <c:pt idx="36">
                  <c:v>6.2429256760039582E-2</c:v>
                </c:pt>
                <c:pt idx="37">
                  <c:v>4.9092728571143628E-2</c:v>
                </c:pt>
                <c:pt idx="38">
                  <c:v>3.8412133020076247E-2</c:v>
                </c:pt>
                <c:pt idx="39">
                  <c:v>2.990183965224948E-2</c:v>
                </c:pt>
                <c:pt idx="40">
                  <c:v>2.3155670120398777E-2</c:v>
                </c:pt>
                <c:pt idx="41">
                  <c:v>1.7835864350519384E-2</c:v>
                </c:pt>
                <c:pt idx="42">
                  <c:v>1.3663164182087616E-2</c:v>
                </c:pt>
                <c:pt idx="43">
                  <c:v>1.0407995794438267E-2</c:v>
                </c:pt>
                <c:pt idx="44">
                  <c:v>7.8827044135149765E-3</c:v>
                </c:pt>
                <c:pt idx="45">
                  <c:v>5.934776129611268E-3</c:v>
                </c:pt>
                <c:pt idx="46">
                  <c:v>4.4409701567174314E-3</c:v>
                </c:pt>
                <c:pt idx="47">
                  <c:v>3.3022788817150465E-3</c:v>
                </c:pt>
                <c:pt idx="48">
                  <c:v>2.4396312358895551E-3</c:v>
                </c:pt>
                <c:pt idx="49">
                  <c:v>1.7902561723958195E-3</c:v>
                </c:pt>
                <c:pt idx="50">
                  <c:v>1.3046264648437398E-3</c:v>
                </c:pt>
                <c:pt idx="51">
                  <c:v>9.4390794721395594E-4</c:v>
                </c:pt>
                <c:pt idx="52">
                  <c:v>6.7784513761731918E-4</c:v>
                </c:pt>
                <c:pt idx="53">
                  <c:v>4.8302049712519362E-4</c:v>
                </c:pt>
                <c:pt idx="54">
                  <c:v>3.4143104278282893E-4</c:v>
                </c:pt>
                <c:pt idx="55">
                  <c:v>2.3933241864831928E-4</c:v>
                </c:pt>
                <c:pt idx="56">
                  <c:v>1.6630665685414366E-4</c:v>
                </c:pt>
                <c:pt idx="57">
                  <c:v>1.1451561415538861E-4</c:v>
                </c:pt>
                <c:pt idx="58">
                  <c:v>7.8107373906484689E-5</c:v>
                </c:pt>
                <c:pt idx="59">
                  <c:v>5.2747718757629954E-5</c:v>
                </c:pt>
                <c:pt idx="60">
                  <c:v>3.5253091565567536E-5</c:v>
                </c:pt>
                <c:pt idx="61">
                  <c:v>2.3305276533965578E-5</c:v>
                </c:pt>
                <c:pt idx="62">
                  <c:v>1.5231368945004397E-5</c:v>
                </c:pt>
                <c:pt idx="63">
                  <c:v>9.8354891730376207E-6</c:v>
                </c:pt>
                <c:pt idx="64">
                  <c:v>6.2711702774821344E-6</c:v>
                </c:pt>
                <c:pt idx="65">
                  <c:v>3.9454470260128212E-6</c:v>
                </c:pt>
                <c:pt idx="66">
                  <c:v>2.4474376196978241E-6</c:v>
                </c:pt>
                <c:pt idx="67">
                  <c:v>1.4956772459083025E-6</c:v>
                </c:pt>
                <c:pt idx="68">
                  <c:v>8.9967292355062761E-7</c:v>
                </c:pt>
                <c:pt idx="69">
                  <c:v>5.321376556366835E-7</c:v>
                </c:pt>
                <c:pt idx="70">
                  <c:v>3.0916155022199337E-7</c:v>
                </c:pt>
                <c:pt idx="71">
                  <c:v>1.762180613432762E-7</c:v>
                </c:pt>
                <c:pt idx="72">
                  <c:v>9.8411337726431204E-8</c:v>
                </c:pt>
                <c:pt idx="73">
                  <c:v>5.3769123482142992E-8</c:v>
                </c:pt>
                <c:pt idx="74">
                  <c:v>2.8694901697766655E-8</c:v>
                </c:pt>
                <c:pt idx="75">
                  <c:v>1.4930265024303897E-8</c:v>
                </c:pt>
                <c:pt idx="76">
                  <c:v>7.5584162871896186E-9</c:v>
                </c:pt>
                <c:pt idx="77">
                  <c:v>3.7144117417903676E-9</c:v>
                </c:pt>
                <c:pt idx="78">
                  <c:v>1.7672837440794296E-9</c:v>
                </c:pt>
                <c:pt idx="79">
                  <c:v>8.1167320233208905E-10</c:v>
                </c:pt>
                <c:pt idx="80">
                  <c:v>3.5861299199998618E-10</c:v>
                </c:pt>
                <c:pt idx="81">
                  <c:v>1.5181767673434756E-10</c:v>
                </c:pt>
                <c:pt idx="82">
                  <c:v>6.1301703781309239E-11</c:v>
                </c:pt>
                <c:pt idx="83">
                  <c:v>2.3482042073904373E-11</c:v>
                </c:pt>
                <c:pt idx="84">
                  <c:v>8.4790090199919853E-12</c:v>
                </c:pt>
                <c:pt idx="85">
                  <c:v>2.8641544635084303E-12</c:v>
                </c:pt>
                <c:pt idx="86">
                  <c:v>8.9681149000303686E-13</c:v>
                </c:pt>
                <c:pt idx="87">
                  <c:v>2.5738447526525443E-13</c:v>
                </c:pt>
                <c:pt idx="88">
                  <c:v>6.6771319868454924E-14</c:v>
                </c:pt>
                <c:pt idx="89">
                  <c:v>1.5384796653460006E-14</c:v>
                </c:pt>
                <c:pt idx="90">
                  <c:v>3.0779999999997084E-15</c:v>
                </c:pt>
                <c:pt idx="91">
                  <c:v>5.1902724885696577E-16</c:v>
                </c:pt>
                <c:pt idx="92">
                  <c:v>7.0850629337783298E-17</c:v>
                </c:pt>
                <c:pt idx="93">
                  <c:v>7.3990461278760641E-18</c:v>
                </c:pt>
                <c:pt idx="94">
                  <c:v>5.4415824782927726E-19</c:v>
                </c:pt>
                <c:pt idx="95">
                  <c:v>2.4787902832026111E-20</c:v>
                </c:pt>
                <c:pt idx="96">
                  <c:v>5.6404946504893344E-22</c:v>
                </c:pt>
                <c:pt idx="97">
                  <c:v>4.2840957673604145E-24</c:v>
                </c:pt>
                <c:pt idx="98">
                  <c:v>4.3930091519975902E-27</c:v>
                </c:pt>
                <c:pt idx="99">
                  <c:v>3.3857999999962023E-32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A-0246-A41B-36421EB928D0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Sheet2!$I$172:$I$272</c:f>
              <c:numCache>
                <c:formatCode>0.00</c:formatCode>
                <c:ptCount val="101"/>
                <c:pt idx="0">
                  <c:v>0</c:v>
                </c:pt>
                <c:pt idx="1">
                  <c:v>2.390578901401812</c:v>
                </c:pt>
                <c:pt idx="2">
                  <c:v>5.0079403479686722</c:v>
                </c:pt>
                <c:pt idx="3">
                  <c:v>6.5957947658086331</c:v>
                </c:pt>
                <c:pt idx="4">
                  <c:v>7.1672221810408043</c:v>
                </c:pt>
                <c:pt idx="5">
                  <c:v>6.9963775624237146</c:v>
                </c:pt>
                <c:pt idx="6">
                  <c:v>6.3720308610677634</c:v>
                </c:pt>
                <c:pt idx="7">
                  <c:v>5.5248207262567073</c:v>
                </c:pt>
                <c:pt idx="8">
                  <c:v>4.6153314297814845</c:v>
                </c:pt>
                <c:pt idx="9">
                  <c:v>3.74349014763273</c:v>
                </c:pt>
                <c:pt idx="10">
                  <c:v>2.9635300987639246</c:v>
                </c:pt>
                <c:pt idx="11">
                  <c:v>2.2982990471079021</c:v>
                </c:pt>
                <c:pt idx="12">
                  <c:v>1.7508190316617334</c:v>
                </c:pt>
                <c:pt idx="13">
                  <c:v>1.312780623274838</c:v>
                </c:pt>
                <c:pt idx="14">
                  <c:v>0.97035462732892375</c:v>
                </c:pt>
                <c:pt idx="15">
                  <c:v>0.70790814520589429</c:v>
                </c:pt>
                <c:pt idx="16">
                  <c:v>0.51019944726426647</c:v>
                </c:pt>
                <c:pt idx="17">
                  <c:v>0.36353215887478391</c:v>
                </c:pt>
                <c:pt idx="18">
                  <c:v>0.25623723175376895</c:v>
                </c:pt>
                <c:pt idx="19">
                  <c:v>0.17874851710064008</c:v>
                </c:pt>
                <c:pt idx="20">
                  <c:v>0.12345410019820444</c:v>
                </c:pt>
                <c:pt idx="21">
                  <c:v>8.4442093802993126E-2</c:v>
                </c:pt>
                <c:pt idx="22">
                  <c:v>5.7213936037516719E-2</c:v>
                </c:pt>
                <c:pt idx="23">
                  <c:v>3.8406871535315391E-2</c:v>
                </c:pt>
                <c:pt idx="24">
                  <c:v>2.5546696271204001E-2</c:v>
                </c:pt>
                <c:pt idx="25">
                  <c:v>1.6838988494568635E-2</c:v>
                </c:pt>
                <c:pt idx="26">
                  <c:v>1.099952557499443E-2</c:v>
                </c:pt>
                <c:pt idx="27">
                  <c:v>7.1205924573532033E-3</c:v>
                </c:pt>
                <c:pt idx="28">
                  <c:v>4.5681222640062856E-3</c:v>
                </c:pt>
                <c:pt idx="29">
                  <c:v>2.904174373521647E-3</c:v>
                </c:pt>
                <c:pt idx="30">
                  <c:v>1.8295516011076866E-3</c:v>
                </c:pt>
                <c:pt idx="31">
                  <c:v>1.1420039651894032E-3</c:v>
                </c:pt>
                <c:pt idx="32">
                  <c:v>7.0623036529934987E-4</c:v>
                </c:pt>
                <c:pt idx="33">
                  <c:v>4.326404493406898E-4</c:v>
                </c:pt>
                <c:pt idx="34">
                  <c:v>2.6251100815632977E-4</c:v>
                </c:pt>
                <c:pt idx="35">
                  <c:v>1.5773826210166146E-4</c:v>
                </c:pt>
                <c:pt idx="36">
                  <c:v>9.3846278041705906E-5</c:v>
                </c:pt>
                <c:pt idx="37">
                  <c:v>5.5271437197623353E-5</c:v>
                </c:pt>
                <c:pt idx="38">
                  <c:v>3.2217604895886263E-5</c:v>
                </c:pt>
                <c:pt idx="39">
                  <c:v>1.8581953309719932E-5</c:v>
                </c:pt>
                <c:pt idx="40">
                  <c:v>1.0601895006151355E-5</c:v>
                </c:pt>
                <c:pt idx="41">
                  <c:v>5.9820411115894335E-6</c:v>
                </c:pt>
                <c:pt idx="42">
                  <c:v>3.3370278347408577E-6</c:v>
                </c:pt>
                <c:pt idx="43">
                  <c:v>1.8398239765488448E-6</c:v>
                </c:pt>
                <c:pt idx="44">
                  <c:v>1.0021909214354729E-6</c:v>
                </c:pt>
                <c:pt idx="45">
                  <c:v>5.3916776398405431E-7</c:v>
                </c:pt>
                <c:pt idx="46">
                  <c:v>2.8636991269895384E-7</c:v>
                </c:pt>
                <c:pt idx="47">
                  <c:v>1.5009983852465768E-7</c:v>
                </c:pt>
                <c:pt idx="48">
                  <c:v>7.7604997092439063E-8</c:v>
                </c:pt>
                <c:pt idx="49">
                  <c:v>3.9559440159084049E-8</c:v>
                </c:pt>
                <c:pt idx="50">
                  <c:v>1.9872026774336675E-8</c:v>
                </c:pt>
                <c:pt idx="51">
                  <c:v>9.8317673593685445E-9</c:v>
                </c:pt>
                <c:pt idx="52">
                  <c:v>4.7881570772362518E-9</c:v>
                </c:pt>
                <c:pt idx="53">
                  <c:v>2.2939577725347544E-9</c:v>
                </c:pt>
                <c:pt idx="54">
                  <c:v>1.0804311274098194E-9</c:v>
                </c:pt>
                <c:pt idx="55">
                  <c:v>4.9991688260524124E-10</c:v>
                </c:pt>
                <c:pt idx="56">
                  <c:v>2.2707026467619404E-10</c:v>
                </c:pt>
                <c:pt idx="57">
                  <c:v>1.0116576059697344E-10</c:v>
                </c:pt>
                <c:pt idx="58">
                  <c:v>4.4171379123020151E-11</c:v>
                </c:pt>
                <c:pt idx="59">
                  <c:v>1.8883287357808927E-11</c:v>
                </c:pt>
                <c:pt idx="60">
                  <c:v>7.8960098934889112E-12</c:v>
                </c:pt>
                <c:pt idx="61">
                  <c:v>3.2259782177858753E-12</c:v>
                </c:pt>
                <c:pt idx="62">
                  <c:v>1.2862684549245497E-12</c:v>
                </c:pt>
                <c:pt idx="63">
                  <c:v>4.9988445777141722E-13</c:v>
                </c:pt>
                <c:pt idx="64">
                  <c:v>1.8909540914230623E-13</c:v>
                </c:pt>
                <c:pt idx="65">
                  <c:v>6.9521668074216292E-14</c:v>
                </c:pt>
                <c:pt idx="66">
                  <c:v>2.4801895657576545E-14</c:v>
                </c:pt>
                <c:pt idx="67">
                  <c:v>8.5705579301345991E-15</c:v>
                </c:pt>
                <c:pt idx="68">
                  <c:v>2.8632249514846038E-15</c:v>
                </c:pt>
                <c:pt idx="69">
                  <c:v>9.2279705450289305E-16</c:v>
                </c:pt>
                <c:pt idx="70">
                  <c:v>2.8625463977218991E-16</c:v>
                </c:pt>
                <c:pt idx="71">
                  <c:v>8.5247662679674874E-17</c:v>
                </c:pt>
                <c:pt idx="72">
                  <c:v>2.4303360782011445E-17</c:v>
                </c:pt>
                <c:pt idx="73">
                  <c:v>6.612102699723918E-18</c:v>
                </c:pt>
                <c:pt idx="74">
                  <c:v>1.7107345109822808E-18</c:v>
                </c:pt>
                <c:pt idx="75">
                  <c:v>4.192724593654841E-19</c:v>
                </c:pt>
                <c:pt idx="76">
                  <c:v>9.6910970958345897E-20</c:v>
                </c:pt>
                <c:pt idx="77">
                  <c:v>2.1021339691159764E-20</c:v>
                </c:pt>
                <c:pt idx="78">
                  <c:v>4.2551898864610385E-21</c:v>
                </c:pt>
                <c:pt idx="79">
                  <c:v>7.986705547800487E-22</c:v>
                </c:pt>
                <c:pt idx="80">
                  <c:v>1.3798053363268716E-22</c:v>
                </c:pt>
                <c:pt idx="81">
                  <c:v>2.1756503642101269E-23</c:v>
                </c:pt>
                <c:pt idx="82">
                  <c:v>3.1002973454371139E-24</c:v>
                </c:pt>
                <c:pt idx="83">
                  <c:v>3.9468233132046826E-25</c:v>
                </c:pt>
                <c:pt idx="84">
                  <c:v>4.4278839017975835E-26</c:v>
                </c:pt>
                <c:pt idx="85">
                  <c:v>4.3069924418508606E-27</c:v>
                </c:pt>
                <c:pt idx="86">
                  <c:v>3.5615579862219748E-28</c:v>
                </c:pt>
                <c:pt idx="87">
                  <c:v>2.444279284110952E-29</c:v>
                </c:pt>
                <c:pt idx="88">
                  <c:v>1.3512995447223153E-30</c:v>
                </c:pt>
                <c:pt idx="89">
                  <c:v>5.7956179556716385E-32</c:v>
                </c:pt>
                <c:pt idx="90">
                  <c:v>1.8372574367660709E-33</c:v>
                </c:pt>
                <c:pt idx="91">
                  <c:v>4.0390159684178867E-35</c:v>
                </c:pt>
                <c:pt idx="92">
                  <c:v>5.6483038191010082E-37</c:v>
                </c:pt>
                <c:pt idx="93">
                  <c:v>4.4516742051534185E-39</c:v>
                </c:pt>
                <c:pt idx="94">
                  <c:v>1.6561210550430735E-41</c:v>
                </c:pt>
                <c:pt idx="95">
                  <c:v>2.2092655738484156E-44</c:v>
                </c:pt>
                <c:pt idx="96">
                  <c:v>6.6680624115162812E-48</c:v>
                </c:pt>
                <c:pt idx="97">
                  <c:v>1.9205713476782623E-52</c:v>
                </c:pt>
                <c:pt idx="98">
                  <c:v>7.6003844746044393E-59</c:v>
                </c:pt>
                <c:pt idx="99">
                  <c:v>8.5191901173174606E-70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A-0246-A41B-36421EB9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to Posterior Scale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Sheet2!$N$172:$N$272</c:f>
              <c:numCache>
                <c:formatCode>"$"#,##0</c:formatCode>
                <c:ptCount val="101"/>
                <c:pt idx="0">
                  <c:v>21816.36726546906</c:v>
                </c:pt>
                <c:pt idx="1">
                  <c:v>41328.125</c:v>
                </c:pt>
                <c:pt idx="2">
                  <c:v>61679.389312977102</c:v>
                </c:pt>
                <c:pt idx="3">
                  <c:v>81119.40298507463</c:v>
                </c:pt>
                <c:pt idx="4">
                  <c:v>99708.029197080308</c:v>
                </c:pt>
                <c:pt idx="5">
                  <c:v>117500</c:v>
                </c:pt>
                <c:pt idx="6">
                  <c:v>134545.45454545453</c:v>
                </c:pt>
                <c:pt idx="7">
                  <c:v>150890.4109589041</c:v>
                </c:pt>
                <c:pt idx="8">
                  <c:v>166577.18120805369</c:v>
                </c:pt>
                <c:pt idx="9">
                  <c:v>181644.73684210525</c:v>
                </c:pt>
                <c:pt idx="10">
                  <c:v>196129.03225806452</c:v>
                </c:pt>
                <c:pt idx="11">
                  <c:v>210063.29113924055</c:v>
                </c:pt>
                <c:pt idx="12">
                  <c:v>223478.26086956519</c:v>
                </c:pt>
                <c:pt idx="13">
                  <c:v>236402.43902439025</c:v>
                </c:pt>
                <c:pt idx="14">
                  <c:v>248862.27544910181</c:v>
                </c:pt>
                <c:pt idx="15">
                  <c:v>260882.3529411765</c:v>
                </c:pt>
                <c:pt idx="16">
                  <c:v>272485.54913294793</c:v>
                </c:pt>
                <c:pt idx="17">
                  <c:v>283693.18181818177</c:v>
                </c:pt>
                <c:pt idx="18">
                  <c:v>294525.13966480445</c:v>
                </c:pt>
                <c:pt idx="19">
                  <c:v>305000</c:v>
                </c:pt>
                <c:pt idx="20">
                  <c:v>315135.13513513515</c:v>
                </c:pt>
                <c:pt idx="21">
                  <c:v>324946.80851063831</c:v>
                </c:pt>
                <c:pt idx="22">
                  <c:v>334450.26178010477</c:v>
                </c:pt>
                <c:pt idx="23">
                  <c:v>343659.79381443298</c:v>
                </c:pt>
                <c:pt idx="24">
                  <c:v>352588.83248730964</c:v>
                </c:pt>
                <c:pt idx="25">
                  <c:v>361250.00000000006</c:v>
                </c:pt>
                <c:pt idx="26">
                  <c:v>369655.17241379316</c:v>
                </c:pt>
                <c:pt idx="27">
                  <c:v>377815.53398058255</c:v>
                </c:pt>
                <c:pt idx="28">
                  <c:v>385741.62679425842</c:v>
                </c:pt>
                <c:pt idx="29">
                  <c:v>393443.39622641512</c:v>
                </c:pt>
                <c:pt idx="30">
                  <c:v>400930.2325581396</c:v>
                </c:pt>
                <c:pt idx="31">
                  <c:v>408211.009174312</c:v>
                </c:pt>
                <c:pt idx="32">
                  <c:v>415294.11764705885</c:v>
                </c:pt>
                <c:pt idx="33">
                  <c:v>422187.5</c:v>
                </c:pt>
                <c:pt idx="34">
                  <c:v>428898.67841409688</c:v>
                </c:pt>
                <c:pt idx="35">
                  <c:v>435434.78260869562</c:v>
                </c:pt>
                <c:pt idx="36">
                  <c:v>441802.57510729611</c:v>
                </c:pt>
                <c:pt idx="37">
                  <c:v>448008.4745762712</c:v>
                </c:pt>
                <c:pt idx="38">
                  <c:v>454058.5774058578</c:v>
                </c:pt>
                <c:pt idx="39">
                  <c:v>459958.67768595048</c:v>
                </c:pt>
                <c:pt idx="40">
                  <c:v>465714.28571428574</c:v>
                </c:pt>
                <c:pt idx="41">
                  <c:v>471330.64516129025</c:v>
                </c:pt>
                <c:pt idx="42">
                  <c:v>476812.74900398398</c:v>
                </c:pt>
                <c:pt idx="43">
                  <c:v>482165.35433070874</c:v>
                </c:pt>
                <c:pt idx="44">
                  <c:v>487392.99610894942</c:v>
                </c:pt>
                <c:pt idx="45">
                  <c:v>492499.99999999994</c:v>
                </c:pt>
                <c:pt idx="46">
                  <c:v>497490.49429657799</c:v>
                </c:pt>
                <c:pt idx="47">
                  <c:v>502368.42105263157</c:v>
                </c:pt>
                <c:pt idx="48">
                  <c:v>507137.54646840133</c:v>
                </c:pt>
                <c:pt idx="49">
                  <c:v>511801.4705882353</c:v>
                </c:pt>
                <c:pt idx="50">
                  <c:v>516363.63636363635</c:v>
                </c:pt>
                <c:pt idx="51">
                  <c:v>520827.33812949643</c:v>
                </c:pt>
                <c:pt idx="52">
                  <c:v>525195.72953736666</c:v>
                </c:pt>
                <c:pt idx="53">
                  <c:v>529471.83098591561</c:v>
                </c:pt>
                <c:pt idx="54">
                  <c:v>533658.53658536577</c:v>
                </c:pt>
                <c:pt idx="55">
                  <c:v>537758.62068965507</c:v>
                </c:pt>
                <c:pt idx="56">
                  <c:v>541774.74402730376</c:v>
                </c:pt>
                <c:pt idx="57">
                  <c:v>545709.45945945941</c:v>
                </c:pt>
                <c:pt idx="58">
                  <c:v>549565.21739130432</c:v>
                </c:pt>
                <c:pt idx="59">
                  <c:v>553344.37086092716</c:v>
                </c:pt>
                <c:pt idx="60">
                  <c:v>557049.18032786902</c:v>
                </c:pt>
                <c:pt idx="61">
                  <c:v>560681.81818181835</c:v>
                </c:pt>
                <c:pt idx="62">
                  <c:v>564244.37299035385</c:v>
                </c:pt>
                <c:pt idx="63">
                  <c:v>567738.85350318463</c:v>
                </c:pt>
                <c:pt idx="64">
                  <c:v>571167.19242902217</c:v>
                </c:pt>
                <c:pt idx="65">
                  <c:v>574531.25</c:v>
                </c:pt>
                <c:pt idx="66">
                  <c:v>577832.81733746117</c:v>
                </c:pt>
                <c:pt idx="67">
                  <c:v>581073.61963190185</c:v>
                </c:pt>
                <c:pt idx="68">
                  <c:v>584255.31914893608</c:v>
                </c:pt>
                <c:pt idx="69">
                  <c:v>587379.51807228907</c:v>
                </c:pt>
                <c:pt idx="70">
                  <c:v>590447.76119402982</c:v>
                </c:pt>
                <c:pt idx="71">
                  <c:v>593461.53846153838</c:v>
                </c:pt>
                <c:pt idx="72">
                  <c:v>596422.28739002929</c:v>
                </c:pt>
                <c:pt idx="73">
                  <c:v>599331.39534883713</c:v>
                </c:pt>
                <c:pt idx="74">
                  <c:v>602190.20172910672</c:v>
                </c:pt>
                <c:pt idx="75">
                  <c:v>605000</c:v>
                </c:pt>
                <c:pt idx="76">
                  <c:v>607762.03966005659</c:v>
                </c:pt>
                <c:pt idx="77">
                  <c:v>610477.5280898877</c:v>
                </c:pt>
                <c:pt idx="78">
                  <c:v>613147.63231197768</c:v>
                </c:pt>
                <c:pt idx="79">
                  <c:v>615773.48066298349</c:v>
                </c:pt>
                <c:pt idx="80">
                  <c:v>618356.1643835617</c:v>
                </c:pt>
                <c:pt idx="81">
                  <c:v>620896.73913043481</c:v>
                </c:pt>
                <c:pt idx="82">
                  <c:v>623396.22641509434</c:v>
                </c:pt>
                <c:pt idx="83">
                  <c:v>625855.61497326207</c:v>
                </c:pt>
                <c:pt idx="84">
                  <c:v>628275.86206896545</c:v>
                </c:pt>
                <c:pt idx="85">
                  <c:v>630657.89473684202</c:v>
                </c:pt>
                <c:pt idx="86">
                  <c:v>633002.61096605752</c:v>
                </c:pt>
                <c:pt idx="87">
                  <c:v>635310.88082901551</c:v>
                </c:pt>
                <c:pt idx="88">
                  <c:v>637583.54755784071</c:v>
                </c:pt>
                <c:pt idx="89">
                  <c:v>639821.42857142852</c:v>
                </c:pt>
                <c:pt idx="90">
                  <c:v>642025.31645569613</c:v>
                </c:pt>
                <c:pt idx="91">
                  <c:v>644195.97989949747</c:v>
                </c:pt>
                <c:pt idx="92">
                  <c:v>646334.16458852869</c:v>
                </c:pt>
                <c:pt idx="93">
                  <c:v>648440.59405940596</c:v>
                </c:pt>
                <c:pt idx="94">
                  <c:v>650515.97051597049</c:v>
                </c:pt>
                <c:pt idx="95">
                  <c:v>652560.97560975607</c:v>
                </c:pt>
                <c:pt idx="96">
                  <c:v>654576.2711864406</c:v>
                </c:pt>
                <c:pt idx="97">
                  <c:v>656562.5</c:v>
                </c:pt>
                <c:pt idx="98">
                  <c:v>658520.28639618144</c:v>
                </c:pt>
                <c:pt idx="99">
                  <c:v>660450.23696682474</c:v>
                </c:pt>
                <c:pt idx="100">
                  <c:v>662352.94117647049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8-A445-89F3-DA5C0A59A504}"/>
            </c:ext>
          </c:extLst>
        </c:ser>
        <c:ser>
          <c:idx val="1"/>
          <c:order val="1"/>
          <c:tx>
            <c:strRef>
              <c:f>Sheet2!$O$170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Sheet2!$O$172:$O$272</c:f>
              <c:numCache>
                <c:formatCode>"$"#,##0</c:formatCode>
                <c:ptCount val="101"/>
                <c:pt idx="0">
                  <c:v>30139.720558882233</c:v>
                </c:pt>
                <c:pt idx="1">
                  <c:v>31640.625</c:v>
                </c:pt>
                <c:pt idx="2">
                  <c:v>33206.106870229007</c:v>
                </c:pt>
                <c:pt idx="3">
                  <c:v>34701.492537313439</c:v>
                </c:pt>
                <c:pt idx="4">
                  <c:v>36131.386861313869</c:v>
                </c:pt>
                <c:pt idx="5">
                  <c:v>37500</c:v>
                </c:pt>
                <c:pt idx="6">
                  <c:v>38811.188811188811</c:v>
                </c:pt>
                <c:pt idx="7">
                  <c:v>40068.493150684932</c:v>
                </c:pt>
                <c:pt idx="8">
                  <c:v>41275.167785234902</c:v>
                </c:pt>
                <c:pt idx="9">
                  <c:v>42434.210526315786</c:v>
                </c:pt>
                <c:pt idx="10">
                  <c:v>43548.387096774197</c:v>
                </c:pt>
                <c:pt idx="11">
                  <c:v>44620.253164556969</c:v>
                </c:pt>
                <c:pt idx="12">
                  <c:v>45652.173913043487</c:v>
                </c:pt>
                <c:pt idx="13">
                  <c:v>46646.341463414639</c:v>
                </c:pt>
                <c:pt idx="14">
                  <c:v>47604.790419161676</c:v>
                </c:pt>
                <c:pt idx="15">
                  <c:v>48529.411764705881</c:v>
                </c:pt>
                <c:pt idx="16">
                  <c:v>49421.965317919072</c:v>
                </c:pt>
                <c:pt idx="17">
                  <c:v>50284.090909090904</c:v>
                </c:pt>
                <c:pt idx="18">
                  <c:v>51117.318435754183</c:v>
                </c:pt>
                <c:pt idx="19">
                  <c:v>51923.076923076922</c:v>
                </c:pt>
                <c:pt idx="20">
                  <c:v>52702.702702702707</c:v>
                </c:pt>
                <c:pt idx="21">
                  <c:v>53457.446808510642</c:v>
                </c:pt>
                <c:pt idx="22">
                  <c:v>54188.481675392679</c:v>
                </c:pt>
                <c:pt idx="23">
                  <c:v>54896.907216494845</c:v>
                </c:pt>
                <c:pt idx="24">
                  <c:v>55583.756345177666</c:v>
                </c:pt>
                <c:pt idx="25">
                  <c:v>56249.999999999993</c:v>
                </c:pt>
                <c:pt idx="26">
                  <c:v>56896.551724137935</c:v>
                </c:pt>
                <c:pt idx="27">
                  <c:v>57524.271844660201</c:v>
                </c:pt>
                <c:pt idx="28">
                  <c:v>58133.97129186603</c:v>
                </c:pt>
                <c:pt idx="29">
                  <c:v>58726.415094339616</c:v>
                </c:pt>
                <c:pt idx="30">
                  <c:v>59302.325581395351</c:v>
                </c:pt>
                <c:pt idx="31">
                  <c:v>59862.385321100919</c:v>
                </c:pt>
                <c:pt idx="32">
                  <c:v>60407.239819004521</c:v>
                </c:pt>
                <c:pt idx="33">
                  <c:v>60937.500000000007</c:v>
                </c:pt>
                <c:pt idx="34">
                  <c:v>61453.744493392063</c:v>
                </c:pt>
                <c:pt idx="35">
                  <c:v>61956.52173913044</c:v>
                </c:pt>
                <c:pt idx="36">
                  <c:v>62446.351931330471</c:v>
                </c:pt>
                <c:pt idx="37">
                  <c:v>62923.728813559319</c:v>
                </c:pt>
                <c:pt idx="38">
                  <c:v>63389.12133891214</c:v>
                </c:pt>
                <c:pt idx="39">
                  <c:v>63842.975206611569</c:v>
                </c:pt>
                <c:pt idx="40">
                  <c:v>64285.71428571429</c:v>
                </c:pt>
                <c:pt idx="41">
                  <c:v>64717.741935483864</c:v>
                </c:pt>
                <c:pt idx="42">
                  <c:v>65139.442231075693</c:v>
                </c:pt>
                <c:pt idx="43">
                  <c:v>65551.181102362214</c:v>
                </c:pt>
                <c:pt idx="44">
                  <c:v>65953.30739299611</c:v>
                </c:pt>
                <c:pt idx="45">
                  <c:v>66346.153846153844</c:v>
                </c:pt>
                <c:pt idx="46">
                  <c:v>66730.038022813693</c:v>
                </c:pt>
                <c:pt idx="47">
                  <c:v>67105.263157894718</c:v>
                </c:pt>
                <c:pt idx="48">
                  <c:v>67472.1189591078</c:v>
                </c:pt>
                <c:pt idx="49">
                  <c:v>67830.882352941175</c:v>
                </c:pt>
                <c:pt idx="50">
                  <c:v>68181.818181818177</c:v>
                </c:pt>
                <c:pt idx="51">
                  <c:v>68525.179856115108</c:v>
                </c:pt>
                <c:pt idx="52">
                  <c:v>68861.209964412817</c:v>
                </c:pt>
                <c:pt idx="53">
                  <c:v>69190.140845070433</c:v>
                </c:pt>
                <c:pt idx="54">
                  <c:v>69512.195121951212</c:v>
                </c:pt>
                <c:pt idx="55">
                  <c:v>69827.586206896536</c:v>
                </c:pt>
                <c:pt idx="56">
                  <c:v>70136.518771331059</c:v>
                </c:pt>
                <c:pt idx="57">
                  <c:v>70439.189189189172</c:v>
                </c:pt>
                <c:pt idx="58">
                  <c:v>70735.785953177241</c:v>
                </c:pt>
                <c:pt idx="59">
                  <c:v>71026.49006622516</c:v>
                </c:pt>
                <c:pt idx="60">
                  <c:v>71311.475409836072</c:v>
                </c:pt>
                <c:pt idx="61">
                  <c:v>71590.909090909103</c:v>
                </c:pt>
                <c:pt idx="62">
                  <c:v>71864.951768488754</c:v>
                </c:pt>
                <c:pt idx="63">
                  <c:v>72133.757961783442</c:v>
                </c:pt>
                <c:pt idx="64">
                  <c:v>72397.476340694004</c:v>
                </c:pt>
                <c:pt idx="65">
                  <c:v>72656.25</c:v>
                </c:pt>
                <c:pt idx="66">
                  <c:v>72910.216718266252</c:v>
                </c:pt>
                <c:pt idx="67">
                  <c:v>73159.509202453977</c:v>
                </c:pt>
                <c:pt idx="68">
                  <c:v>73404.255319148928</c:v>
                </c:pt>
                <c:pt idx="69">
                  <c:v>73644.578313253005</c:v>
                </c:pt>
                <c:pt idx="70">
                  <c:v>73880.59701492537</c:v>
                </c:pt>
                <c:pt idx="71">
                  <c:v>74112.426035502955</c:v>
                </c:pt>
                <c:pt idx="72">
                  <c:v>74340.175953079175</c:v>
                </c:pt>
                <c:pt idx="73">
                  <c:v>74563.953488372092</c:v>
                </c:pt>
                <c:pt idx="74">
                  <c:v>74783.861671469727</c:v>
                </c:pt>
                <c:pt idx="75">
                  <c:v>75000.000000000015</c:v>
                </c:pt>
                <c:pt idx="76">
                  <c:v>75212.464589235125</c:v>
                </c:pt>
                <c:pt idx="77">
                  <c:v>75421.348314606759</c:v>
                </c:pt>
                <c:pt idx="78">
                  <c:v>75626.740947075217</c:v>
                </c:pt>
                <c:pt idx="79">
                  <c:v>75828.729281767955</c:v>
                </c:pt>
                <c:pt idx="80">
                  <c:v>76027.397260273981</c:v>
                </c:pt>
                <c:pt idx="81">
                  <c:v>76222.826086956513</c:v>
                </c:pt>
                <c:pt idx="82">
                  <c:v>76415.094339622636</c:v>
                </c:pt>
                <c:pt idx="83">
                  <c:v>76604.278074866306</c:v>
                </c:pt>
                <c:pt idx="84">
                  <c:v>76790.45092838195</c:v>
                </c:pt>
                <c:pt idx="85">
                  <c:v>76973.684210526306</c:v>
                </c:pt>
                <c:pt idx="86">
                  <c:v>77154.046997389043</c:v>
                </c:pt>
                <c:pt idx="87">
                  <c:v>77331.606217616587</c:v>
                </c:pt>
                <c:pt idx="88">
                  <c:v>77506.426735218512</c:v>
                </c:pt>
                <c:pt idx="89">
                  <c:v>77678.571428571435</c:v>
                </c:pt>
                <c:pt idx="90">
                  <c:v>77848.101265822785</c:v>
                </c:pt>
                <c:pt idx="91">
                  <c:v>78015.075376884415</c:v>
                </c:pt>
                <c:pt idx="92">
                  <c:v>78179.55112219452</c:v>
                </c:pt>
                <c:pt idx="93">
                  <c:v>78341.584158415848</c:v>
                </c:pt>
                <c:pt idx="94">
                  <c:v>78501.228501228485</c:v>
                </c:pt>
                <c:pt idx="95">
                  <c:v>78658.536585365859</c:v>
                </c:pt>
                <c:pt idx="96">
                  <c:v>78813.559322033892</c:v>
                </c:pt>
                <c:pt idx="97">
                  <c:v>78966.346153846171</c:v>
                </c:pt>
                <c:pt idx="98">
                  <c:v>79116.945107398569</c:v>
                </c:pt>
                <c:pt idx="99">
                  <c:v>79265.402843601914</c:v>
                </c:pt>
                <c:pt idx="100">
                  <c:v>79411.76470588235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8-A445-89F3-DA5C0A59A504}"/>
            </c:ext>
          </c:extLst>
        </c:ser>
        <c:ser>
          <c:idx val="2"/>
          <c:order val="2"/>
          <c:tx>
            <c:strRef>
              <c:f>Sheet2!$P$171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Sheet2!$P$172:$P$272</c:f>
              <c:numCache>
                <c:formatCode>"$"#,##0</c:formatCode>
                <c:ptCount val="101"/>
                <c:pt idx="0">
                  <c:v>0</c:v>
                </c:pt>
                <c:pt idx="1">
                  <c:v>9687.5</c:v>
                </c:pt>
                <c:pt idx="2">
                  <c:v>28473.282442748095</c:v>
                </c:pt>
                <c:pt idx="3">
                  <c:v>46417.910447761191</c:v>
                </c:pt>
                <c:pt idx="4">
                  <c:v>63576.642335766439</c:v>
                </c:pt>
                <c:pt idx="5">
                  <c:v>80000</c:v>
                </c:pt>
                <c:pt idx="6">
                  <c:v>95734.265734265718</c:v>
                </c:pt>
                <c:pt idx="7">
                  <c:v>110821.91780821918</c:v>
                </c:pt>
                <c:pt idx="8">
                  <c:v>125302.0134228188</c:v>
                </c:pt>
                <c:pt idx="9">
                  <c:v>139210.52631578947</c:v>
                </c:pt>
                <c:pt idx="10">
                  <c:v>152580.6451612903</c:v>
                </c:pt>
                <c:pt idx="11">
                  <c:v>165443.03797468357</c:v>
                </c:pt>
                <c:pt idx="12">
                  <c:v>177826.0869565217</c:v>
                </c:pt>
                <c:pt idx="13">
                  <c:v>189756.09756097561</c:v>
                </c:pt>
                <c:pt idx="14">
                  <c:v>201257.48502994014</c:v>
                </c:pt>
                <c:pt idx="15">
                  <c:v>212352.94117647063</c:v>
                </c:pt>
                <c:pt idx="16">
                  <c:v>223063.58381502886</c:v>
                </c:pt>
                <c:pt idx="17">
                  <c:v>233409.09090909085</c:v>
                </c:pt>
                <c:pt idx="18">
                  <c:v>243407.82122905026</c:v>
                </c:pt>
                <c:pt idx="19">
                  <c:v>253076.92307692306</c:v>
                </c:pt>
                <c:pt idx="20">
                  <c:v>262432.43243243243</c:v>
                </c:pt>
                <c:pt idx="21">
                  <c:v>271489.36170212767</c:v>
                </c:pt>
                <c:pt idx="22">
                  <c:v>280261.78010471212</c:v>
                </c:pt>
                <c:pt idx="23">
                  <c:v>288762.88659793814</c:v>
                </c:pt>
                <c:pt idx="24">
                  <c:v>297005.07614213199</c:v>
                </c:pt>
                <c:pt idx="25">
                  <c:v>305000.00000000006</c:v>
                </c:pt>
                <c:pt idx="26">
                  <c:v>312758.62068965525</c:v>
                </c:pt>
                <c:pt idx="27">
                  <c:v>320291.26213592233</c:v>
                </c:pt>
                <c:pt idx="28">
                  <c:v>327607.65550239239</c:v>
                </c:pt>
                <c:pt idx="29">
                  <c:v>334716.98113207548</c:v>
                </c:pt>
                <c:pt idx="30">
                  <c:v>341627.90697674424</c:v>
                </c:pt>
                <c:pt idx="31">
                  <c:v>348348.62385321106</c:v>
                </c:pt>
                <c:pt idx="32">
                  <c:v>354886.87782805436</c:v>
                </c:pt>
                <c:pt idx="33">
                  <c:v>361250</c:v>
                </c:pt>
                <c:pt idx="34">
                  <c:v>367444.93392070482</c:v>
                </c:pt>
                <c:pt idx="35">
                  <c:v>373478.26086956519</c:v>
                </c:pt>
                <c:pt idx="36">
                  <c:v>379356.22317596566</c:v>
                </c:pt>
                <c:pt idx="37">
                  <c:v>385084.74576271186</c:v>
                </c:pt>
                <c:pt idx="38">
                  <c:v>390669.45606694568</c:v>
                </c:pt>
                <c:pt idx="39">
                  <c:v>396115.70247933891</c:v>
                </c:pt>
                <c:pt idx="40">
                  <c:v>401428.57142857148</c:v>
                </c:pt>
                <c:pt idx="41">
                  <c:v>406612.90322580637</c:v>
                </c:pt>
                <c:pt idx="42">
                  <c:v>411673.30677290831</c:v>
                </c:pt>
                <c:pt idx="43">
                  <c:v>416614.17322834651</c:v>
                </c:pt>
                <c:pt idx="44">
                  <c:v>421439.68871595332</c:v>
                </c:pt>
                <c:pt idx="45">
                  <c:v>426153.84615384613</c:v>
                </c:pt>
                <c:pt idx="46">
                  <c:v>430760.45627376431</c:v>
                </c:pt>
                <c:pt idx="47">
                  <c:v>435263.15789473685</c:v>
                </c:pt>
                <c:pt idx="48">
                  <c:v>439665.42750929354</c:v>
                </c:pt>
                <c:pt idx="49">
                  <c:v>443970.5882352941</c:v>
                </c:pt>
                <c:pt idx="50">
                  <c:v>448181.81818181818</c:v>
                </c:pt>
                <c:pt idx="51">
                  <c:v>452302.1582733813</c:v>
                </c:pt>
                <c:pt idx="52">
                  <c:v>456334.51957295381</c:v>
                </c:pt>
                <c:pt idx="53">
                  <c:v>460281.6901408452</c:v>
                </c:pt>
                <c:pt idx="54">
                  <c:v>464146.34146341454</c:v>
                </c:pt>
                <c:pt idx="55">
                  <c:v>467931.03448275855</c:v>
                </c:pt>
                <c:pt idx="56">
                  <c:v>471638.22525597271</c:v>
                </c:pt>
                <c:pt idx="57">
                  <c:v>475270.27027027024</c:v>
                </c:pt>
                <c:pt idx="58">
                  <c:v>478829.43143812707</c:v>
                </c:pt>
                <c:pt idx="59">
                  <c:v>482317.88079470198</c:v>
                </c:pt>
                <c:pt idx="60">
                  <c:v>485737.70491803298</c:v>
                </c:pt>
                <c:pt idx="61">
                  <c:v>489090.90909090923</c:v>
                </c:pt>
                <c:pt idx="62">
                  <c:v>492379.42122186511</c:v>
                </c:pt>
                <c:pt idx="63">
                  <c:v>495605.09554140118</c:v>
                </c:pt>
                <c:pt idx="64">
                  <c:v>498769.71608832816</c:v>
                </c:pt>
                <c:pt idx="65">
                  <c:v>501875</c:v>
                </c:pt>
                <c:pt idx="66">
                  <c:v>504922.60061919491</c:v>
                </c:pt>
                <c:pt idx="67">
                  <c:v>507914.11042944784</c:v>
                </c:pt>
                <c:pt idx="68">
                  <c:v>510851.06382978713</c:v>
                </c:pt>
                <c:pt idx="69">
                  <c:v>513734.93975903606</c:v>
                </c:pt>
                <c:pt idx="70">
                  <c:v>516567.16417910444</c:v>
                </c:pt>
                <c:pt idx="71">
                  <c:v>519349.11242603546</c:v>
                </c:pt>
                <c:pt idx="72">
                  <c:v>522082.1114369501</c:v>
                </c:pt>
                <c:pt idx="73">
                  <c:v>524767.4418604651</c:v>
                </c:pt>
                <c:pt idx="74">
                  <c:v>527406.34005763696</c:v>
                </c:pt>
                <c:pt idx="75">
                  <c:v>530000</c:v>
                </c:pt>
                <c:pt idx="76">
                  <c:v>532549.57507082145</c:v>
                </c:pt>
                <c:pt idx="77">
                  <c:v>535056.17977528088</c:v>
                </c:pt>
                <c:pt idx="78">
                  <c:v>537520.89136490249</c:v>
                </c:pt>
                <c:pt idx="79">
                  <c:v>539944.75138121552</c:v>
                </c:pt>
                <c:pt idx="80">
                  <c:v>542328.76712328778</c:v>
                </c:pt>
                <c:pt idx="81">
                  <c:v>544673.91304347827</c:v>
                </c:pt>
                <c:pt idx="82">
                  <c:v>546981.13207547169</c:v>
                </c:pt>
                <c:pt idx="83">
                  <c:v>549251.33689839579</c:v>
                </c:pt>
                <c:pt idx="84">
                  <c:v>551485.41114058346</c:v>
                </c:pt>
                <c:pt idx="85">
                  <c:v>553684.21052631573</c:v>
                </c:pt>
                <c:pt idx="86">
                  <c:v>555848.56396866846</c:v>
                </c:pt>
                <c:pt idx="87">
                  <c:v>557979.27461139893</c:v>
                </c:pt>
                <c:pt idx="88">
                  <c:v>560077.12082262221</c:v>
                </c:pt>
                <c:pt idx="89">
                  <c:v>562142.85714285704</c:v>
                </c:pt>
                <c:pt idx="90">
                  <c:v>564177.21518987336</c:v>
                </c:pt>
                <c:pt idx="91">
                  <c:v>566180.90452261304</c:v>
                </c:pt>
                <c:pt idx="92">
                  <c:v>568154.61346633418</c:v>
                </c:pt>
                <c:pt idx="93">
                  <c:v>570099.00990099018</c:v>
                </c:pt>
                <c:pt idx="94">
                  <c:v>572014.74201474199</c:v>
                </c:pt>
                <c:pt idx="95">
                  <c:v>573902.43902439019</c:v>
                </c:pt>
                <c:pt idx="96">
                  <c:v>575762.71186440671</c:v>
                </c:pt>
                <c:pt idx="97">
                  <c:v>577596.15384615387</c:v>
                </c:pt>
                <c:pt idx="98">
                  <c:v>579403.34128878289</c:v>
                </c:pt>
                <c:pt idx="99">
                  <c:v>581184.83412322286</c:v>
                </c:pt>
                <c:pt idx="100">
                  <c:v>582941.17647058819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8-A445-89F3-DA5C0A59A504}"/>
            </c:ext>
          </c:extLst>
        </c:ser>
        <c:ser>
          <c:idx val="3"/>
          <c:order val="3"/>
          <c:tx>
            <c:v>Current Value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Sheet2!$C$287:$C$288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Sheet2!$D$287:$D$288</c:f>
              <c:numCache>
                <c:formatCode>"$"#,##0</c:formatCode>
                <c:ptCount val="2"/>
                <c:pt idx="0" formatCode="General">
                  <c:v>0</c:v>
                </c:pt>
                <c:pt idx="1">
                  <c:v>662352.94117647049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06-0249-93D7-1C2C754D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Scale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Sheet2!$B$282</c:f>
          <c:strCache>
            <c:ptCount val="1"/>
            <c:pt idx="0">
              <c:v>Sensitivity to button-click on home page in Control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Sheet2!$T$172:$T$272</c:f>
              <c:numCache>
                <c:formatCode>"$"#,##0</c:formatCode>
                <c:ptCount val="101"/>
                <c:pt idx="0">
                  <c:v>475000</c:v>
                </c:pt>
                <c:pt idx="1">
                  <c:v>475000</c:v>
                </c:pt>
                <c:pt idx="2">
                  <c:v>475000</c:v>
                </c:pt>
                <c:pt idx="3">
                  <c:v>475000</c:v>
                </c:pt>
                <c:pt idx="4">
                  <c:v>475000</c:v>
                </c:pt>
                <c:pt idx="5">
                  <c:v>475000</c:v>
                </c:pt>
                <c:pt idx="6">
                  <c:v>475000</c:v>
                </c:pt>
                <c:pt idx="7">
                  <c:v>475000</c:v>
                </c:pt>
                <c:pt idx="8">
                  <c:v>475000</c:v>
                </c:pt>
                <c:pt idx="9">
                  <c:v>475000</c:v>
                </c:pt>
                <c:pt idx="10">
                  <c:v>475000</c:v>
                </c:pt>
                <c:pt idx="11">
                  <c:v>475000</c:v>
                </c:pt>
                <c:pt idx="12">
                  <c:v>475000</c:v>
                </c:pt>
                <c:pt idx="13">
                  <c:v>475000</c:v>
                </c:pt>
                <c:pt idx="14">
                  <c:v>475000</c:v>
                </c:pt>
                <c:pt idx="15">
                  <c:v>475000</c:v>
                </c:pt>
                <c:pt idx="16">
                  <c:v>475000</c:v>
                </c:pt>
                <c:pt idx="17">
                  <c:v>475000</c:v>
                </c:pt>
                <c:pt idx="18">
                  <c:v>475000</c:v>
                </c:pt>
                <c:pt idx="19">
                  <c:v>475000</c:v>
                </c:pt>
                <c:pt idx="20">
                  <c:v>475000</c:v>
                </c:pt>
                <c:pt idx="21">
                  <c:v>475000</c:v>
                </c:pt>
                <c:pt idx="22">
                  <c:v>475000</c:v>
                </c:pt>
                <c:pt idx="23">
                  <c:v>475000</c:v>
                </c:pt>
                <c:pt idx="24">
                  <c:v>475000</c:v>
                </c:pt>
                <c:pt idx="25">
                  <c:v>475000</c:v>
                </c:pt>
                <c:pt idx="26">
                  <c:v>475000</c:v>
                </c:pt>
                <c:pt idx="27">
                  <c:v>475000</c:v>
                </c:pt>
                <c:pt idx="28">
                  <c:v>475000</c:v>
                </c:pt>
                <c:pt idx="29">
                  <c:v>475000</c:v>
                </c:pt>
                <c:pt idx="30">
                  <c:v>475000</c:v>
                </c:pt>
                <c:pt idx="31">
                  <c:v>475000</c:v>
                </c:pt>
                <c:pt idx="32">
                  <c:v>475000</c:v>
                </c:pt>
                <c:pt idx="33">
                  <c:v>475000</c:v>
                </c:pt>
                <c:pt idx="34">
                  <c:v>475000</c:v>
                </c:pt>
                <c:pt idx="35">
                  <c:v>475000</c:v>
                </c:pt>
                <c:pt idx="36">
                  <c:v>475000</c:v>
                </c:pt>
                <c:pt idx="37">
                  <c:v>475000</c:v>
                </c:pt>
                <c:pt idx="38">
                  <c:v>475000</c:v>
                </c:pt>
                <c:pt idx="39">
                  <c:v>475000</c:v>
                </c:pt>
                <c:pt idx="40">
                  <c:v>475000</c:v>
                </c:pt>
                <c:pt idx="41">
                  <c:v>475000</c:v>
                </c:pt>
                <c:pt idx="42">
                  <c:v>475000</c:v>
                </c:pt>
                <c:pt idx="43">
                  <c:v>475000</c:v>
                </c:pt>
                <c:pt idx="44">
                  <c:v>475000</c:v>
                </c:pt>
                <c:pt idx="45">
                  <c:v>475000</c:v>
                </c:pt>
                <c:pt idx="46">
                  <c:v>475000</c:v>
                </c:pt>
                <c:pt idx="47">
                  <c:v>475000</c:v>
                </c:pt>
                <c:pt idx="48">
                  <c:v>475000</c:v>
                </c:pt>
                <c:pt idx="49">
                  <c:v>475000</c:v>
                </c:pt>
                <c:pt idx="50">
                  <c:v>475000</c:v>
                </c:pt>
                <c:pt idx="51">
                  <c:v>475000</c:v>
                </c:pt>
                <c:pt idx="52">
                  <c:v>475000</c:v>
                </c:pt>
                <c:pt idx="53">
                  <c:v>475000</c:v>
                </c:pt>
                <c:pt idx="54">
                  <c:v>475000</c:v>
                </c:pt>
                <c:pt idx="55">
                  <c:v>475000</c:v>
                </c:pt>
                <c:pt idx="56">
                  <c:v>475000</c:v>
                </c:pt>
                <c:pt idx="57">
                  <c:v>475000</c:v>
                </c:pt>
                <c:pt idx="58">
                  <c:v>475000</c:v>
                </c:pt>
                <c:pt idx="59">
                  <c:v>475000</c:v>
                </c:pt>
                <c:pt idx="60">
                  <c:v>475000</c:v>
                </c:pt>
                <c:pt idx="61">
                  <c:v>475000</c:v>
                </c:pt>
                <c:pt idx="62">
                  <c:v>475000</c:v>
                </c:pt>
                <c:pt idx="63">
                  <c:v>475000</c:v>
                </c:pt>
                <c:pt idx="64">
                  <c:v>475000</c:v>
                </c:pt>
                <c:pt idx="65">
                  <c:v>475000</c:v>
                </c:pt>
                <c:pt idx="66">
                  <c:v>475000</c:v>
                </c:pt>
                <c:pt idx="67">
                  <c:v>475000</c:v>
                </c:pt>
                <c:pt idx="68">
                  <c:v>475000</c:v>
                </c:pt>
                <c:pt idx="69">
                  <c:v>475000</c:v>
                </c:pt>
                <c:pt idx="70">
                  <c:v>475000</c:v>
                </c:pt>
                <c:pt idx="71">
                  <c:v>475000</c:v>
                </c:pt>
                <c:pt idx="72">
                  <c:v>475000</c:v>
                </c:pt>
                <c:pt idx="73">
                  <c:v>475000</c:v>
                </c:pt>
                <c:pt idx="74">
                  <c:v>475000</c:v>
                </c:pt>
                <c:pt idx="75">
                  <c:v>475000</c:v>
                </c:pt>
                <c:pt idx="76">
                  <c:v>475000</c:v>
                </c:pt>
                <c:pt idx="77">
                  <c:v>475000</c:v>
                </c:pt>
                <c:pt idx="78">
                  <c:v>475000</c:v>
                </c:pt>
                <c:pt idx="79">
                  <c:v>475000</c:v>
                </c:pt>
                <c:pt idx="80">
                  <c:v>475000</c:v>
                </c:pt>
                <c:pt idx="81">
                  <c:v>475000</c:v>
                </c:pt>
                <c:pt idx="82">
                  <c:v>475000</c:v>
                </c:pt>
                <c:pt idx="83">
                  <c:v>475000</c:v>
                </c:pt>
                <c:pt idx="84">
                  <c:v>475000</c:v>
                </c:pt>
                <c:pt idx="85">
                  <c:v>475000</c:v>
                </c:pt>
                <c:pt idx="86">
                  <c:v>475000</c:v>
                </c:pt>
                <c:pt idx="87">
                  <c:v>475000</c:v>
                </c:pt>
                <c:pt idx="88">
                  <c:v>475000</c:v>
                </c:pt>
                <c:pt idx="89">
                  <c:v>475000</c:v>
                </c:pt>
                <c:pt idx="90">
                  <c:v>475000</c:v>
                </c:pt>
                <c:pt idx="91">
                  <c:v>475000</c:v>
                </c:pt>
                <c:pt idx="92">
                  <c:v>475000</c:v>
                </c:pt>
                <c:pt idx="93">
                  <c:v>475000</c:v>
                </c:pt>
                <c:pt idx="94">
                  <c:v>475000</c:v>
                </c:pt>
                <c:pt idx="95">
                  <c:v>475000</c:v>
                </c:pt>
                <c:pt idx="96">
                  <c:v>475000</c:v>
                </c:pt>
                <c:pt idx="97">
                  <c:v>475000</c:v>
                </c:pt>
                <c:pt idx="98">
                  <c:v>475000</c:v>
                </c:pt>
                <c:pt idx="99">
                  <c:v>475000</c:v>
                </c:pt>
                <c:pt idx="100">
                  <c:v>475000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5-904A-A8B3-ED589A2D2780}"/>
            </c:ext>
          </c:extLst>
        </c:ser>
        <c:ser>
          <c:idx val="1"/>
          <c:order val="1"/>
          <c:tx>
            <c:strRef>
              <c:f>Sheet2!$O$170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Sheet2!$U$172:$U$272</c:f>
              <c:numCache>
                <c:formatCode>"$"#,##0</c:formatCode>
                <c:ptCount val="101"/>
                <c:pt idx="0">
                  <c:v>50050</c:v>
                </c:pt>
                <c:pt idx="1">
                  <c:v>50600</c:v>
                </c:pt>
                <c:pt idx="2">
                  <c:v>51200</c:v>
                </c:pt>
                <c:pt idx="3">
                  <c:v>51800</c:v>
                </c:pt>
                <c:pt idx="4">
                  <c:v>52400</c:v>
                </c:pt>
                <c:pt idx="5">
                  <c:v>53000.000000000007</c:v>
                </c:pt>
                <c:pt idx="6">
                  <c:v>53600</c:v>
                </c:pt>
                <c:pt idx="7">
                  <c:v>54200.000000000007</c:v>
                </c:pt>
                <c:pt idx="8">
                  <c:v>54800</c:v>
                </c:pt>
                <c:pt idx="9">
                  <c:v>55400.000000000007</c:v>
                </c:pt>
                <c:pt idx="10">
                  <c:v>56000.000000000007</c:v>
                </c:pt>
                <c:pt idx="11">
                  <c:v>56600.000000000007</c:v>
                </c:pt>
                <c:pt idx="12">
                  <c:v>57199.999999999993</c:v>
                </c:pt>
                <c:pt idx="13">
                  <c:v>57800</c:v>
                </c:pt>
                <c:pt idx="14">
                  <c:v>58399.999999999993</c:v>
                </c:pt>
                <c:pt idx="15">
                  <c:v>59000</c:v>
                </c:pt>
                <c:pt idx="16">
                  <c:v>59600</c:v>
                </c:pt>
                <c:pt idx="17">
                  <c:v>60200</c:v>
                </c:pt>
                <c:pt idx="18">
                  <c:v>60800</c:v>
                </c:pt>
                <c:pt idx="19">
                  <c:v>61399.999999999993</c:v>
                </c:pt>
                <c:pt idx="20">
                  <c:v>62000</c:v>
                </c:pt>
                <c:pt idx="21">
                  <c:v>62600</c:v>
                </c:pt>
                <c:pt idx="22">
                  <c:v>63200.000000000007</c:v>
                </c:pt>
                <c:pt idx="23">
                  <c:v>63799.999999999993</c:v>
                </c:pt>
                <c:pt idx="24">
                  <c:v>64400</c:v>
                </c:pt>
                <c:pt idx="25">
                  <c:v>65000</c:v>
                </c:pt>
                <c:pt idx="26">
                  <c:v>65600</c:v>
                </c:pt>
                <c:pt idx="27">
                  <c:v>66200.000000000015</c:v>
                </c:pt>
                <c:pt idx="28">
                  <c:v>66800</c:v>
                </c:pt>
                <c:pt idx="29">
                  <c:v>67399.999999999985</c:v>
                </c:pt>
                <c:pt idx="30">
                  <c:v>67999.999999999985</c:v>
                </c:pt>
                <c:pt idx="31">
                  <c:v>68600</c:v>
                </c:pt>
                <c:pt idx="32">
                  <c:v>69200</c:v>
                </c:pt>
                <c:pt idx="33">
                  <c:v>69800</c:v>
                </c:pt>
                <c:pt idx="34">
                  <c:v>70399.999999999985</c:v>
                </c:pt>
                <c:pt idx="35">
                  <c:v>71000</c:v>
                </c:pt>
                <c:pt idx="36">
                  <c:v>71600</c:v>
                </c:pt>
                <c:pt idx="37">
                  <c:v>72200</c:v>
                </c:pt>
                <c:pt idx="38">
                  <c:v>72800</c:v>
                </c:pt>
                <c:pt idx="39">
                  <c:v>73400</c:v>
                </c:pt>
                <c:pt idx="40">
                  <c:v>74000</c:v>
                </c:pt>
                <c:pt idx="41">
                  <c:v>74600</c:v>
                </c:pt>
                <c:pt idx="42">
                  <c:v>75200</c:v>
                </c:pt>
                <c:pt idx="43">
                  <c:v>75800</c:v>
                </c:pt>
                <c:pt idx="44">
                  <c:v>76400</c:v>
                </c:pt>
                <c:pt idx="45">
                  <c:v>77000</c:v>
                </c:pt>
                <c:pt idx="46">
                  <c:v>77600</c:v>
                </c:pt>
                <c:pt idx="47">
                  <c:v>78200</c:v>
                </c:pt>
                <c:pt idx="48">
                  <c:v>78800.000000000015</c:v>
                </c:pt>
                <c:pt idx="49">
                  <c:v>79400</c:v>
                </c:pt>
                <c:pt idx="50">
                  <c:v>80000</c:v>
                </c:pt>
                <c:pt idx="51">
                  <c:v>80600</c:v>
                </c:pt>
                <c:pt idx="52">
                  <c:v>81200.000000000015</c:v>
                </c:pt>
                <c:pt idx="53">
                  <c:v>81800.000000000015</c:v>
                </c:pt>
                <c:pt idx="54">
                  <c:v>82400</c:v>
                </c:pt>
                <c:pt idx="55">
                  <c:v>83000</c:v>
                </c:pt>
                <c:pt idx="56">
                  <c:v>83600.000000000015</c:v>
                </c:pt>
                <c:pt idx="57">
                  <c:v>84200.000000000015</c:v>
                </c:pt>
                <c:pt idx="58">
                  <c:v>84800</c:v>
                </c:pt>
                <c:pt idx="59">
                  <c:v>85400</c:v>
                </c:pt>
                <c:pt idx="60">
                  <c:v>86000</c:v>
                </c:pt>
                <c:pt idx="61">
                  <c:v>86600</c:v>
                </c:pt>
                <c:pt idx="62">
                  <c:v>87200</c:v>
                </c:pt>
                <c:pt idx="63">
                  <c:v>87800</c:v>
                </c:pt>
                <c:pt idx="64">
                  <c:v>88400</c:v>
                </c:pt>
                <c:pt idx="65">
                  <c:v>89000</c:v>
                </c:pt>
                <c:pt idx="66">
                  <c:v>89600</c:v>
                </c:pt>
                <c:pt idx="67">
                  <c:v>90200</c:v>
                </c:pt>
                <c:pt idx="68">
                  <c:v>90799.999999999985</c:v>
                </c:pt>
                <c:pt idx="69">
                  <c:v>91400</c:v>
                </c:pt>
                <c:pt idx="70">
                  <c:v>92000</c:v>
                </c:pt>
                <c:pt idx="71">
                  <c:v>92599.999999999985</c:v>
                </c:pt>
                <c:pt idx="72">
                  <c:v>93199.999999999985</c:v>
                </c:pt>
                <c:pt idx="73">
                  <c:v>93800</c:v>
                </c:pt>
                <c:pt idx="74">
                  <c:v>94400</c:v>
                </c:pt>
                <c:pt idx="75">
                  <c:v>95000</c:v>
                </c:pt>
                <c:pt idx="76">
                  <c:v>95599.999999999985</c:v>
                </c:pt>
                <c:pt idx="77">
                  <c:v>96200</c:v>
                </c:pt>
                <c:pt idx="78">
                  <c:v>96800</c:v>
                </c:pt>
                <c:pt idx="79">
                  <c:v>97400</c:v>
                </c:pt>
                <c:pt idx="80">
                  <c:v>98000</c:v>
                </c:pt>
                <c:pt idx="81">
                  <c:v>98600</c:v>
                </c:pt>
                <c:pt idx="82">
                  <c:v>99200</c:v>
                </c:pt>
                <c:pt idx="83">
                  <c:v>99800</c:v>
                </c:pt>
                <c:pt idx="84">
                  <c:v>100400</c:v>
                </c:pt>
                <c:pt idx="85">
                  <c:v>101000</c:v>
                </c:pt>
                <c:pt idx="86">
                  <c:v>101600</c:v>
                </c:pt>
                <c:pt idx="87">
                  <c:v>102200</c:v>
                </c:pt>
                <c:pt idx="88">
                  <c:v>102800</c:v>
                </c:pt>
                <c:pt idx="89">
                  <c:v>103400</c:v>
                </c:pt>
                <c:pt idx="90">
                  <c:v>104000.00000000001</c:v>
                </c:pt>
                <c:pt idx="91">
                  <c:v>104600</c:v>
                </c:pt>
                <c:pt idx="92">
                  <c:v>105200</c:v>
                </c:pt>
                <c:pt idx="93">
                  <c:v>105800</c:v>
                </c:pt>
                <c:pt idx="94">
                  <c:v>106400.00000000001</c:v>
                </c:pt>
                <c:pt idx="95">
                  <c:v>106999.99999999999</c:v>
                </c:pt>
                <c:pt idx="96">
                  <c:v>107600</c:v>
                </c:pt>
                <c:pt idx="97">
                  <c:v>108199.99999999999</c:v>
                </c:pt>
                <c:pt idx="98">
                  <c:v>108800.00000000001</c:v>
                </c:pt>
                <c:pt idx="99">
                  <c:v>109399.99999999999</c:v>
                </c:pt>
                <c:pt idx="100">
                  <c:v>110000.00000000001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85-904A-A8B3-ED589A2D2780}"/>
            </c:ext>
          </c:extLst>
        </c:ser>
        <c:ser>
          <c:idx val="2"/>
          <c:order val="2"/>
          <c:tx>
            <c:strRef>
              <c:f>Sheet2!$P$171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Sheet2!$V$172:$V$272</c:f>
              <c:numCache>
                <c:formatCode>"$"#,##0</c:formatCode>
                <c:ptCount val="101"/>
                <c:pt idx="0">
                  <c:v>424950</c:v>
                </c:pt>
                <c:pt idx="1">
                  <c:v>424400</c:v>
                </c:pt>
                <c:pt idx="2">
                  <c:v>423800</c:v>
                </c:pt>
                <c:pt idx="3">
                  <c:v>423200</c:v>
                </c:pt>
                <c:pt idx="4">
                  <c:v>422600</c:v>
                </c:pt>
                <c:pt idx="5">
                  <c:v>422000</c:v>
                </c:pt>
                <c:pt idx="6">
                  <c:v>421400</c:v>
                </c:pt>
                <c:pt idx="7">
                  <c:v>420800</c:v>
                </c:pt>
                <c:pt idx="8">
                  <c:v>420200</c:v>
                </c:pt>
                <c:pt idx="9">
                  <c:v>419600</c:v>
                </c:pt>
                <c:pt idx="10">
                  <c:v>419000</c:v>
                </c:pt>
                <c:pt idx="11">
                  <c:v>418400</c:v>
                </c:pt>
                <c:pt idx="12">
                  <c:v>417800</c:v>
                </c:pt>
                <c:pt idx="13">
                  <c:v>417200</c:v>
                </c:pt>
                <c:pt idx="14">
                  <c:v>416600</c:v>
                </c:pt>
                <c:pt idx="15">
                  <c:v>416000</c:v>
                </c:pt>
                <c:pt idx="16">
                  <c:v>415400</c:v>
                </c:pt>
                <c:pt idx="17">
                  <c:v>414800</c:v>
                </c:pt>
                <c:pt idx="18">
                  <c:v>414200</c:v>
                </c:pt>
                <c:pt idx="19">
                  <c:v>413600</c:v>
                </c:pt>
                <c:pt idx="20">
                  <c:v>413000</c:v>
                </c:pt>
                <c:pt idx="21">
                  <c:v>412400</c:v>
                </c:pt>
                <c:pt idx="22">
                  <c:v>411800</c:v>
                </c:pt>
                <c:pt idx="23">
                  <c:v>411200</c:v>
                </c:pt>
                <c:pt idx="24">
                  <c:v>410600</c:v>
                </c:pt>
                <c:pt idx="25">
                  <c:v>410000</c:v>
                </c:pt>
                <c:pt idx="26">
                  <c:v>409400</c:v>
                </c:pt>
                <c:pt idx="27">
                  <c:v>408800</c:v>
                </c:pt>
                <c:pt idx="28">
                  <c:v>408200</c:v>
                </c:pt>
                <c:pt idx="29">
                  <c:v>407600</c:v>
                </c:pt>
                <c:pt idx="30">
                  <c:v>407000</c:v>
                </c:pt>
                <c:pt idx="31">
                  <c:v>406400</c:v>
                </c:pt>
                <c:pt idx="32">
                  <c:v>405800</c:v>
                </c:pt>
                <c:pt idx="33">
                  <c:v>405200</c:v>
                </c:pt>
                <c:pt idx="34">
                  <c:v>404600</c:v>
                </c:pt>
                <c:pt idx="35">
                  <c:v>404000</c:v>
                </c:pt>
                <c:pt idx="36">
                  <c:v>403400</c:v>
                </c:pt>
                <c:pt idx="37">
                  <c:v>402800</c:v>
                </c:pt>
                <c:pt idx="38">
                  <c:v>402200</c:v>
                </c:pt>
                <c:pt idx="39">
                  <c:v>401600</c:v>
                </c:pt>
                <c:pt idx="40">
                  <c:v>401000</c:v>
                </c:pt>
                <c:pt idx="41">
                  <c:v>400400</c:v>
                </c:pt>
                <c:pt idx="42">
                  <c:v>399800</c:v>
                </c:pt>
                <c:pt idx="43">
                  <c:v>399200</c:v>
                </c:pt>
                <c:pt idx="44">
                  <c:v>398600</c:v>
                </c:pt>
                <c:pt idx="45">
                  <c:v>398000</c:v>
                </c:pt>
                <c:pt idx="46">
                  <c:v>397400</c:v>
                </c:pt>
                <c:pt idx="47">
                  <c:v>396800</c:v>
                </c:pt>
                <c:pt idx="48">
                  <c:v>396200</c:v>
                </c:pt>
                <c:pt idx="49">
                  <c:v>395600</c:v>
                </c:pt>
                <c:pt idx="50">
                  <c:v>395000</c:v>
                </c:pt>
                <c:pt idx="51">
                  <c:v>394400</c:v>
                </c:pt>
                <c:pt idx="52">
                  <c:v>393800</c:v>
                </c:pt>
                <c:pt idx="53">
                  <c:v>393200</c:v>
                </c:pt>
                <c:pt idx="54">
                  <c:v>392600</c:v>
                </c:pt>
                <c:pt idx="55">
                  <c:v>392000</c:v>
                </c:pt>
                <c:pt idx="56">
                  <c:v>391400</c:v>
                </c:pt>
                <c:pt idx="57">
                  <c:v>390800</c:v>
                </c:pt>
                <c:pt idx="58">
                  <c:v>390200</c:v>
                </c:pt>
                <c:pt idx="59">
                  <c:v>389600</c:v>
                </c:pt>
                <c:pt idx="60">
                  <c:v>389000</c:v>
                </c:pt>
                <c:pt idx="61">
                  <c:v>388400</c:v>
                </c:pt>
                <c:pt idx="62">
                  <c:v>387800</c:v>
                </c:pt>
                <c:pt idx="63">
                  <c:v>387200</c:v>
                </c:pt>
                <c:pt idx="64">
                  <c:v>386600</c:v>
                </c:pt>
                <c:pt idx="65">
                  <c:v>386000</c:v>
                </c:pt>
                <c:pt idx="66">
                  <c:v>385400</c:v>
                </c:pt>
                <c:pt idx="67">
                  <c:v>384800</c:v>
                </c:pt>
                <c:pt idx="68">
                  <c:v>384200</c:v>
                </c:pt>
                <c:pt idx="69">
                  <c:v>383600</c:v>
                </c:pt>
                <c:pt idx="70">
                  <c:v>383000</c:v>
                </c:pt>
                <c:pt idx="71">
                  <c:v>382400</c:v>
                </c:pt>
                <c:pt idx="72">
                  <c:v>381800</c:v>
                </c:pt>
                <c:pt idx="73">
                  <c:v>381200</c:v>
                </c:pt>
                <c:pt idx="74">
                  <c:v>380600</c:v>
                </c:pt>
                <c:pt idx="75">
                  <c:v>380000</c:v>
                </c:pt>
                <c:pt idx="76">
                  <c:v>379400</c:v>
                </c:pt>
                <c:pt idx="77">
                  <c:v>378800</c:v>
                </c:pt>
                <c:pt idx="78">
                  <c:v>378200</c:v>
                </c:pt>
                <c:pt idx="79">
                  <c:v>377600</c:v>
                </c:pt>
                <c:pt idx="80">
                  <c:v>377000</c:v>
                </c:pt>
                <c:pt idx="81">
                  <c:v>376400</c:v>
                </c:pt>
                <c:pt idx="82">
                  <c:v>375800</c:v>
                </c:pt>
                <c:pt idx="83">
                  <c:v>375200</c:v>
                </c:pt>
                <c:pt idx="84">
                  <c:v>374600</c:v>
                </c:pt>
                <c:pt idx="85">
                  <c:v>374000</c:v>
                </c:pt>
                <c:pt idx="86">
                  <c:v>373400</c:v>
                </c:pt>
                <c:pt idx="87">
                  <c:v>372800</c:v>
                </c:pt>
                <c:pt idx="88">
                  <c:v>372200</c:v>
                </c:pt>
                <c:pt idx="89">
                  <c:v>371600</c:v>
                </c:pt>
                <c:pt idx="90">
                  <c:v>371000</c:v>
                </c:pt>
                <c:pt idx="91">
                  <c:v>370400</c:v>
                </c:pt>
                <c:pt idx="92">
                  <c:v>369800</c:v>
                </c:pt>
                <c:pt idx="93">
                  <c:v>369200</c:v>
                </c:pt>
                <c:pt idx="94">
                  <c:v>368600</c:v>
                </c:pt>
                <c:pt idx="95">
                  <c:v>368000</c:v>
                </c:pt>
                <c:pt idx="96">
                  <c:v>367400</c:v>
                </c:pt>
                <c:pt idx="97">
                  <c:v>366800</c:v>
                </c:pt>
                <c:pt idx="98">
                  <c:v>366200</c:v>
                </c:pt>
                <c:pt idx="99">
                  <c:v>365600</c:v>
                </c:pt>
                <c:pt idx="100">
                  <c:v>365000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85-904A-A8B3-ED589A2D2780}"/>
            </c:ext>
          </c:extLst>
        </c:ser>
        <c:ser>
          <c:idx val="3"/>
          <c:order val="3"/>
          <c:tx>
            <c:v>Current Value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Sheet2!$C$290:$C$291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xVal>
          <c:yVal>
            <c:numRef>
              <c:f>Sheet2!$D$290:$D$291</c:f>
              <c:numCache>
                <c:formatCode>"$"#,##0</c:formatCode>
                <c:ptCount val="2"/>
                <c:pt idx="0" formatCode="General">
                  <c:v>0</c:v>
                </c:pt>
                <c:pt idx="1">
                  <c:v>475000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49-6B4E-894D-F3C4FB3B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title>
          <c:tx>
            <c:strRef>
              <c:f>Sheet2!$B$285</c:f>
              <c:strCache>
                <c:ptCount val="1"/>
                <c:pt idx="0">
                  <c:v>number of button-click on home page in Control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6</xdr:col>
      <xdr:colOff>444500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4F253-F6FE-6D48-B735-1E5E2A53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47</xdr:row>
      <xdr:rowOff>12700</xdr:rowOff>
    </xdr:from>
    <xdr:to>
      <xdr:col>13</xdr:col>
      <xdr:colOff>723900</xdr:colOff>
      <xdr:row>66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80E4F-D3CC-8C4D-8DA0-FDAEE56F8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91</xdr:row>
      <xdr:rowOff>0</xdr:rowOff>
    </xdr:from>
    <xdr:to>
      <xdr:col>6</xdr:col>
      <xdr:colOff>1747520</xdr:colOff>
      <xdr:row>110</xdr:row>
      <xdr:rowOff>144825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C1E73-1ED7-1B41-9D90-D8A28DE09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1963821</xdr:colOff>
      <xdr:row>90</xdr:row>
      <xdr:rowOff>93178</xdr:rowOff>
    </xdr:from>
    <xdr:to>
      <xdr:col>13</xdr:col>
      <xdr:colOff>1747520</xdr:colOff>
      <xdr:row>110</xdr:row>
      <xdr:rowOff>80478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86428C-EF86-D246-8C63-6737F92CD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824502</xdr:colOff>
      <xdr:row>128</xdr:row>
      <xdr:rowOff>206125</xdr:rowOff>
    </xdr:from>
    <xdr:to>
      <xdr:col>4</xdr:col>
      <xdr:colOff>904292</xdr:colOff>
      <xdr:row>148</xdr:row>
      <xdr:rowOff>139633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CCCC31-9BC0-B648-8A78-86D8341E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129</xdr:row>
      <xdr:rowOff>0</xdr:rowOff>
    </xdr:from>
    <xdr:to>
      <xdr:col>8</xdr:col>
      <xdr:colOff>933230</xdr:colOff>
      <xdr:row>148</xdr:row>
      <xdr:rowOff>136708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D6EC49-287E-C645-AA8B-AA056F37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582D-1DFA-7349-9B5C-952306D01B31}">
  <dimension ref="B2:B19"/>
  <sheetViews>
    <sheetView workbookViewId="0">
      <selection activeCell="B3" sqref="B3"/>
    </sheetView>
  </sheetViews>
  <sheetFormatPr baseColWidth="10" defaultRowHeight="16" x14ac:dyDescent="0.2"/>
  <cols>
    <col min="1" max="16384" width="10.83203125" style="1"/>
  </cols>
  <sheetData>
    <row r="2" spans="2:2" ht="31" x14ac:dyDescent="0.35">
      <c r="B2" s="2" t="s">
        <v>14</v>
      </c>
    </row>
    <row r="3" spans="2:2" ht="19" x14ac:dyDescent="0.25">
      <c r="B3" s="3" t="s">
        <v>13</v>
      </c>
    </row>
    <row r="4" spans="2:2" x14ac:dyDescent="0.2">
      <c r="B4" s="1" t="s">
        <v>0</v>
      </c>
    </row>
    <row r="5" spans="2:2" x14ac:dyDescent="0.2">
      <c r="B5" s="1" t="s">
        <v>1</v>
      </c>
    </row>
    <row r="6" spans="2:2" x14ac:dyDescent="0.2">
      <c r="B6" s="1" t="s">
        <v>2</v>
      </c>
    </row>
    <row r="8" spans="2:2" ht="18" x14ac:dyDescent="0.2">
      <c r="B8" s="4" t="s">
        <v>3</v>
      </c>
    </row>
    <row r="9" spans="2:2" ht="18" x14ac:dyDescent="0.2">
      <c r="B9" s="5" t="s">
        <v>4</v>
      </c>
    </row>
    <row r="10" spans="2:2" ht="18" x14ac:dyDescent="0.2">
      <c r="B10" s="5" t="s">
        <v>5</v>
      </c>
    </row>
    <row r="11" spans="2:2" ht="18" x14ac:dyDescent="0.2">
      <c r="B11" s="5" t="s">
        <v>6</v>
      </c>
    </row>
    <row r="12" spans="2:2" ht="18" x14ac:dyDescent="0.2">
      <c r="B12" s="5" t="s">
        <v>7</v>
      </c>
    </row>
    <row r="13" spans="2:2" ht="18" x14ac:dyDescent="0.2">
      <c r="B13" s="5"/>
    </row>
    <row r="14" spans="2:2" ht="18" x14ac:dyDescent="0.2">
      <c r="B14" s="5" t="s">
        <v>8</v>
      </c>
    </row>
    <row r="16" spans="2:2" ht="18" x14ac:dyDescent="0.2">
      <c r="B16" s="5" t="s">
        <v>9</v>
      </c>
    </row>
    <row r="17" spans="2:2" ht="18" x14ac:dyDescent="0.2">
      <c r="B17" s="5" t="s">
        <v>10</v>
      </c>
    </row>
    <row r="18" spans="2:2" ht="18" x14ac:dyDescent="0.2">
      <c r="B18" s="5" t="s">
        <v>11</v>
      </c>
    </row>
    <row r="19" spans="2:2" ht="18" x14ac:dyDescent="0.2">
      <c r="B19" s="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9869-BE16-0B4B-AD45-157736597034}">
  <dimension ref="B2:V291"/>
  <sheetViews>
    <sheetView tabSelected="1" topLeftCell="A129" zoomScale="125" zoomScaleNormal="68" workbookViewId="0">
      <selection activeCell="B290" sqref="B290"/>
    </sheetView>
  </sheetViews>
  <sheetFormatPr baseColWidth="10" defaultRowHeight="16" x14ac:dyDescent="0.2"/>
  <cols>
    <col min="1" max="1" width="10.83203125" style="1"/>
    <col min="2" max="2" width="37.83203125" style="1" customWidth="1"/>
    <col min="3" max="3" width="15.83203125" style="1" bestFit="1" customWidth="1"/>
    <col min="4" max="4" width="17.33203125" style="1" customWidth="1"/>
    <col min="5" max="5" width="17.83203125" style="1" customWidth="1"/>
    <col min="6" max="6" width="20.6640625" style="1" customWidth="1"/>
    <col min="7" max="7" width="23.1640625" style="1" customWidth="1"/>
    <col min="8" max="8" width="26.83203125" style="1" customWidth="1"/>
    <col min="9" max="9" width="36.1640625" style="1" customWidth="1"/>
    <col min="10" max="11" width="15" style="1" bestFit="1" customWidth="1"/>
    <col min="12" max="12" width="11.83203125" style="1" customWidth="1"/>
    <col min="13" max="13" width="19.1640625" style="1" bestFit="1" customWidth="1"/>
    <col min="14" max="14" width="23" style="1" customWidth="1"/>
    <col min="15" max="15" width="22.5" style="1" customWidth="1"/>
    <col min="16" max="16" width="22.1640625" style="1" bestFit="1" customWidth="1"/>
    <col min="17" max="20" width="10.83203125" style="1"/>
    <col min="21" max="21" width="19.33203125" style="1" bestFit="1" customWidth="1"/>
    <col min="22" max="22" width="22.1640625" style="1" bestFit="1" customWidth="1"/>
    <col min="23" max="16384" width="10.83203125" style="1"/>
  </cols>
  <sheetData>
    <row r="2" spans="2:11" ht="93" x14ac:dyDescent="1.05">
      <c r="B2" s="6" t="s">
        <v>15</v>
      </c>
    </row>
    <row r="5" spans="2:11" ht="26" x14ac:dyDescent="0.3">
      <c r="B5" s="8" t="s">
        <v>16</v>
      </c>
      <c r="C5" s="8"/>
      <c r="E5" s="85" t="s">
        <v>76</v>
      </c>
      <c r="F5" s="85"/>
      <c r="G5" s="85"/>
      <c r="H5" s="85"/>
    </row>
    <row r="7" spans="2:11" ht="26" x14ac:dyDescent="0.3">
      <c r="B7" s="8" t="s">
        <v>27</v>
      </c>
      <c r="C7" s="8"/>
      <c r="E7" s="85" t="s">
        <v>28</v>
      </c>
      <c r="F7" s="85"/>
      <c r="G7" s="85"/>
      <c r="H7" s="85"/>
    </row>
    <row r="9" spans="2:11" ht="26" x14ac:dyDescent="0.3">
      <c r="B9" s="8" t="s">
        <v>17</v>
      </c>
      <c r="E9" s="85" t="s">
        <v>18</v>
      </c>
      <c r="F9" s="85"/>
      <c r="G9" s="85"/>
      <c r="H9" s="85"/>
    </row>
    <row r="11" spans="2:11" ht="26" x14ac:dyDescent="0.3">
      <c r="B11" s="8" t="s">
        <v>19</v>
      </c>
      <c r="E11" s="85" t="s">
        <v>20</v>
      </c>
      <c r="F11" s="85"/>
      <c r="G11" s="85"/>
      <c r="H11" s="85"/>
    </row>
    <row r="13" spans="2:11" ht="26" x14ac:dyDescent="0.3">
      <c r="B13" s="8" t="s">
        <v>21</v>
      </c>
      <c r="E13" s="82">
        <v>1</v>
      </c>
      <c r="F13" s="82"/>
      <c r="G13" s="82"/>
      <c r="H13" s="82"/>
    </row>
    <row r="15" spans="2:11" ht="26" x14ac:dyDescent="0.3">
      <c r="B15" s="8" t="s">
        <v>22</v>
      </c>
      <c r="E15" s="82" t="s">
        <v>23</v>
      </c>
      <c r="F15" s="82"/>
      <c r="G15" s="82"/>
      <c r="H15" s="82"/>
      <c r="I15" s="82"/>
      <c r="J15" s="82"/>
      <c r="K15" s="82"/>
    </row>
    <row r="17" spans="2:11" ht="26" x14ac:dyDescent="0.3">
      <c r="B17" s="8" t="s">
        <v>24</v>
      </c>
      <c r="E17" s="82" t="s">
        <v>25</v>
      </c>
      <c r="F17" s="82"/>
      <c r="G17" s="82"/>
      <c r="H17" s="82"/>
      <c r="I17" s="82"/>
      <c r="J17" s="82"/>
      <c r="K17" s="82"/>
    </row>
    <row r="19" spans="2:11" ht="26" x14ac:dyDescent="0.3">
      <c r="B19" s="8" t="s">
        <v>26</v>
      </c>
      <c r="E19" s="83">
        <v>20000</v>
      </c>
      <c r="F19" s="83"/>
      <c r="G19" s="83"/>
      <c r="H19" s="83"/>
    </row>
    <row r="21" spans="2:11" ht="26" x14ac:dyDescent="0.3">
      <c r="B21" s="8" t="str">
        <f>CONCATENATE("Number of ",unitOfDiversion," at launch")</f>
        <v>Number of users at launch</v>
      </c>
      <c r="E21" s="84">
        <v>1000000</v>
      </c>
      <c r="F21" s="84"/>
      <c r="G21" s="84"/>
      <c r="H21" s="84"/>
    </row>
    <row r="22" spans="2:11" ht="17" customHeight="1" x14ac:dyDescent="0.2">
      <c r="E22" s="11"/>
    </row>
    <row r="23" spans="2:11" ht="26" x14ac:dyDescent="0.3">
      <c r="B23" s="81" t="s">
        <v>78</v>
      </c>
      <c r="E23" s="11"/>
    </row>
    <row r="24" spans="2:11" ht="21" x14ac:dyDescent="0.25">
      <c r="B24" s="7" t="str">
        <f>CONCATENATE("The unit of diversion in the experiment is ",unitOfDiversion,".", "The metric of interest is ",metricOfInterest,". This metric ranges from 0 to 1. The")</f>
        <v>The unit of diversion in the experiment is users.The metric of interest is Long-run fraction of clicks. This metric ranges from 0 to 1. The</v>
      </c>
      <c r="E24" s="11"/>
    </row>
    <row r="25" spans="2:11" ht="21" x14ac:dyDescent="0.25">
      <c r="B25" s="7" t="str">
        <f>CONCATENATE("experiment will be modeled as coin tosses, and each coin toss corresponds to a ",tossEquivalent,". Each time the coin lands head, that corresponds to a ",headEquivalent,".")</f>
        <v>experiment will be modeled as coin tosses, and each coin toss corresponds to a page view. Each time the coin lands head, that corresponds to a button-click on home page.</v>
      </c>
      <c r="E25" s="11"/>
    </row>
    <row r="26" spans="2:11" ht="21" x14ac:dyDescent="0.25">
      <c r="B26" s="7" t="str">
        <f>CONCATENATE("This has a value of $",ROUND(valueOfHead,1),".","The experiment is to ",E15,". The control is to ",E17,".")</f>
        <v>This has a value of $1.The experiment is to show a large button titled 'Start Now' on homepage. The control is to show a normal button titled 'Start Now' on homepage.</v>
      </c>
      <c r="E26" s="11"/>
    </row>
    <row r="27" spans="2:11" ht="21" x14ac:dyDescent="0.25">
      <c r="B27" s="7" t="str">
        <f>CONCATENATE("Based on the experiment, if the decision is taken to launch, the target audience will be ",numUsersAtLaunch," ",unitOfDiversion,". The cost of launching the feature is ",TEXT(costOfLaunchingFeature,"$#,###,###"),".")</f>
        <v>Based on the experiment, if the decision is taken to launch, the target audience will be 1000000 users. The cost of launching the feature is $20,000.</v>
      </c>
      <c r="E27" s="11"/>
    </row>
    <row r="28" spans="2:11" s="12" customFormat="1" x14ac:dyDescent="0.2">
      <c r="E28" s="13"/>
    </row>
    <row r="29" spans="2:11" ht="93" x14ac:dyDescent="1.05">
      <c r="B29" s="6" t="s">
        <v>29</v>
      </c>
    </row>
    <row r="32" spans="2:11" ht="47" x14ac:dyDescent="0.55000000000000004">
      <c r="B32" s="14" t="s">
        <v>30</v>
      </c>
      <c r="I32" s="14" t="s">
        <v>31</v>
      </c>
    </row>
    <row r="33" spans="2:10" ht="26" x14ac:dyDescent="0.3">
      <c r="B33" s="9" t="s">
        <v>38</v>
      </c>
      <c r="I33" s="9" t="s">
        <v>38</v>
      </c>
    </row>
    <row r="35" spans="2:10" ht="17" thickBot="1" x14ac:dyDescent="0.25"/>
    <row r="36" spans="2:10" ht="26" x14ac:dyDescent="0.3">
      <c r="B36" s="44" t="s">
        <v>58</v>
      </c>
      <c r="C36" s="42"/>
      <c r="I36" s="44" t="s">
        <v>58</v>
      </c>
      <c r="J36" s="42"/>
    </row>
    <row r="37" spans="2:10" x14ac:dyDescent="0.2">
      <c r="B37" s="24" t="s">
        <v>39</v>
      </c>
      <c r="C37" s="49">
        <f>(alpha_experiment_original_prior + beta_experiment_original_prior) * mean_prior_experiment * priorScalePower_experiment</f>
        <v>19</v>
      </c>
      <c r="I37" s="24" t="s">
        <v>39</v>
      </c>
      <c r="J37" s="25">
        <f>(alpha_control_original_prior + beta_control_original_prior) * mean_prior_control * priorScalePower_control</f>
        <v>2</v>
      </c>
    </row>
    <row r="38" spans="2:10" ht="17" thickBot="1" x14ac:dyDescent="0.25">
      <c r="B38" s="26" t="s">
        <v>40</v>
      </c>
      <c r="C38" s="50">
        <f xml:space="preserve"> (beta_experiment_original_prior  + alpha_experiment_original_prior  - (alpha_experiment_original_prior + beta_experiment_original_prior) * mean_prior_experiment) * priorScalePower_experiment</f>
        <v>1</v>
      </c>
      <c r="I38" s="26" t="s">
        <v>40</v>
      </c>
      <c r="J38" s="27">
        <f xml:space="preserve"> (beta_control_original_prior  + alpha_control_original_prior  - (alpha_control_original_prior + beta_control_original_prior) * mean_prior_control) * priorScalePower_control</f>
        <v>18</v>
      </c>
    </row>
    <row r="39" spans="2:10" x14ac:dyDescent="0.2">
      <c r="B39" s="29"/>
      <c r="C39" s="54"/>
      <c r="I39" s="29"/>
      <c r="J39" s="29"/>
    </row>
    <row r="40" spans="2:10" x14ac:dyDescent="0.2">
      <c r="B40" s="1" t="s">
        <v>47</v>
      </c>
      <c r="C40" s="11">
        <f>alpha_experiment_prior/(alpha_experiment_prior+beta_experiment_prior)</f>
        <v>0.95</v>
      </c>
      <c r="I40" s="1" t="s">
        <v>47</v>
      </c>
      <c r="J40" s="11">
        <f>alpha_control_prior/(alpha_control_prior+beta_control_prior)</f>
        <v>0.1</v>
      </c>
    </row>
    <row r="41" spans="2:10" x14ac:dyDescent="0.2">
      <c r="B41" s="1" t="s">
        <v>57</v>
      </c>
      <c r="C41" s="32">
        <f xml:space="preserve"> (alpha_experiment_prior * beta_experiment_prior) / ((alpha_experiment_prior+beta_experiment_prior)^2 * (1+alpha_experiment_prior+beta_experiment_prior))</f>
        <v>2.2619047619047618E-3</v>
      </c>
      <c r="I41" s="1" t="s">
        <v>57</v>
      </c>
      <c r="J41" s="32">
        <f xml:space="preserve"> (alpha_control_prior * beta_control_prior) / ((alpha_control_prior+beta_control_prior)^2 * (1+alpha_control_prior+beta_control_prior))</f>
        <v>4.2857142857142859E-3</v>
      </c>
    </row>
    <row r="43" spans="2:10" ht="26" x14ac:dyDescent="0.3">
      <c r="B43" s="8" t="s">
        <v>41</v>
      </c>
      <c r="I43" s="8" t="s">
        <v>42</v>
      </c>
    </row>
    <row r="44" spans="2:10" ht="26" x14ac:dyDescent="0.3">
      <c r="B44" s="10">
        <v>1</v>
      </c>
      <c r="C44" s="48" t="str">
        <f>IF(priorType_experiment="Uniform",IF(priorScalePower_experiment&lt;&gt;1,"ERROR! Make this 1",""),"")</f>
        <v/>
      </c>
      <c r="D44" s="8"/>
      <c r="E44" s="8"/>
      <c r="F44" s="8"/>
      <c r="G44" s="8"/>
      <c r="H44" s="8"/>
      <c r="I44" s="10">
        <v>1</v>
      </c>
      <c r="J44" s="48" t="str">
        <f>IF(priorType_control="Uniform",IF(priorScalePower_control&lt;&gt;1,"ERROR! Make this 1",""),"")</f>
        <v/>
      </c>
    </row>
    <row r="46" spans="2:10" ht="26" x14ac:dyDescent="0.3">
      <c r="B46" s="8" t="s">
        <v>47</v>
      </c>
      <c r="I46" s="8" t="s">
        <v>47</v>
      </c>
    </row>
    <row r="47" spans="2:10" ht="26" x14ac:dyDescent="0.3">
      <c r="B47" s="10">
        <v>0.95</v>
      </c>
      <c r="C47" s="48" t="str">
        <f>IF(OR(priorType_experiment="Uniform",priorType_experiment="Symmetric"),IF(priorScalePower_experiment&lt;&gt;0.5,"NOT CHANGEABLE FROM 0.5",""),"")</f>
        <v/>
      </c>
      <c r="D47" s="8"/>
      <c r="E47" s="8"/>
      <c r="F47" s="8"/>
      <c r="G47" s="8"/>
      <c r="H47" s="8"/>
      <c r="I47" s="10">
        <v>0.1</v>
      </c>
      <c r="J47" s="48" t="str">
        <f>IF(OR(priorType_control="Uniform",priorType_control="Symmetric"),IF(priorScalePower_control&lt;&gt;0.5,"NOT CHANGEABLE FROM 0.5",""),"")</f>
        <v/>
      </c>
    </row>
    <row r="67" spans="2:12" ht="17" thickBot="1" x14ac:dyDescent="0.25"/>
    <row r="68" spans="2:12" ht="26" x14ac:dyDescent="0.3">
      <c r="C68" s="33">
        <v>0.1</v>
      </c>
      <c r="D68" s="34">
        <v>0.5</v>
      </c>
      <c r="E68" s="35">
        <v>0.9</v>
      </c>
      <c r="J68" s="33">
        <v>0.1</v>
      </c>
      <c r="K68" s="34">
        <v>0.5</v>
      </c>
      <c r="L68" s="35">
        <v>0.9</v>
      </c>
    </row>
    <row r="69" spans="2:12" ht="27" thickBot="1" x14ac:dyDescent="0.35">
      <c r="C69" s="36">
        <f>_xlfn.BETA.INV(C68,alpha_experiment_prior,beta_experiment_prior)</f>
        <v>0.88586679041008265</v>
      </c>
      <c r="D69" s="37">
        <f>_xlfn.BETA.INV(D68,alpha_experiment_prior,beta_experiment_prior)</f>
        <v>0.96417599794249509</v>
      </c>
      <c r="E69" s="38">
        <f>_xlfn.BETA.INV(E68,alpha_experiment_prior,beta_experiment_prior)</f>
        <v>0.99447005644397968</v>
      </c>
      <c r="J69" s="36">
        <f>_xlfn.BETA.INV(J68,alpha_control_prior,beta_control_prior)</f>
        <v>2.8349338904962808E-2</v>
      </c>
      <c r="K69" s="37">
        <f>_xlfn.BETA.INV(K68,alpha_control_prior,beta_control_prior)</f>
        <v>8.6775163655694917E-2</v>
      </c>
      <c r="L69" s="38">
        <f>_xlfn.BETA.INV(L68,alpha_control_prior,beta_control_prior)</f>
        <v>0.18976556332462935</v>
      </c>
    </row>
    <row r="70" spans="2:12" s="12" customFormat="1" ht="26" x14ac:dyDescent="0.3">
      <c r="C70" s="51"/>
      <c r="D70" s="51"/>
      <c r="E70" s="51"/>
      <c r="J70" s="51"/>
      <c r="K70" s="51"/>
      <c r="L70" s="51"/>
    </row>
    <row r="71" spans="2:12" ht="93" x14ac:dyDescent="1.05">
      <c r="B71" s="6" t="s">
        <v>33</v>
      </c>
    </row>
    <row r="72" spans="2:12" ht="47" x14ac:dyDescent="0.55000000000000004">
      <c r="B72" s="14" t="s">
        <v>30</v>
      </c>
      <c r="I72" s="14" t="s">
        <v>31</v>
      </c>
    </row>
    <row r="73" spans="2:12" ht="26" x14ac:dyDescent="0.3">
      <c r="B73" s="8" t="str">
        <f>CONCATENATE("Number of tosses (or, ",tossEquivalent,"s)")</f>
        <v>Number of tosses (or, page views)</v>
      </c>
      <c r="I73" s="8" t="str">
        <f>CONCATENATE("Number of tosses (or, ",tossEquivalent,"s)")</f>
        <v>Number of tosses (or, page views)</v>
      </c>
    </row>
    <row r="74" spans="2:12" ht="26" x14ac:dyDescent="0.3">
      <c r="B74" s="10">
        <v>10000</v>
      </c>
      <c r="I74" s="10">
        <v>10000</v>
      </c>
    </row>
    <row r="77" spans="2:12" ht="26" x14ac:dyDescent="0.3">
      <c r="B77" s="8" t="str">
        <f>CONCATENATE("Number of heads (or, ",headEquivalent," from 0 to ",B74,")")</f>
        <v>Number of heads (or, button-click on home page from 0 to 10000)</v>
      </c>
      <c r="I77" s="8" t="str">
        <f>CONCATENATE("Number of heads (or, ",headEquivalent," from 0 to ",I74,")")</f>
        <v>Number of heads (or, button-click on home page from 0 to 10000)</v>
      </c>
    </row>
    <row r="78" spans="2:12" ht="26" x14ac:dyDescent="0.3">
      <c r="B78" s="10">
        <v>400</v>
      </c>
      <c r="C78" s="67" t="str">
        <f>IF(numHeads_experiment&gt;numTosses_experiment,CONCATENATE("ERROR! Must be less than ",numTosses_experiment),"")</f>
        <v/>
      </c>
      <c r="I78" s="10">
        <v>300</v>
      </c>
      <c r="J78" s="67" t="str">
        <f>IF(numHeads_control&gt;numTosses_control,CONCATENATE("ERROR! Must be less than ",numTosses_experiment),"")</f>
        <v/>
      </c>
    </row>
    <row r="82" spans="2:10" ht="26" x14ac:dyDescent="0.3">
      <c r="B82" s="8" t="s">
        <v>48</v>
      </c>
    </row>
    <row r="83" spans="2:10" ht="26" x14ac:dyDescent="0.3">
      <c r="B83" s="10">
        <v>500</v>
      </c>
    </row>
    <row r="84" spans="2:10" ht="17" thickBot="1" x14ac:dyDescent="0.25"/>
    <row r="85" spans="2:10" ht="26" x14ac:dyDescent="0.3">
      <c r="B85" s="44" t="s">
        <v>56</v>
      </c>
      <c r="C85" s="45"/>
      <c r="D85" s="42"/>
      <c r="I85" s="44" t="s">
        <v>56</v>
      </c>
      <c r="J85" s="42"/>
    </row>
    <row r="86" spans="2:10" x14ac:dyDescent="0.2">
      <c r="B86" s="24" t="s">
        <v>39</v>
      </c>
      <c r="C86" s="54">
        <f>alpha_experiment_posterior</f>
        <v>19.8</v>
      </c>
      <c r="D86" s="25"/>
      <c r="I86" s="24" t="s">
        <v>39</v>
      </c>
      <c r="J86" s="49">
        <f>alpha_control_posterior</f>
        <v>2.6</v>
      </c>
    </row>
    <row r="87" spans="2:10" ht="17" thickBot="1" x14ac:dyDescent="0.25">
      <c r="B87" s="26" t="s">
        <v>40</v>
      </c>
      <c r="C87" s="55">
        <f>beta_experiment_posterior</f>
        <v>20.200000000000003</v>
      </c>
      <c r="D87" s="27"/>
      <c r="I87" s="26" t="s">
        <v>40</v>
      </c>
      <c r="J87" s="50">
        <f>beta_control_posterior</f>
        <v>37.4</v>
      </c>
    </row>
    <row r="88" spans="2:10" x14ac:dyDescent="0.2">
      <c r="C88" s="11"/>
      <c r="J88" s="11"/>
    </row>
    <row r="89" spans="2:10" x14ac:dyDescent="0.2">
      <c r="B89" s="1" t="s">
        <v>47</v>
      </c>
      <c r="C89" s="32">
        <f>alpha_experiment_posterior/(alpha_experiment_posterior+beta_experiment_posterior)</f>
        <v>0.495</v>
      </c>
      <c r="I89" s="1" t="s">
        <v>47</v>
      </c>
      <c r="J89" s="32">
        <f>alpha_control_posterior/(alpha_control_posterior++beta_control_posterior)</f>
        <v>6.5000000000000002E-2</v>
      </c>
    </row>
    <row r="90" spans="2:10" x14ac:dyDescent="0.2">
      <c r="B90" s="1" t="s">
        <v>57</v>
      </c>
      <c r="C90" s="31">
        <f xml:space="preserve"> (alpha_experiment_posterior * beta_experiment_posterior) / ((alpha_experiment_posterior+beta_experiment_posterior)^2 * (1+alpha_experiment_posterior+beta_experiment_posterior))</f>
        <v>6.0969512195121964E-3</v>
      </c>
      <c r="I90" s="1" t="s">
        <v>57</v>
      </c>
      <c r="J90" s="31">
        <f xml:space="preserve"> (alpha_control_posterior * beta_control_posterior) / ((alpha_control_posterior+beta_control_posterior)^2 * (1+alpha_control_posterior+beta_control_posterior))</f>
        <v>1.4823170731707315E-3</v>
      </c>
    </row>
    <row r="110" spans="2:14" ht="17" customHeight="1" x14ac:dyDescent="0.2"/>
    <row r="111" spans="2:14" ht="17" thickBot="1" x14ac:dyDescent="0.25"/>
    <row r="112" spans="2:14" ht="26" x14ac:dyDescent="0.3">
      <c r="B112" s="15" t="s">
        <v>59</v>
      </c>
      <c r="C112" s="45"/>
      <c r="D112" s="45"/>
      <c r="E112" s="45"/>
      <c r="F112" s="45"/>
      <c r="G112" s="42"/>
      <c r="I112" s="15" t="s">
        <v>59</v>
      </c>
      <c r="J112" s="45"/>
      <c r="K112" s="45"/>
      <c r="L112" s="45"/>
      <c r="M112" s="45"/>
      <c r="N112" s="42"/>
    </row>
    <row r="113" spans="2:14" ht="24" x14ac:dyDescent="0.3">
      <c r="B113" s="62"/>
      <c r="C113" s="74">
        <v>2.5000000000000001E-2</v>
      </c>
      <c r="D113" s="59">
        <v>0.1</v>
      </c>
      <c r="E113" s="59">
        <v>0.5</v>
      </c>
      <c r="F113" s="59">
        <v>0.9</v>
      </c>
      <c r="G113" s="75">
        <v>0.97499999999999998</v>
      </c>
      <c r="I113" s="62"/>
      <c r="J113" s="74">
        <v>2.5000000000000001E-2</v>
      </c>
      <c r="K113" s="59">
        <v>0.1</v>
      </c>
      <c r="L113" s="59">
        <v>0.5</v>
      </c>
      <c r="M113" s="59">
        <v>0.9</v>
      </c>
      <c r="N113" s="75">
        <v>0.97499999999999998</v>
      </c>
    </row>
    <row r="114" spans="2:14" ht="26" x14ac:dyDescent="0.3">
      <c r="B114" s="18" t="str">
        <f>metricOfInterest</f>
        <v>Long-run fraction of clicks</v>
      </c>
      <c r="C114" s="60">
        <f>_xlfn.BETA.INV(C113,alpha_experiment_posterior,beta_experiment_posterior)</f>
        <v>0.34304695466292034</v>
      </c>
      <c r="D114" s="60">
        <f>_xlfn.BETA.INV(D113,alpha_experiment_posterior,beta_experiment_posterior)</f>
        <v>0.39416269755084438</v>
      </c>
      <c r="E114" s="60">
        <f>_xlfn.BETA.INV(E113,alpha_experiment_posterior,beta_experiment_posterior)</f>
        <v>0.4949158396300794</v>
      </c>
      <c r="F114" s="60">
        <f>_xlfn.BETA.INV(F113,alpha_experiment_posterior,beta_experiment_posterior)</f>
        <v>0.59594824848931716</v>
      </c>
      <c r="G114" s="61">
        <f>_xlfn.BETA.INV(G113,alpha_experiment_posterior,beta_experiment_posterior)</f>
        <v>0.64742706100543757</v>
      </c>
      <c r="I114" s="18" t="str">
        <f>metricOfInterest</f>
        <v>Long-run fraction of clicks</v>
      </c>
      <c r="J114" s="60">
        <f>_xlfn.BETA.INV(J113,alpha_control_posterior,beta_control_posterior)</f>
        <v>1.1818922885845042E-2</v>
      </c>
      <c r="K114" s="60">
        <f>_xlfn.BETA.INV(K113,alpha_control_posterior,beta_control_posterior)</f>
        <v>2.2339897177182069E-2</v>
      </c>
      <c r="L114" s="60">
        <f>_xlfn.BETA.INV(L113,alpha_control_posterior,beta_control_posterior)</f>
        <v>5.7839702561515126E-2</v>
      </c>
      <c r="M114" s="60">
        <f>_xlfn.BETA.INV(M113,alpha_control_posterior,beta_control_posterior)</f>
        <v>0.11721473961114537</v>
      </c>
      <c r="N114" s="61">
        <f>_xlfn.BETA.INV(N113,alpha_control_posterior,beta_control_posterior)</f>
        <v>0.15831001003915823</v>
      </c>
    </row>
    <row r="115" spans="2:14" ht="27" thickBot="1" x14ac:dyDescent="0.35">
      <c r="B115" s="21" t="s">
        <v>60</v>
      </c>
      <c r="C115" s="63">
        <f>C114*valueOfHead*numUsersAtLaunch</f>
        <v>343046.95466292033</v>
      </c>
      <c r="D115" s="63">
        <f>D114*valueOfHead*numUsersAtLaunch</f>
        <v>394162.6975508444</v>
      </c>
      <c r="E115" s="63">
        <f>E114*valueOfHead*numUsersAtLaunch</f>
        <v>494915.8396300794</v>
      </c>
      <c r="F115" s="63">
        <f>F114*valueOfHead*numUsersAtLaunch</f>
        <v>595948.24848931713</v>
      </c>
      <c r="G115" s="66">
        <f>G114*valueOfHead*numUsersAtLaunch</f>
        <v>647427.06100543751</v>
      </c>
      <c r="I115" s="21" t="s">
        <v>60</v>
      </c>
      <c r="J115" s="63">
        <f>J114*valueOfHead*numUsersAtLaunch</f>
        <v>11818.922885845042</v>
      </c>
      <c r="K115" s="63">
        <f>K114*valueOfHead*numUsersAtLaunch</f>
        <v>22339.897177182069</v>
      </c>
      <c r="L115" s="63">
        <f>L114*valueOfHead*numUsersAtLaunch</f>
        <v>57839.702561515129</v>
      </c>
      <c r="M115" s="63">
        <f>M114*valueOfHead*numUsersAtLaunch</f>
        <v>117214.73961114537</v>
      </c>
      <c r="N115" s="66">
        <f>N114*valueOfHead*numUsersAtLaunch</f>
        <v>158310.01003915822</v>
      </c>
    </row>
    <row r="116" spans="2:14" ht="17" thickBot="1" x14ac:dyDescent="0.25"/>
    <row r="117" spans="2:14" ht="26" x14ac:dyDescent="0.3">
      <c r="B117" s="8" t="s">
        <v>61</v>
      </c>
      <c r="C117" s="65">
        <f>mean_posterior_experiment*valueOfHead*numUsersAtLaunch</f>
        <v>495000</v>
      </c>
      <c r="E117" s="78" t="s">
        <v>71</v>
      </c>
      <c r="F117" s="45"/>
      <c r="G117" s="42"/>
      <c r="I117" s="8" t="s">
        <v>61</v>
      </c>
      <c r="J117" s="65">
        <f>mean_posterior_control*valueOfHead*numUsersAtLaunch</f>
        <v>65000</v>
      </c>
      <c r="L117" s="78" t="s">
        <v>71</v>
      </c>
      <c r="M117" s="45"/>
      <c r="N117" s="42"/>
    </row>
    <row r="118" spans="2:14" ht="26" x14ac:dyDescent="0.3">
      <c r="B118" s="8" t="s">
        <v>62</v>
      </c>
      <c r="C118" s="64">
        <f>costOfLaunchingFeature</f>
        <v>20000</v>
      </c>
      <c r="E118" s="79" t="str">
        <f>metricOfInterest</f>
        <v>Long-run fraction of clicks</v>
      </c>
      <c r="F118" s="29"/>
      <c r="G118" s="80" t="s">
        <v>77</v>
      </c>
      <c r="I118" s="73" t="s">
        <v>72</v>
      </c>
      <c r="L118" s="79" t="str">
        <f>metricOfInterest</f>
        <v>Long-run fraction of clicks</v>
      </c>
      <c r="M118" s="29"/>
      <c r="N118" s="80" t="s">
        <v>77</v>
      </c>
    </row>
    <row r="119" spans="2:14" ht="27" thickBot="1" x14ac:dyDescent="0.35">
      <c r="B119" s="8" t="s">
        <v>63</v>
      </c>
      <c r="C119" s="64">
        <f>C117-C118</f>
        <v>475000</v>
      </c>
      <c r="E119" s="57" t="str">
        <f>CONCATENATE(ROUND(C114,3)," to ",ROUND(G114,3))</f>
        <v>0.343 to 0.647</v>
      </c>
      <c r="F119" s="30"/>
      <c r="G119" s="58" t="str">
        <f>CONCATENATE(TEXT(ROUND(C115,0),"$#,###,##0")," to ",TEXT(ROUND(G115,0),"$#,###,###"))</f>
        <v>$343,047 to $647,427</v>
      </c>
      <c r="I119" s="73" t="s">
        <v>73</v>
      </c>
      <c r="L119" s="57" t="str">
        <f>CONCATENATE(ROUND(J114,3)," to ",ROUND(N114,3))</f>
        <v>0.012 to 0.158</v>
      </c>
      <c r="M119" s="30"/>
      <c r="N119" s="58" t="str">
        <f>CONCATENATE(TEXT(ROUND(J115,0),"$#,###,##0")," to ",TEXT(ROUND(N115,0),"$#,###,###"))</f>
        <v>$11,819 to $158,310</v>
      </c>
    </row>
    <row r="120" spans="2:14" ht="26" x14ac:dyDescent="0.3">
      <c r="B120" s="8" t="s">
        <v>68</v>
      </c>
      <c r="C120" s="64">
        <f>C119-J117</f>
        <v>410000</v>
      </c>
    </row>
    <row r="121" spans="2:14" s="12" customFormat="1" x14ac:dyDescent="0.2"/>
    <row r="124" spans="2:14" ht="93" x14ac:dyDescent="1.05">
      <c r="B124" s="6" t="s">
        <v>34</v>
      </c>
    </row>
    <row r="126" spans="2:14" ht="26" x14ac:dyDescent="0.3">
      <c r="B126" s="8" t="s">
        <v>64</v>
      </c>
      <c r="F126" s="8" t="s">
        <v>74</v>
      </c>
    </row>
    <row r="127" spans="2:14" ht="24" x14ac:dyDescent="0.3">
      <c r="B127" s="68">
        <v>1200</v>
      </c>
      <c r="F127" s="68">
        <v>1200</v>
      </c>
    </row>
    <row r="156" spans="2:2" s="12" customFormat="1" x14ac:dyDescent="0.2"/>
    <row r="158" spans="2:2" ht="93" x14ac:dyDescent="1.05">
      <c r="B158" s="6" t="s">
        <v>35</v>
      </c>
    </row>
    <row r="160" spans="2:2" ht="17" thickBot="1" x14ac:dyDescent="0.25"/>
    <row r="161" spans="2:22" ht="26" x14ac:dyDescent="0.3">
      <c r="B161" s="15" t="s">
        <v>32</v>
      </c>
      <c r="C161" s="16" t="s">
        <v>39</v>
      </c>
      <c r="D161" s="17" t="s">
        <v>40</v>
      </c>
      <c r="F161" s="44" t="s">
        <v>51</v>
      </c>
      <c r="G161" s="42"/>
      <c r="H161" s="29"/>
      <c r="I161" s="44" t="s">
        <v>52</v>
      </c>
      <c r="J161" s="42"/>
      <c r="K161" s="29"/>
      <c r="L161" s="29"/>
    </row>
    <row r="162" spans="2:22" ht="26" x14ac:dyDescent="0.3">
      <c r="B162" s="18" t="s">
        <v>36</v>
      </c>
      <c r="C162" s="19">
        <v>1</v>
      </c>
      <c r="D162" s="20">
        <v>1</v>
      </c>
      <c r="F162" s="18" t="s">
        <v>39</v>
      </c>
      <c r="G162" s="46">
        <f>VLOOKUP(priorType_experiment,choiceTable,2,FALSE)</f>
        <v>2</v>
      </c>
      <c r="H162" s="29"/>
      <c r="I162" s="18" t="s">
        <v>39</v>
      </c>
      <c r="J162" s="46">
        <f>VLOOKUP(priorType_control,choiceTable,2,FALSE)</f>
        <v>2</v>
      </c>
      <c r="K162" s="28"/>
      <c r="L162" s="29"/>
    </row>
    <row r="163" spans="2:22" ht="27" thickBot="1" x14ac:dyDescent="0.35">
      <c r="B163" s="18" t="s">
        <v>37</v>
      </c>
      <c r="C163" s="19">
        <v>5</v>
      </c>
      <c r="D163" s="20">
        <v>5</v>
      </c>
      <c r="F163" s="21" t="s">
        <v>40</v>
      </c>
      <c r="G163" s="47">
        <f>VLOOKUP(priorType_experiment,choiceTable,3,FALSE)</f>
        <v>18</v>
      </c>
      <c r="H163" s="29"/>
      <c r="I163" s="21" t="s">
        <v>40</v>
      </c>
      <c r="J163" s="47">
        <f>VLOOKUP(priorType_control,choiceTable,3,FALSE)</f>
        <v>18</v>
      </c>
      <c r="K163" s="28"/>
      <c r="L163" s="29"/>
    </row>
    <row r="164" spans="2:22" ht="27" thickBot="1" x14ac:dyDescent="0.35">
      <c r="B164" s="21" t="s">
        <v>38</v>
      </c>
      <c r="C164" s="22">
        <v>2</v>
      </c>
      <c r="D164" s="23">
        <v>18</v>
      </c>
    </row>
    <row r="165" spans="2:22" ht="27" thickBot="1" x14ac:dyDescent="0.35">
      <c r="B165" s="28"/>
      <c r="C165" s="19"/>
      <c r="D165" s="19"/>
    </row>
    <row r="166" spans="2:22" ht="26" x14ac:dyDescent="0.3">
      <c r="B166" s="44" t="s">
        <v>45</v>
      </c>
      <c r="C166" s="42"/>
      <c r="D166" s="44" t="s">
        <v>50</v>
      </c>
      <c r="E166" s="42"/>
      <c r="G166" s="44" t="s">
        <v>46</v>
      </c>
      <c r="H166" s="42"/>
      <c r="I166" s="44" t="s">
        <v>55</v>
      </c>
      <c r="J166" s="42"/>
    </row>
    <row r="167" spans="2:22" ht="26" x14ac:dyDescent="0.3">
      <c r="B167" s="18" t="s">
        <v>39</v>
      </c>
      <c r="C167" s="46">
        <f>alpha_experiment_prior</f>
        <v>19</v>
      </c>
      <c r="D167" s="18" t="s">
        <v>39</v>
      </c>
      <c r="E167" s="46">
        <f>alpha_experiment_prior+numHeads_experiment/posteriorScalePower</f>
        <v>19.8</v>
      </c>
      <c r="G167" s="18" t="s">
        <v>39</v>
      </c>
      <c r="H167" s="46">
        <f>alpha_control_prior</f>
        <v>2</v>
      </c>
      <c r="I167" s="18" t="s">
        <v>39</v>
      </c>
      <c r="J167" s="46">
        <f>alpha_control_prior+numHeads_control/posteriorScalePower</f>
        <v>2.6</v>
      </c>
    </row>
    <row r="168" spans="2:22" ht="27" thickBot="1" x14ac:dyDescent="0.35">
      <c r="B168" s="21" t="s">
        <v>40</v>
      </c>
      <c r="C168" s="47">
        <f>beta_experiment_prior</f>
        <v>1</v>
      </c>
      <c r="D168" s="21" t="s">
        <v>40</v>
      </c>
      <c r="E168" s="47">
        <f>numTosses_experiment/posteriorScalePower+alpha_experiment_prior+beta_experiment_prior-numHeads_experiment/posteriorScalePower-alpha_experiment_prior</f>
        <v>20.200000000000003</v>
      </c>
      <c r="G168" s="21" t="s">
        <v>40</v>
      </c>
      <c r="H168" s="47">
        <f>beta_control_prior</f>
        <v>18</v>
      </c>
      <c r="I168" s="21" t="s">
        <v>40</v>
      </c>
      <c r="J168" s="47">
        <f>numTosses_control/posteriorScalePower+alpha_control_prior+beta_control_prior-numHeads_control/posteriorScalePower-alpha_control_prior</f>
        <v>37.4</v>
      </c>
    </row>
    <row r="169" spans="2:22" ht="27" thickBot="1" x14ac:dyDescent="0.35">
      <c r="B169" s="28"/>
      <c r="C169" s="28"/>
      <c r="D169" s="19"/>
    </row>
    <row r="170" spans="2:22" ht="27" thickBot="1" x14ac:dyDescent="0.35">
      <c r="B170" s="8" t="s">
        <v>45</v>
      </c>
      <c r="G170" s="8" t="s">
        <v>46</v>
      </c>
      <c r="L170" s="41"/>
      <c r="M170" s="45"/>
      <c r="N170" s="56" t="s">
        <v>63</v>
      </c>
      <c r="O170" s="40" t="s">
        <v>69</v>
      </c>
      <c r="P170" s="42"/>
      <c r="R170" s="41"/>
      <c r="S170" s="45"/>
      <c r="T170" s="56" t="s">
        <v>63</v>
      </c>
      <c r="U170" s="40" t="s">
        <v>69</v>
      </c>
      <c r="V170" s="42"/>
    </row>
    <row r="171" spans="2:22" x14ac:dyDescent="0.2">
      <c r="B171" s="39" t="s">
        <v>44</v>
      </c>
      <c r="C171" s="40" t="s">
        <v>43</v>
      </c>
      <c r="D171" s="56" t="s">
        <v>53</v>
      </c>
      <c r="E171" s="43" t="s">
        <v>49</v>
      </c>
      <c r="G171" s="39" t="s">
        <v>44</v>
      </c>
      <c r="H171" s="40" t="s">
        <v>43</v>
      </c>
      <c r="I171" s="40" t="s">
        <v>53</v>
      </c>
      <c r="J171" s="43" t="s">
        <v>49</v>
      </c>
      <c r="L171" s="76" t="s">
        <v>66</v>
      </c>
      <c r="M171" s="53" t="s">
        <v>65</v>
      </c>
      <c r="N171" s="69">
        <f>mean_posterior_experiment*valueOfHead*numUsersAtLaunch-costOfLaunchingFeature</f>
        <v>475000</v>
      </c>
      <c r="O171" s="69">
        <f>mean_posterior_control*valueOfHead*numUsersAtLaunch</f>
        <v>65000</v>
      </c>
      <c r="P171" s="77" t="s">
        <v>67</v>
      </c>
      <c r="R171" s="76" t="s">
        <v>66</v>
      </c>
      <c r="S171" s="53" t="s">
        <v>75</v>
      </c>
      <c r="T171" s="69">
        <f>mean_posterior_experiment*valueOfHead*numUsersAtLaunch-costOfLaunchingFeature</f>
        <v>475000</v>
      </c>
      <c r="U171" s="69">
        <f>mean_posterior_control*valueOfHead*numUsersAtLaunch</f>
        <v>65000</v>
      </c>
      <c r="V171" s="77" t="s">
        <v>67</v>
      </c>
    </row>
    <row r="172" spans="2:22" x14ac:dyDescent="0.2">
      <c r="B172" s="24">
        <v>0</v>
      </c>
      <c r="C172" s="54">
        <f t="shared" ref="C172:C203" si="0">IF($B172=0,0,IF($B172=1,0,_xlfn.BETA.DIST($B172,alpha_experiment_prior,beta_experiment_prior,FALSE)))</f>
        <v>0</v>
      </c>
      <c r="D172" s="54">
        <f t="shared" ref="D172:D203" si="1">E172*maxPriorValue_experiment/maxPosteriorValue_experiment</f>
        <v>0</v>
      </c>
      <c r="E172" s="49" cm="1">
        <f t="array" ref="E172">IF($B172=0,0,IF($B172=1,0,_xlfn.BETA.DIST($B172,alpha_experiment_posterior,beta_experiment_posterior,FALSE)))</f>
        <v>0</v>
      </c>
      <c r="G172" s="24">
        <v>0</v>
      </c>
      <c r="H172" s="54">
        <f t="shared" ref="H172:H203" si="2">IF(G172=0,0,IF(G172=1,0,_xlfn.BETA.DIST(G172,alpha_control_prior,beta_control_prior,FALSE)))</f>
        <v>0</v>
      </c>
      <c r="I172" s="54" cm="1">
        <f t="array" ref="I172">J172*maxPriorValue_control/maxPosteriorValue_control</f>
        <v>0</v>
      </c>
      <c r="J172" s="49" cm="1">
        <f t="array" ref="J172">IF($B172=0,0,IF($B172=1,0,_xlfn.BETA.DIST($B172,alpha_control_posterior,beta_control_posterior,FALSE)))</f>
        <v>0</v>
      </c>
      <c r="L172" s="24">
        <v>0</v>
      </c>
      <c r="M172" s="29">
        <f t="shared" ref="M172:M203" si="3">IF(L172=0,1,L172*(maxPosteriorScalePower/100))</f>
        <v>1</v>
      </c>
      <c r="N172" s="69">
        <f t="dataTable" ref="N172:O272" dt2D="0" dtr="0" r1="B83" ca="1"/>
        <v>21816.36726546906</v>
      </c>
      <c r="O172" s="69">
        <v>30139.720558882233</v>
      </c>
      <c r="P172" s="70">
        <f>MAX(0,N172-O172)</f>
        <v>0</v>
      </c>
      <c r="R172" s="24">
        <v>0</v>
      </c>
      <c r="S172" s="29">
        <f t="shared" ref="S172:S203" si="4">IF(R172=0,1,R172*(maxHeadsInControl/100))</f>
        <v>1</v>
      </c>
      <c r="T172" s="69">
        <f t="dataTable" ref="T172:U272" dt2D="0" dtr="0" r1="I78"/>
        <v>475000</v>
      </c>
      <c r="U172" s="69">
        <v>50050</v>
      </c>
      <c r="V172" s="70">
        <f>MAX(0,T172-U172)</f>
        <v>424950</v>
      </c>
    </row>
    <row r="173" spans="2:22" x14ac:dyDescent="0.2">
      <c r="B173" s="24">
        <f>B172+0.01</f>
        <v>0.01</v>
      </c>
      <c r="C173" s="54">
        <f t="shared" si="0"/>
        <v>1.9000000000000051E-35</v>
      </c>
      <c r="D173" s="54">
        <f t="shared" si="1"/>
        <v>9.0229625404936674E-26</v>
      </c>
      <c r="E173" s="49" cm="1">
        <f t="array" ref="E173">IF($B173=0,0,IF($B173=1,0,_xlfn.BETA.DIST($B173,alpha_experiment_posterior,beta_experiment_posterior,FALSE)))</f>
        <v>2.8490553702122246E-26</v>
      </c>
      <c r="G173" s="24">
        <f>G172+0.01</f>
        <v>0.01</v>
      </c>
      <c r="H173" s="54">
        <f t="shared" si="2"/>
        <v>2.8828657213730291</v>
      </c>
      <c r="I173" s="54" cm="1">
        <f t="array" ref="I173">J173*maxPriorValue_control/maxPosteriorValue_control</f>
        <v>2.390578901401812</v>
      </c>
      <c r="J173" s="49" cm="1">
        <f t="array" ref="J173">IF($B173=0,0,IF($B173=1,0,_xlfn.BETA.DIST($B173,alpha_control_posterior,beta_control_posterior,FALSE)))</f>
        <v>3.9726295762902657</v>
      </c>
      <c r="L173" s="24">
        <v>1</v>
      </c>
      <c r="M173" s="29">
        <f t="shared" si="3"/>
        <v>12</v>
      </c>
      <c r="N173" s="69">
        <v>41328.125</v>
      </c>
      <c r="O173" s="69">
        <v>31640.625</v>
      </c>
      <c r="P173" s="70">
        <f t="shared" ref="P173:P236" si="5">MAX(0,N173-O173)</f>
        <v>9687.5</v>
      </c>
      <c r="R173" s="24">
        <v>1</v>
      </c>
      <c r="S173" s="29">
        <f t="shared" si="4"/>
        <v>12</v>
      </c>
      <c r="T173" s="69">
        <v>475000</v>
      </c>
      <c r="U173" s="69">
        <v>50600</v>
      </c>
      <c r="V173" s="70">
        <f t="shared" ref="V173:V236" si="6">MAX(0,T173-U173)</f>
        <v>424400</v>
      </c>
    </row>
    <row r="174" spans="2:22" x14ac:dyDescent="0.2">
      <c r="B174" s="24">
        <f t="shared" ref="B174:B237" si="7">B173+0.01</f>
        <v>0.02</v>
      </c>
      <c r="C174" s="54">
        <f t="shared" si="0"/>
        <v>4.9807360000000387E-30</v>
      </c>
      <c r="D174" s="54">
        <f t="shared" si="1"/>
        <v>3.3888940387239594E-20</v>
      </c>
      <c r="E174" s="49" cm="1">
        <f t="array" ref="E174">IF($B174=0,0,IF($B174=1,0,_xlfn.BETA.DIST($B174,alpha_experiment_posterior,beta_experiment_posterior,FALSE)))</f>
        <v>1.0700639304192917E-20</v>
      </c>
      <c r="G174" s="24">
        <f t="shared" ref="G174:G237" si="8">G173+0.01</f>
        <v>0.02</v>
      </c>
      <c r="H174" s="54">
        <f t="shared" si="2"/>
        <v>4.8517608806756174</v>
      </c>
      <c r="I174" s="54" cm="1">
        <f t="array" ref="I174">J174*maxPriorValue_control/maxPosteriorValue_control</f>
        <v>5.0079403479686722</v>
      </c>
      <c r="J174" s="49" cm="1">
        <f t="array" ref="J174">IF($B174=0,0,IF($B174=1,0,_xlfn.BETA.DIST($B174,alpha_control_posterior,beta_control_posterior,FALSE)))</f>
        <v>8.3221231187858553</v>
      </c>
      <c r="L174" s="24">
        <v>2</v>
      </c>
      <c r="M174" s="29">
        <f t="shared" si="3"/>
        <v>24</v>
      </c>
      <c r="N174" s="69">
        <v>61679.389312977102</v>
      </c>
      <c r="O174" s="69">
        <v>33206.106870229007</v>
      </c>
      <c r="P174" s="70">
        <f t="shared" si="5"/>
        <v>28473.282442748095</v>
      </c>
      <c r="R174" s="24">
        <v>2</v>
      </c>
      <c r="S174" s="29">
        <f t="shared" si="4"/>
        <v>24</v>
      </c>
      <c r="T174" s="69">
        <v>475000</v>
      </c>
      <c r="U174" s="69">
        <v>51200</v>
      </c>
      <c r="V174" s="70">
        <f t="shared" si="6"/>
        <v>423800</v>
      </c>
    </row>
    <row r="175" spans="2:22" x14ac:dyDescent="0.2">
      <c r="B175" s="24">
        <f t="shared" si="7"/>
        <v>0.03</v>
      </c>
      <c r="C175" s="54">
        <f t="shared" si="0"/>
        <v>7.3609892909999698E-27</v>
      </c>
      <c r="D175" s="54">
        <f t="shared" si="1"/>
        <v>5.6891882542424993E-17</v>
      </c>
      <c r="E175" s="49" cm="1">
        <f t="array" ref="E175">IF($B175=0,0,IF($B175=1,0,_xlfn.BETA.DIST($B175,alpha_experiment_posterior,beta_experiment_posterior,FALSE)))</f>
        <v>1.7963958373045712E-17</v>
      </c>
      <c r="G175" s="24">
        <f t="shared" si="8"/>
        <v>0.03</v>
      </c>
      <c r="H175" s="54">
        <f t="shared" si="2"/>
        <v>6.1131752099913399</v>
      </c>
      <c r="I175" s="54" cm="1">
        <f t="array" ref="I175">J175*maxPriorValue_control/maxPosteriorValue_control</f>
        <v>6.5957947658086331</v>
      </c>
      <c r="J175" s="49" cm="1">
        <f t="array" ref="J175">IF($B175=0,0,IF($B175=1,0,_xlfn.BETA.DIST($B175,alpha_control_posterior,beta_control_posterior,FALSE)))</f>
        <v>10.960796713476775</v>
      </c>
      <c r="L175" s="24">
        <v>3</v>
      </c>
      <c r="M175" s="29">
        <f t="shared" si="3"/>
        <v>36</v>
      </c>
      <c r="N175" s="69">
        <v>81119.40298507463</v>
      </c>
      <c r="O175" s="69">
        <v>34701.492537313439</v>
      </c>
      <c r="P175" s="70">
        <f t="shared" si="5"/>
        <v>46417.910447761191</v>
      </c>
      <c r="R175" s="24">
        <v>3</v>
      </c>
      <c r="S175" s="29">
        <f t="shared" si="4"/>
        <v>36</v>
      </c>
      <c r="T175" s="69">
        <v>475000</v>
      </c>
      <c r="U175" s="69">
        <v>51800</v>
      </c>
      <c r="V175" s="70">
        <f t="shared" si="6"/>
        <v>423200</v>
      </c>
    </row>
    <row r="176" spans="2:22" x14ac:dyDescent="0.2">
      <c r="B176" s="24">
        <f t="shared" si="7"/>
        <v>0.04</v>
      </c>
      <c r="C176" s="54">
        <f t="shared" si="0"/>
        <v>1.3056700579840076E-24</v>
      </c>
      <c r="D176" s="54">
        <f t="shared" si="1"/>
        <v>1.0410915688638785E-14</v>
      </c>
      <c r="E176" s="49" cm="1">
        <f t="array" ref="E176">IF($B176=0,0,IF($B176=1,0,_xlfn.BETA.DIST($B176,alpha_experiment_posterior,beta_experiment_posterior,FALSE)))</f>
        <v>3.2873100290982911E-15</v>
      </c>
      <c r="G176" s="24">
        <f t="shared" si="8"/>
        <v>0.04</v>
      </c>
      <c r="H176" s="54">
        <f t="shared" si="2"/>
        <v>6.8343475290598503</v>
      </c>
      <c r="I176" s="54" cm="1">
        <f t="array" ref="I176">J176*maxPriorValue_control/maxPosteriorValue_control</f>
        <v>7.1672221810408043</v>
      </c>
      <c r="J176" s="49" cm="1">
        <f t="array" ref="J176">IF($B176=0,0,IF($B176=1,0,_xlfn.BETA.DIST($B176,alpha_control_posterior,beta_control_posterior,FALSE)))</f>
        <v>11.910386559318415</v>
      </c>
      <c r="L176" s="24">
        <v>4</v>
      </c>
      <c r="M176" s="29">
        <f t="shared" si="3"/>
        <v>48</v>
      </c>
      <c r="N176" s="69">
        <v>99708.029197080308</v>
      </c>
      <c r="O176" s="69">
        <v>36131.386861313869</v>
      </c>
      <c r="P176" s="70">
        <f t="shared" si="5"/>
        <v>63576.642335766439</v>
      </c>
      <c r="R176" s="24">
        <v>4</v>
      </c>
      <c r="S176" s="29">
        <f t="shared" si="4"/>
        <v>48</v>
      </c>
      <c r="T176" s="69">
        <v>475000</v>
      </c>
      <c r="U176" s="69">
        <v>52400</v>
      </c>
      <c r="V176" s="70">
        <f t="shared" si="6"/>
        <v>422600</v>
      </c>
    </row>
    <row r="177" spans="2:22" x14ac:dyDescent="0.2">
      <c r="B177" s="24">
        <f t="shared" si="7"/>
        <v>0.05</v>
      </c>
      <c r="C177" s="54">
        <f t="shared" si="0"/>
        <v>7.2479248046875226E-23</v>
      </c>
      <c r="D177" s="54">
        <f t="shared" si="1"/>
        <v>5.6504459001828797E-13</v>
      </c>
      <c r="E177" s="49" cm="1">
        <f t="array" ref="E177">IF($B177=0,0,IF($B177=1,0,_xlfn.BETA.DIST($B177,alpha_experiment_posterior,beta_experiment_posterior,FALSE)))</f>
        <v>1.7841627030769982E-13</v>
      </c>
      <c r="G177" s="24">
        <f t="shared" si="8"/>
        <v>0.05</v>
      </c>
      <c r="H177" s="54">
        <f t="shared" si="2"/>
        <v>7.1498577322479315</v>
      </c>
      <c r="I177" s="54" cm="1">
        <f t="array" ref="I177">J177*maxPriorValue_control/maxPosteriorValue_control</f>
        <v>6.9963775624237146</v>
      </c>
      <c r="J177" s="49" cm="1">
        <f t="array" ref="J177">IF($B177=0,0,IF($B177=1,0,_xlfn.BETA.DIST($B177,alpha_control_posterior,beta_control_posterior,FALSE)))</f>
        <v>11.626479433529637</v>
      </c>
      <c r="L177" s="24">
        <v>5</v>
      </c>
      <c r="M177" s="29">
        <f t="shared" si="3"/>
        <v>60</v>
      </c>
      <c r="N177" s="69">
        <v>117500</v>
      </c>
      <c r="O177" s="69">
        <v>37500</v>
      </c>
      <c r="P177" s="70">
        <f t="shared" si="5"/>
        <v>80000</v>
      </c>
      <c r="R177" s="24">
        <v>5</v>
      </c>
      <c r="S177" s="29">
        <f t="shared" si="4"/>
        <v>60</v>
      </c>
      <c r="T177" s="69">
        <v>475000</v>
      </c>
      <c r="U177" s="69">
        <v>53000.000000000007</v>
      </c>
      <c r="V177" s="70">
        <f t="shared" si="6"/>
        <v>422000</v>
      </c>
    </row>
    <row r="178" spans="2:22" x14ac:dyDescent="0.2">
      <c r="B178" s="24">
        <f t="shared" si="7"/>
        <v>6.0000000000000005E-2</v>
      </c>
      <c r="C178" s="54">
        <f t="shared" si="0"/>
        <v>1.9296391766999059E-21</v>
      </c>
      <c r="D178" s="54">
        <f t="shared" si="1"/>
        <v>1.4205342667235647E-11</v>
      </c>
      <c r="E178" s="49" cm="1">
        <f t="array" ref="E178">IF($B178=0,0,IF($B178=1,0,_xlfn.BETA.DIST($B178,alpha_experiment_posterior,beta_experiment_posterior,FALSE)))</f>
        <v>4.4854234548975822E-12</v>
      </c>
      <c r="G178" s="24">
        <f t="shared" si="8"/>
        <v>6.0000000000000005E-2</v>
      </c>
      <c r="H178" s="54">
        <f t="shared" si="2"/>
        <v>7.1672221810408043</v>
      </c>
      <c r="I178" s="54" cm="1">
        <f t="array" ref="I178">J178*maxPriorValue_control/maxPosteriorValue_control</f>
        <v>6.3720308610677634</v>
      </c>
      <c r="J178" s="49" cm="1">
        <f t="array" ref="J178">IF($B178=0,0,IF($B178=1,0,_xlfn.BETA.DIST($B178,alpha_control_posterior,beta_control_posterior,FALSE)))</f>
        <v>10.588949080437549</v>
      </c>
      <c r="L178" s="24">
        <v>6</v>
      </c>
      <c r="M178" s="29">
        <f t="shared" si="3"/>
        <v>72</v>
      </c>
      <c r="N178" s="69">
        <v>134545.45454545453</v>
      </c>
      <c r="O178" s="69">
        <v>38811.188811188811</v>
      </c>
      <c r="P178" s="70">
        <f t="shared" si="5"/>
        <v>95734.265734265718</v>
      </c>
      <c r="R178" s="24">
        <v>6</v>
      </c>
      <c r="S178" s="29">
        <f t="shared" si="4"/>
        <v>72</v>
      </c>
      <c r="T178" s="69">
        <v>475000</v>
      </c>
      <c r="U178" s="69">
        <v>53600</v>
      </c>
      <c r="V178" s="70">
        <f t="shared" si="6"/>
        <v>421400</v>
      </c>
    </row>
    <row r="179" spans="2:22" x14ac:dyDescent="0.2">
      <c r="B179" s="24">
        <f t="shared" si="7"/>
        <v>7.0000000000000007E-2</v>
      </c>
      <c r="C179" s="54">
        <f t="shared" si="0"/>
        <v>3.0939858360298587E-20</v>
      </c>
      <c r="D179" s="54">
        <f t="shared" si="1"/>
        <v>2.0983077399315424E-10</v>
      </c>
      <c r="E179" s="49" cm="1">
        <f t="array" ref="E179">IF($B179=0,0,IF($B179=1,0,_xlfn.BETA.DIST($B179,alpha_experiment_posterior,beta_experiment_posterior,FALSE)))</f>
        <v>6.6255344716113107E-11</v>
      </c>
      <c r="G179" s="24">
        <f t="shared" si="8"/>
        <v>7.0000000000000007E-2</v>
      </c>
      <c r="H179" s="54">
        <f t="shared" si="2"/>
        <v>6.9716290595872774</v>
      </c>
      <c r="I179" s="54" cm="1">
        <f t="array" ref="I179">J179*maxPriorValue_control/maxPosteriorValue_control</f>
        <v>5.5248207262567073</v>
      </c>
      <c r="J179" s="49" cm="1">
        <f t="array" ref="J179">IF($B179=0,0,IF($B179=1,0,_xlfn.BETA.DIST($B179,alpha_control_posterior,beta_control_posterior,FALSE)))</f>
        <v>9.1810674845154576</v>
      </c>
      <c r="L179" s="24">
        <v>7</v>
      </c>
      <c r="M179" s="29">
        <f t="shared" si="3"/>
        <v>84</v>
      </c>
      <c r="N179" s="69">
        <v>150890.4109589041</v>
      </c>
      <c r="O179" s="69">
        <v>40068.493150684932</v>
      </c>
      <c r="P179" s="70">
        <f t="shared" si="5"/>
        <v>110821.91780821918</v>
      </c>
      <c r="R179" s="24">
        <v>7</v>
      </c>
      <c r="S179" s="29">
        <f t="shared" si="4"/>
        <v>84</v>
      </c>
      <c r="T179" s="69">
        <v>475000</v>
      </c>
      <c r="U179" s="69">
        <v>54200.000000000007</v>
      </c>
      <c r="V179" s="70">
        <f t="shared" si="6"/>
        <v>420800</v>
      </c>
    </row>
    <row r="180" spans="2:22" x14ac:dyDescent="0.2">
      <c r="B180" s="24">
        <f t="shared" si="7"/>
        <v>0.08</v>
      </c>
      <c r="C180" s="54">
        <f t="shared" si="0"/>
        <v>3.4227357168015655E-19</v>
      </c>
      <c r="D180" s="54">
        <f t="shared" si="1"/>
        <v>2.0988019478028942E-9</v>
      </c>
      <c r="E180" s="49" cm="1">
        <f t="array" ref="E180">IF($B180=0,0,IF($B180=1,0,_xlfn.BETA.DIST($B180,alpha_experiment_posterior,beta_experiment_posterior,FALSE)))</f>
        <v>6.6270949630613835E-10</v>
      </c>
      <c r="G180" s="24">
        <f t="shared" si="8"/>
        <v>0.08</v>
      </c>
      <c r="H180" s="54">
        <f t="shared" si="2"/>
        <v>6.6299332799453854</v>
      </c>
      <c r="I180" s="54" cm="1">
        <f t="array" ref="I180">J180*maxPriorValue_control/maxPosteriorValue_control</f>
        <v>4.6153314297814845</v>
      </c>
      <c r="J180" s="49" cm="1">
        <f t="array" ref="J180">IF($B180=0,0,IF($B180=1,0,_xlfn.BETA.DIST($B180,alpha_control_posterior,beta_control_posterior,FALSE)))</f>
        <v>7.6696912750215009</v>
      </c>
      <c r="L180" s="24">
        <v>8</v>
      </c>
      <c r="M180" s="29">
        <f t="shared" si="3"/>
        <v>96</v>
      </c>
      <c r="N180" s="69">
        <v>166577.18120805369</v>
      </c>
      <c r="O180" s="69">
        <v>41275.167785234902</v>
      </c>
      <c r="P180" s="70">
        <f t="shared" si="5"/>
        <v>125302.0134228188</v>
      </c>
      <c r="R180" s="24">
        <v>8</v>
      </c>
      <c r="S180" s="29">
        <f t="shared" si="4"/>
        <v>96</v>
      </c>
      <c r="T180" s="69">
        <v>475000</v>
      </c>
      <c r="U180" s="69">
        <v>54800</v>
      </c>
      <c r="V180" s="70">
        <f t="shared" si="6"/>
        <v>420200</v>
      </c>
    </row>
    <row r="181" spans="2:22" x14ac:dyDescent="0.2">
      <c r="B181" s="24">
        <f t="shared" si="7"/>
        <v>0.09</v>
      </c>
      <c r="C181" s="54">
        <f t="shared" si="0"/>
        <v>2.8517980706429724E-18</v>
      </c>
      <c r="D181" s="54">
        <f t="shared" si="1"/>
        <v>1.5577843200581113E-8</v>
      </c>
      <c r="E181" s="49" cm="1">
        <f t="array" ref="E181">IF($B181=0,0,IF($B181=1,0,_xlfn.BETA.DIST($B181,alpha_experiment_posterior,beta_experiment_posterior,FALSE)))</f>
        <v>4.9187988565573011E-9</v>
      </c>
      <c r="G181" s="24">
        <f t="shared" si="8"/>
        <v>0.09</v>
      </c>
      <c r="H181" s="54">
        <f t="shared" si="2"/>
        <v>6.1940154593056382</v>
      </c>
      <c r="I181" s="54" cm="1">
        <f t="array" ref="I181">J181*maxPriorValue_control/maxPosteriorValue_control</f>
        <v>3.74349014763273</v>
      </c>
      <c r="J181" s="49" cm="1">
        <f t="array" ref="J181">IF($B181=0,0,IF($B181=1,0,_xlfn.BETA.DIST($B181,alpha_control_posterior,beta_control_posterior,FALSE)))</f>
        <v>6.220877993324752</v>
      </c>
      <c r="L181" s="24">
        <v>9</v>
      </c>
      <c r="M181" s="29">
        <f t="shared" si="3"/>
        <v>108</v>
      </c>
      <c r="N181" s="69">
        <v>181644.73684210525</v>
      </c>
      <c r="O181" s="69">
        <v>42434.210526315786</v>
      </c>
      <c r="P181" s="70">
        <f t="shared" si="5"/>
        <v>139210.52631578947</v>
      </c>
      <c r="R181" s="24">
        <v>9</v>
      </c>
      <c r="S181" s="29">
        <f t="shared" si="4"/>
        <v>108</v>
      </c>
      <c r="T181" s="69">
        <v>475000</v>
      </c>
      <c r="U181" s="69">
        <v>55400.000000000007</v>
      </c>
      <c r="V181" s="70">
        <f t="shared" si="6"/>
        <v>419600</v>
      </c>
    </row>
    <row r="182" spans="2:22" x14ac:dyDescent="0.2">
      <c r="B182" s="24">
        <f t="shared" si="7"/>
        <v>9.9999999999999992E-2</v>
      </c>
      <c r="C182" s="54">
        <f t="shared" si="0"/>
        <v>1.8999999999999887E-17</v>
      </c>
      <c r="D182" s="54">
        <f t="shared" si="1"/>
        <v>9.1329188617706099E-8</v>
      </c>
      <c r="E182" s="49" cm="1">
        <f t="array" ref="E182">IF($B182=0,0,IF($B182=1,0,_xlfn.BETA.DIST($B182,alpha_experiment_posterior,beta_experiment_posterior,FALSE)))</f>
        <v>2.8837747482675957E-8</v>
      </c>
      <c r="G182" s="24">
        <f t="shared" si="8"/>
        <v>9.9999999999999992E-2</v>
      </c>
      <c r="H182" s="54">
        <f t="shared" si="2"/>
        <v>5.7035961412859653</v>
      </c>
      <c r="I182" s="54" cm="1">
        <f t="array" ref="I182">J182*maxPriorValue_control/maxPosteriorValue_control</f>
        <v>2.9635300987639246</v>
      </c>
      <c r="J182" s="49" cm="1">
        <f t="array" ref="J182">IF($B182=0,0,IF($B182=1,0,_xlfn.BETA.DIST($B182,alpha_control_posterior,beta_control_posterior,FALSE)))</f>
        <v>4.9247516213216818</v>
      </c>
      <c r="L182" s="24">
        <v>10</v>
      </c>
      <c r="M182" s="29">
        <f t="shared" si="3"/>
        <v>120</v>
      </c>
      <c r="N182" s="69">
        <v>196129.03225806452</v>
      </c>
      <c r="O182" s="69">
        <v>43548.387096774197</v>
      </c>
      <c r="P182" s="70">
        <f t="shared" si="5"/>
        <v>152580.6451612903</v>
      </c>
      <c r="R182" s="24">
        <v>10</v>
      </c>
      <c r="S182" s="29">
        <f t="shared" si="4"/>
        <v>120</v>
      </c>
      <c r="T182" s="69">
        <v>475000</v>
      </c>
      <c r="U182" s="69">
        <v>56000.000000000007</v>
      </c>
      <c r="V182" s="70">
        <f t="shared" si="6"/>
        <v>419000</v>
      </c>
    </row>
    <row r="183" spans="2:22" x14ac:dyDescent="0.2">
      <c r="B183" s="24">
        <f t="shared" si="7"/>
        <v>0.10999999999999999</v>
      </c>
      <c r="C183" s="54">
        <f t="shared" si="0"/>
        <v>1.0563842895635179E-16</v>
      </c>
      <c r="D183" s="54">
        <f t="shared" si="1"/>
        <v>4.4220538470488237E-7</v>
      </c>
      <c r="E183" s="49" cm="1">
        <f t="array" ref="E183">IF($B183=0,0,IF($B183=1,0,_xlfn.BETA.DIST($B183,alpha_experiment_posterior,beta_experiment_posterior,FALSE)))</f>
        <v>1.3962904316360792E-7</v>
      </c>
      <c r="G183" s="24">
        <f t="shared" si="8"/>
        <v>0.10999999999999999</v>
      </c>
      <c r="H183" s="54">
        <f t="shared" si="2"/>
        <v>5.1885846223155596</v>
      </c>
      <c r="I183" s="54" cm="1">
        <f t="array" ref="I183">J183*maxPriorValue_control/maxPosteriorValue_control</f>
        <v>2.2982990471079021</v>
      </c>
      <c r="J183" s="49" cm="1">
        <f t="array" ref="J183">IF($B183=0,0,IF($B183=1,0,_xlfn.BETA.DIST($B183,alpha_control_posterior,beta_control_posterior,FALSE)))</f>
        <v>3.8192802439386848</v>
      </c>
      <c r="L183" s="24">
        <v>11</v>
      </c>
      <c r="M183" s="29">
        <f t="shared" si="3"/>
        <v>132</v>
      </c>
      <c r="N183" s="69">
        <v>210063.29113924055</v>
      </c>
      <c r="O183" s="69">
        <v>44620.253164556969</v>
      </c>
      <c r="P183" s="70">
        <f t="shared" si="5"/>
        <v>165443.03797468357</v>
      </c>
      <c r="R183" s="24">
        <v>11</v>
      </c>
      <c r="S183" s="29">
        <f t="shared" si="4"/>
        <v>132</v>
      </c>
      <c r="T183" s="69">
        <v>475000</v>
      </c>
      <c r="U183" s="69">
        <v>56600.000000000007</v>
      </c>
      <c r="V183" s="70">
        <f t="shared" si="6"/>
        <v>418400</v>
      </c>
    </row>
    <row r="184" spans="2:22" x14ac:dyDescent="0.2">
      <c r="B184" s="24">
        <f t="shared" si="7"/>
        <v>0.11999999999999998</v>
      </c>
      <c r="C184" s="54">
        <f t="shared" si="0"/>
        <v>5.0584333233681914E-16</v>
      </c>
      <c r="D184" s="54">
        <f t="shared" si="1"/>
        <v>1.8273769774532406E-6</v>
      </c>
      <c r="E184" s="49" cm="1">
        <f t="array" ref="E184">IF($B184=0,0,IF($B184=1,0,_xlfn.BETA.DIST($B184,alpha_experiment_posterior,beta_experiment_posterior,FALSE)))</f>
        <v>5.7700540899402754E-7</v>
      </c>
      <c r="G184" s="24">
        <f t="shared" si="8"/>
        <v>0.11999999999999998</v>
      </c>
      <c r="H184" s="54">
        <f t="shared" si="2"/>
        <v>4.6710313129685428</v>
      </c>
      <c r="I184" s="54" cm="1">
        <f t="array" ref="I184">J184*maxPriorValue_control/maxPosteriorValue_control</f>
        <v>1.7508190316617334</v>
      </c>
      <c r="J184" s="49" cm="1">
        <f t="array" ref="J184">IF($B184=0,0,IF($B184=1,0,_xlfn.BETA.DIST($B184,alpha_control_posterior,beta_control_posterior,FALSE)))</f>
        <v>2.9094858420413283</v>
      </c>
      <c r="L184" s="24">
        <v>12</v>
      </c>
      <c r="M184" s="29">
        <f t="shared" si="3"/>
        <v>144</v>
      </c>
      <c r="N184" s="69">
        <v>223478.26086956519</v>
      </c>
      <c r="O184" s="69">
        <v>45652.173913043487</v>
      </c>
      <c r="P184" s="70">
        <f t="shared" si="5"/>
        <v>177826.0869565217</v>
      </c>
      <c r="R184" s="24">
        <v>12</v>
      </c>
      <c r="S184" s="29">
        <f t="shared" si="4"/>
        <v>144</v>
      </c>
      <c r="T184" s="69">
        <v>475000</v>
      </c>
      <c r="U184" s="69">
        <v>57199.999999999993</v>
      </c>
      <c r="V184" s="70">
        <f t="shared" si="6"/>
        <v>417800</v>
      </c>
    </row>
    <row r="185" spans="2:22" x14ac:dyDescent="0.2">
      <c r="B185" s="24">
        <f t="shared" si="7"/>
        <v>0.12999999999999998</v>
      </c>
      <c r="C185" s="54">
        <f t="shared" si="0"/>
        <v>2.1366527320871942E-15</v>
      </c>
      <c r="D185" s="54">
        <f t="shared" si="1"/>
        <v>6.6078182904748049E-6</v>
      </c>
      <c r="E185" s="49" cm="1">
        <f t="array" ref="E185">IF($B185=0,0,IF($B185=1,0,_xlfn.BETA.DIST($B185,alpha_experiment_posterior,beta_experiment_posterior,FALSE)))</f>
        <v>2.0864588655195489E-6</v>
      </c>
      <c r="G185" s="24">
        <f t="shared" si="8"/>
        <v>0.12999999999999998</v>
      </c>
      <c r="H185" s="54">
        <f t="shared" si="2"/>
        <v>4.1667433683154469</v>
      </c>
      <c r="I185" s="54" cm="1">
        <f t="array" ref="I185">J185*maxPriorValue_control/maxPosteriorValue_control</f>
        <v>1.312780623274838</v>
      </c>
      <c r="J185" s="49" cm="1">
        <f t="array" ref="J185">IF($B185=0,0,IF($B185=1,0,_xlfn.BETA.DIST($B185,alpha_control_posterior,beta_control_posterior,FALSE)))</f>
        <v>2.1815599259845611</v>
      </c>
      <c r="L185" s="24">
        <v>13</v>
      </c>
      <c r="M185" s="29">
        <f t="shared" si="3"/>
        <v>156</v>
      </c>
      <c r="N185" s="69">
        <v>236402.43902439025</v>
      </c>
      <c r="O185" s="69">
        <v>46646.341463414639</v>
      </c>
      <c r="P185" s="70">
        <f t="shared" si="5"/>
        <v>189756.09756097561</v>
      </c>
      <c r="R185" s="24">
        <v>13</v>
      </c>
      <c r="S185" s="29">
        <f t="shared" si="4"/>
        <v>156</v>
      </c>
      <c r="T185" s="69">
        <v>475000</v>
      </c>
      <c r="U185" s="69">
        <v>57800</v>
      </c>
      <c r="V185" s="70">
        <f t="shared" si="6"/>
        <v>417200</v>
      </c>
    </row>
    <row r="186" spans="2:22" x14ac:dyDescent="0.2">
      <c r="B186" s="24">
        <f t="shared" si="7"/>
        <v>0.13999999999999999</v>
      </c>
      <c r="C186" s="54">
        <f t="shared" si="0"/>
        <v>8.1106982300020969E-15</v>
      </c>
      <c r="D186" s="54">
        <f t="shared" si="1"/>
        <v>2.1317229102789802E-5</v>
      </c>
      <c r="E186" s="49" cm="1">
        <f t="array" ref="E186">IF($B186=0,0,IF($B186=1,0,_xlfn.BETA.DIST($B186,alpha_experiment_posterior,beta_experiment_posterior,FALSE)))</f>
        <v>6.7310449069009107E-6</v>
      </c>
      <c r="G186" s="24">
        <f t="shared" si="8"/>
        <v>0.13999999999999999</v>
      </c>
      <c r="H186" s="54">
        <f t="shared" si="2"/>
        <v>3.6866152298255077</v>
      </c>
      <c r="I186" s="54" cm="1">
        <f t="array" ref="I186">J186*maxPriorValue_control/maxPosteriorValue_control</f>
        <v>0.97035462732892375</v>
      </c>
      <c r="J186" s="49" cm="1">
        <f t="array" ref="J186">IF($B186=0,0,IF($B186=1,0,_xlfn.BETA.DIST($B186,alpha_control_posterior,beta_control_posterior,FALSE)))</f>
        <v>1.6125213393946332</v>
      </c>
      <c r="L186" s="24">
        <v>14</v>
      </c>
      <c r="M186" s="29">
        <f t="shared" si="3"/>
        <v>168</v>
      </c>
      <c r="N186" s="69">
        <v>248862.27544910181</v>
      </c>
      <c r="O186" s="69">
        <v>47604.790419161676</v>
      </c>
      <c r="P186" s="70">
        <f t="shared" si="5"/>
        <v>201257.48502994014</v>
      </c>
      <c r="R186" s="24">
        <v>14</v>
      </c>
      <c r="S186" s="29">
        <f t="shared" si="4"/>
        <v>168</v>
      </c>
      <c r="T186" s="69">
        <v>475000</v>
      </c>
      <c r="U186" s="69">
        <v>58399.999999999993</v>
      </c>
      <c r="V186" s="70">
        <f t="shared" si="6"/>
        <v>416600</v>
      </c>
    </row>
    <row r="187" spans="2:22" x14ac:dyDescent="0.2">
      <c r="B187" s="24">
        <f t="shared" si="7"/>
        <v>0.15</v>
      </c>
      <c r="C187" s="54">
        <f t="shared" si="0"/>
        <v>2.8079945720672506E-14</v>
      </c>
      <c r="D187" s="54">
        <f t="shared" si="1"/>
        <v>6.2303502512440516E-5</v>
      </c>
      <c r="E187" s="49" cm="1">
        <f t="array" ref="E187">IF($B187=0,0,IF($B187=1,0,_xlfn.BETA.DIST($B187,alpha_experiment_posterior,beta_experiment_posterior,FALSE)))</f>
        <v>1.9672710334269846E-5</v>
      </c>
      <c r="G187" s="24">
        <f t="shared" si="8"/>
        <v>0.15</v>
      </c>
      <c r="H187" s="54">
        <f t="shared" si="2"/>
        <v>3.2377186153235678</v>
      </c>
      <c r="I187" s="54" cm="1">
        <f t="array" ref="I187">J187*maxPriorValue_control/maxPosteriorValue_control</f>
        <v>0.70790814520589429</v>
      </c>
      <c r="J187" s="49" cm="1">
        <f t="array" ref="J187">IF($B187=0,0,IF($B187=1,0,_xlfn.BETA.DIST($B187,alpha_control_posterior,beta_control_posterior,FALSE)))</f>
        <v>1.1763915565776304</v>
      </c>
      <c r="L187" s="24">
        <v>15</v>
      </c>
      <c r="M187" s="29">
        <f t="shared" si="3"/>
        <v>180</v>
      </c>
      <c r="N187" s="69">
        <v>260882.3529411765</v>
      </c>
      <c r="O187" s="69">
        <v>48529.411764705881</v>
      </c>
      <c r="P187" s="70">
        <f t="shared" si="5"/>
        <v>212352.94117647063</v>
      </c>
      <c r="R187" s="24">
        <v>15</v>
      </c>
      <c r="S187" s="29">
        <f t="shared" si="4"/>
        <v>180</v>
      </c>
      <c r="T187" s="69">
        <v>475000</v>
      </c>
      <c r="U187" s="69">
        <v>59000</v>
      </c>
      <c r="V187" s="70">
        <f t="shared" si="6"/>
        <v>416000</v>
      </c>
    </row>
    <row r="188" spans="2:22" x14ac:dyDescent="0.2">
      <c r="B188" s="24">
        <f t="shared" si="7"/>
        <v>0.16</v>
      </c>
      <c r="C188" s="54">
        <f t="shared" si="0"/>
        <v>8.9724963174522782E-14</v>
      </c>
      <c r="D188" s="54">
        <f t="shared" si="1"/>
        <v>1.6702111722645313E-4</v>
      </c>
      <c r="E188" s="49" cm="1">
        <f t="array" ref="E188">IF($B188=0,0,IF($B188=1,0,_xlfn.BETA.DIST($B188,alpha_experiment_posterior,beta_experiment_posterior,FALSE)))</f>
        <v>5.2737934889712703E-5</v>
      </c>
      <c r="G188" s="24">
        <f t="shared" si="8"/>
        <v>0.16</v>
      </c>
      <c r="H188" s="54">
        <f t="shared" si="2"/>
        <v>2.8241902655643805</v>
      </c>
      <c r="I188" s="54" cm="1">
        <f t="array" ref="I188">J188*maxPriorValue_control/maxPosteriorValue_control</f>
        <v>0.51019944726426647</v>
      </c>
      <c r="J188" s="49" cm="1">
        <f t="array" ref="J188">IF($B188=0,0,IF($B188=1,0,_xlfn.BETA.DIST($B188,alpha_control_posterior,beta_control_posterior,FALSE)))</f>
        <v>0.84784209080924089</v>
      </c>
      <c r="L188" s="24">
        <v>16</v>
      </c>
      <c r="M188" s="29">
        <f t="shared" si="3"/>
        <v>192</v>
      </c>
      <c r="N188" s="69">
        <v>272485.54913294793</v>
      </c>
      <c r="O188" s="69">
        <v>49421.965317919072</v>
      </c>
      <c r="P188" s="70">
        <f t="shared" si="5"/>
        <v>223063.58381502886</v>
      </c>
      <c r="R188" s="24">
        <v>16</v>
      </c>
      <c r="S188" s="29">
        <f t="shared" si="4"/>
        <v>192</v>
      </c>
      <c r="T188" s="69">
        <v>475000</v>
      </c>
      <c r="U188" s="69">
        <v>59600</v>
      </c>
      <c r="V188" s="70">
        <f t="shared" si="6"/>
        <v>415400</v>
      </c>
    </row>
    <row r="189" spans="2:22" x14ac:dyDescent="0.2">
      <c r="B189" s="24">
        <f t="shared" si="7"/>
        <v>0.17</v>
      </c>
      <c r="C189" s="54">
        <f t="shared" si="0"/>
        <v>2.6719860458928741E-13</v>
      </c>
      <c r="D189" s="54">
        <f t="shared" si="1"/>
        <v>4.1485135565821836E-4</v>
      </c>
      <c r="E189" s="49" cm="1">
        <f t="array" ref="E189">IF($B189=0,0,IF($B189=1,0,_xlfn.BETA.DIST($B189,alpha_experiment_posterior,beta_experiment_posterior,FALSE)))</f>
        <v>1.3099184191151504E-4</v>
      </c>
      <c r="G189" s="24">
        <f t="shared" si="8"/>
        <v>0.17</v>
      </c>
      <c r="H189" s="54">
        <f t="shared" si="2"/>
        <v>2.4479503091037738</v>
      </c>
      <c r="I189" s="54" cm="1">
        <f t="array" ref="I189">J189*maxPriorValue_control/maxPosteriorValue_control</f>
        <v>0.36353215887478391</v>
      </c>
      <c r="J189" s="49" cm="1">
        <f t="array" ref="J189">IF($B189=0,0,IF($B189=1,0,_xlfn.BETA.DIST($B189,alpha_control_posterior,beta_control_posterior,FALSE)))</f>
        <v>0.60411250405990202</v>
      </c>
      <c r="L189" s="24">
        <v>17</v>
      </c>
      <c r="M189" s="29">
        <f t="shared" si="3"/>
        <v>204</v>
      </c>
      <c r="N189" s="69">
        <v>283693.18181818177</v>
      </c>
      <c r="O189" s="69">
        <v>50284.090909090904</v>
      </c>
      <c r="P189" s="70">
        <f t="shared" si="5"/>
        <v>233409.09090909085</v>
      </c>
      <c r="R189" s="24">
        <v>17</v>
      </c>
      <c r="S189" s="29">
        <f t="shared" si="4"/>
        <v>204</v>
      </c>
      <c r="T189" s="69">
        <v>475000</v>
      </c>
      <c r="U189" s="69">
        <v>60200</v>
      </c>
      <c r="V189" s="70">
        <f t="shared" si="6"/>
        <v>414800</v>
      </c>
    </row>
    <row r="190" spans="2:22" x14ac:dyDescent="0.2">
      <c r="B190" s="24">
        <f t="shared" si="7"/>
        <v>0.18000000000000002</v>
      </c>
      <c r="C190" s="54">
        <f t="shared" si="0"/>
        <v>7.4758175343063519E-13</v>
      </c>
      <c r="D190" s="54">
        <f t="shared" si="1"/>
        <v>9.6272551007666385E-4</v>
      </c>
      <c r="E190" s="49" cm="1">
        <f t="array" ref="E190">IF($B190=0,0,IF($B190=1,0,_xlfn.BETA.DIST($B190,alpha_experiment_posterior,beta_experiment_posterior,FALSE)))</f>
        <v>3.0398644261401913E-4</v>
      </c>
      <c r="G190" s="24">
        <f t="shared" si="8"/>
        <v>0.18000000000000002</v>
      </c>
      <c r="H190" s="54">
        <f t="shared" si="2"/>
        <v>2.1092793537966585</v>
      </c>
      <c r="I190" s="54" cm="1">
        <f t="array" ref="I190">J190*maxPriorValue_control/maxPosteriorValue_control</f>
        <v>0.25623723175376895</v>
      </c>
      <c r="J190" s="49" cm="1">
        <f t="array" ref="J190">IF($B190=0,0,IF($B190=1,0,_xlfn.BETA.DIST($B190,alpha_control_posterior,beta_control_posterior,FALSE)))</f>
        <v>0.42581134001260457</v>
      </c>
      <c r="L190" s="24">
        <v>18</v>
      </c>
      <c r="M190" s="29">
        <f t="shared" si="3"/>
        <v>216</v>
      </c>
      <c r="N190" s="69">
        <v>294525.13966480445</v>
      </c>
      <c r="O190" s="69">
        <v>51117.318435754183</v>
      </c>
      <c r="P190" s="70">
        <f t="shared" si="5"/>
        <v>243407.82122905026</v>
      </c>
      <c r="R190" s="24">
        <v>18</v>
      </c>
      <c r="S190" s="29">
        <f t="shared" si="4"/>
        <v>216</v>
      </c>
      <c r="T190" s="69">
        <v>475000</v>
      </c>
      <c r="U190" s="69">
        <v>60800</v>
      </c>
      <c r="V190" s="70">
        <f t="shared" si="6"/>
        <v>414200</v>
      </c>
    </row>
    <row r="191" spans="2:22" x14ac:dyDescent="0.2">
      <c r="B191" s="24">
        <f t="shared" si="7"/>
        <v>0.19000000000000003</v>
      </c>
      <c r="C191" s="54">
        <f t="shared" si="0"/>
        <v>1.9784196556603187E-12</v>
      </c>
      <c r="D191" s="54">
        <f t="shared" si="1"/>
        <v>2.1020037112605742E-3</v>
      </c>
      <c r="E191" s="49" cm="1">
        <f t="array" ref="E191">IF($B191=0,0,IF($B191=1,0,_xlfn.BETA.DIST($B191,alpha_experiment_posterior,beta_experiment_posterior,FALSE)))</f>
        <v>6.6372047261600495E-4</v>
      </c>
      <c r="G191" s="24">
        <f t="shared" si="8"/>
        <v>0.19000000000000003</v>
      </c>
      <c r="H191" s="54">
        <f t="shared" si="2"/>
        <v>1.8072782746051186</v>
      </c>
      <c r="I191" s="54" cm="1">
        <f t="array" ref="I191">J191*maxPriorValue_control/maxPosteriorValue_control</f>
        <v>0.17874851710064008</v>
      </c>
      <c r="J191" s="49" cm="1">
        <f t="array" ref="J191">IF($B191=0,0,IF($B191=1,0,_xlfn.BETA.DIST($B191,alpha_control_posterior,beta_control_posterior,FALSE)))</f>
        <v>0.29704171041400579</v>
      </c>
      <c r="L191" s="24">
        <v>19</v>
      </c>
      <c r="M191" s="29">
        <f t="shared" si="3"/>
        <v>228</v>
      </c>
      <c r="N191" s="69">
        <v>305000</v>
      </c>
      <c r="O191" s="69">
        <v>51923.076923076922</v>
      </c>
      <c r="P191" s="70">
        <f t="shared" si="5"/>
        <v>253076.92307692306</v>
      </c>
      <c r="R191" s="24">
        <v>19</v>
      </c>
      <c r="S191" s="29">
        <f t="shared" si="4"/>
        <v>228</v>
      </c>
      <c r="T191" s="69">
        <v>475000</v>
      </c>
      <c r="U191" s="69">
        <v>61399.999999999993</v>
      </c>
      <c r="V191" s="70">
        <f t="shared" si="6"/>
        <v>413600</v>
      </c>
    </row>
    <row r="192" spans="2:22" x14ac:dyDescent="0.2">
      <c r="B192" s="24">
        <f t="shared" si="7"/>
        <v>0.20000000000000004</v>
      </c>
      <c r="C192" s="54">
        <f t="shared" si="0"/>
        <v>4.9807360000000139E-12</v>
      </c>
      <c r="D192" s="54">
        <f t="shared" si="1"/>
        <v>4.3435526167586247E-3</v>
      </c>
      <c r="E192" s="49" cm="1">
        <f t="array" ref="E192">IF($B192=0,0,IF($B192=1,0,_xlfn.BETA.DIST($B192,alpha_experiment_posterior,beta_experiment_posterior,FALSE)))</f>
        <v>1.3715031901150344E-3</v>
      </c>
      <c r="G192" s="24">
        <f t="shared" si="8"/>
        <v>0.20000000000000004</v>
      </c>
      <c r="H192" s="54">
        <f t="shared" si="2"/>
        <v>1.5402310725607078</v>
      </c>
      <c r="I192" s="54" cm="1">
        <f t="array" ref="I192">J192*maxPriorValue_control/maxPosteriorValue_control</f>
        <v>0.12345410019820444</v>
      </c>
      <c r="J192" s="49" cm="1">
        <f t="array" ref="J192">IF($B192=0,0,IF($B192=1,0,_xlfn.BETA.DIST($B192,alpha_control_posterior,beta_control_posterior,FALSE)))</f>
        <v>0.20515424505507901</v>
      </c>
      <c r="L192" s="24">
        <v>20</v>
      </c>
      <c r="M192" s="29">
        <f t="shared" si="3"/>
        <v>240</v>
      </c>
      <c r="N192" s="69">
        <v>315135.13513513515</v>
      </c>
      <c r="O192" s="69">
        <v>52702.702702702707</v>
      </c>
      <c r="P192" s="70">
        <f t="shared" si="5"/>
        <v>262432.43243243243</v>
      </c>
      <c r="R192" s="24">
        <v>20</v>
      </c>
      <c r="S192" s="29">
        <f t="shared" si="4"/>
        <v>240</v>
      </c>
      <c r="T192" s="69">
        <v>475000</v>
      </c>
      <c r="U192" s="69">
        <v>62000</v>
      </c>
      <c r="V192" s="70">
        <f t="shared" si="6"/>
        <v>413000</v>
      </c>
    </row>
    <row r="193" spans="2:22" x14ac:dyDescent="0.2">
      <c r="B193" s="24">
        <f t="shared" si="7"/>
        <v>0.21000000000000005</v>
      </c>
      <c r="C193" s="54">
        <f t="shared" si="0"/>
        <v>1.1986735055537662E-11</v>
      </c>
      <c r="D193" s="54">
        <f t="shared" si="1"/>
        <v>8.5372168300701101E-3</v>
      </c>
      <c r="E193" s="49" cm="1">
        <f t="array" ref="E193">IF($B193=0,0,IF($B193=1,0,_xlfn.BETA.DIST($B193,alpha_experiment_posterior,beta_experiment_posterior,FALSE)))</f>
        <v>2.6956782040510013E-3</v>
      </c>
      <c r="G193" s="24">
        <f t="shared" si="8"/>
        <v>0.21000000000000005</v>
      </c>
      <c r="H193" s="54">
        <f t="shared" si="2"/>
        <v>1.3058880650368225</v>
      </c>
      <c r="I193" s="54" cm="1">
        <f t="array" ref="I193">J193*maxPriorValue_control/maxPosteriorValue_control</f>
        <v>8.4442093802993126E-2</v>
      </c>
      <c r="J193" s="49" cm="1">
        <f t="array" ref="J193">IF($B193=0,0,IF($B193=1,0,_xlfn.BETA.DIST($B193,alpha_control_posterior,beta_control_posterior,FALSE)))</f>
        <v>0.14032465488963308</v>
      </c>
      <c r="L193" s="24">
        <v>21</v>
      </c>
      <c r="M193" s="29">
        <f t="shared" si="3"/>
        <v>252</v>
      </c>
      <c r="N193" s="69">
        <v>324946.80851063831</v>
      </c>
      <c r="O193" s="69">
        <v>53457.446808510642</v>
      </c>
      <c r="P193" s="70">
        <f t="shared" si="5"/>
        <v>271489.36170212767</v>
      </c>
      <c r="R193" s="24">
        <v>21</v>
      </c>
      <c r="S193" s="29">
        <f t="shared" si="4"/>
        <v>252</v>
      </c>
      <c r="T193" s="69">
        <v>475000</v>
      </c>
      <c r="U193" s="69">
        <v>62600</v>
      </c>
      <c r="V193" s="70">
        <f t="shared" si="6"/>
        <v>412400</v>
      </c>
    </row>
    <row r="194" spans="2:22" x14ac:dyDescent="0.2">
      <c r="B194" s="24">
        <f t="shared" si="7"/>
        <v>0.22000000000000006</v>
      </c>
      <c r="C194" s="54">
        <f t="shared" si="0"/>
        <v>2.7692480320334123E-11</v>
      </c>
      <c r="D194" s="54">
        <f t="shared" si="1"/>
        <v>1.6029360238695819E-2</v>
      </c>
      <c r="E194" s="49" cm="1">
        <f t="array" ref="E194">IF($B194=0,0,IF($B194=1,0,_xlfn.BETA.DIST($B194,alpha_experiment_posterior,beta_experiment_posterior,FALSE)))</f>
        <v>5.0613681109911816E-3</v>
      </c>
      <c r="G194" s="24">
        <f t="shared" si="8"/>
        <v>0.22000000000000006</v>
      </c>
      <c r="H194" s="54">
        <f t="shared" si="2"/>
        <v>1.1016839758839243</v>
      </c>
      <c r="I194" s="54" cm="1">
        <f t="array" ref="I194">J194*maxPriorValue_control/maxPosteriorValue_control</f>
        <v>5.7213936037516719E-2</v>
      </c>
      <c r="J194" s="49" cm="1">
        <f t="array" ref="J194">IF($B194=0,0,IF($B194=1,0,_xlfn.BETA.DIST($B194,alpha_control_posterior,beta_control_posterior,FALSE)))</f>
        <v>9.5077294602298162E-2</v>
      </c>
      <c r="L194" s="24">
        <v>22</v>
      </c>
      <c r="M194" s="29">
        <f t="shared" si="3"/>
        <v>264</v>
      </c>
      <c r="N194" s="69">
        <v>334450.26178010477</v>
      </c>
      <c r="O194" s="69">
        <v>54188.481675392679</v>
      </c>
      <c r="P194" s="70">
        <f t="shared" si="5"/>
        <v>280261.78010471212</v>
      </c>
      <c r="R194" s="24">
        <v>22</v>
      </c>
      <c r="S194" s="29">
        <f t="shared" si="4"/>
        <v>264</v>
      </c>
      <c r="T194" s="69">
        <v>475000</v>
      </c>
      <c r="U194" s="69">
        <v>63200.000000000007</v>
      </c>
      <c r="V194" s="70">
        <f t="shared" si="6"/>
        <v>411800</v>
      </c>
    </row>
    <row r="195" spans="2:22" x14ac:dyDescent="0.2">
      <c r="B195" s="24">
        <f t="shared" si="7"/>
        <v>0.23000000000000007</v>
      </c>
      <c r="C195" s="54">
        <f t="shared" si="0"/>
        <v>6.163886728800987E-11</v>
      </c>
      <c r="D195" s="54">
        <f t="shared" si="1"/>
        <v>2.8857496956992433E-2</v>
      </c>
      <c r="E195" s="49" cm="1">
        <f t="array" ref="E195">IF($B195=0,0,IF($B195=1,0,_xlfn.BETA.DIST($B195,alpha_experiment_posterior,beta_experiment_posterior,FALSE)))</f>
        <v>9.1119304006003279E-3</v>
      </c>
      <c r="G195" s="24">
        <f t="shared" si="8"/>
        <v>0.23000000000000007</v>
      </c>
      <c r="H195" s="54">
        <f t="shared" si="2"/>
        <v>0.92490317439234104</v>
      </c>
      <c r="I195" s="54" cm="1">
        <f t="array" ref="I195">J195*maxPriorValue_control/maxPosteriorValue_control</f>
        <v>3.8406871535315391E-2</v>
      </c>
      <c r="J195" s="49" cm="1">
        <f t="array" ref="J195">IF($B195=0,0,IF($B195=1,0,_xlfn.BETA.DIST($B195,alpha_control_posterior,beta_control_posterior,FALSE)))</f>
        <v>6.3823985773699174E-2</v>
      </c>
      <c r="L195" s="24">
        <v>23</v>
      </c>
      <c r="M195" s="29">
        <f t="shared" si="3"/>
        <v>276</v>
      </c>
      <c r="N195" s="69">
        <v>343659.79381443298</v>
      </c>
      <c r="O195" s="69">
        <v>54896.907216494845</v>
      </c>
      <c r="P195" s="70">
        <f t="shared" si="5"/>
        <v>288762.88659793814</v>
      </c>
      <c r="R195" s="24">
        <v>23</v>
      </c>
      <c r="S195" s="29">
        <f t="shared" si="4"/>
        <v>276</v>
      </c>
      <c r="T195" s="69">
        <v>475000</v>
      </c>
      <c r="U195" s="69">
        <v>63799.999999999993</v>
      </c>
      <c r="V195" s="70">
        <f t="shared" si="6"/>
        <v>411200</v>
      </c>
    </row>
    <row r="196" spans="2:22" x14ac:dyDescent="0.2">
      <c r="B196" s="24">
        <f t="shared" si="7"/>
        <v>0.24000000000000007</v>
      </c>
      <c r="C196" s="54">
        <f t="shared" si="0"/>
        <v>1.3260379451210425E-10</v>
      </c>
      <c r="D196" s="54">
        <f t="shared" si="1"/>
        <v>4.9974186596088481E-2</v>
      </c>
      <c r="E196" s="49" cm="1">
        <f t="array" ref="E196">IF($B196=0,0,IF($B196=1,0,_xlfn.BETA.DIST($B196,alpha_experiment_posterior,beta_experiment_posterior,FALSE)))</f>
        <v>1.5779653750594397E-2</v>
      </c>
      <c r="G196" s="24">
        <f t="shared" si="8"/>
        <v>0.24000000000000007</v>
      </c>
      <c r="H196" s="54">
        <f t="shared" si="2"/>
        <v>0.77280231884889139</v>
      </c>
      <c r="I196" s="54" cm="1">
        <f t="array" ref="I196">J196*maxPriorValue_control/maxPosteriorValue_control</f>
        <v>2.5546696271204001E-2</v>
      </c>
      <c r="J196" s="49" cm="1">
        <f t="array" ref="J196">IF($B196=0,0,IF($B196=1,0,_xlfn.BETA.DIST($B196,alpha_control_posterior,beta_control_posterior,FALSE)))</f>
        <v>4.245313180166442E-2</v>
      </c>
      <c r="L196" s="24">
        <v>24</v>
      </c>
      <c r="M196" s="29">
        <f t="shared" si="3"/>
        <v>288</v>
      </c>
      <c r="N196" s="69">
        <v>352588.83248730964</v>
      </c>
      <c r="O196" s="69">
        <v>55583.756345177666</v>
      </c>
      <c r="P196" s="70">
        <f t="shared" si="5"/>
        <v>297005.07614213199</v>
      </c>
      <c r="R196" s="24">
        <v>24</v>
      </c>
      <c r="S196" s="29">
        <f t="shared" si="4"/>
        <v>288</v>
      </c>
      <c r="T196" s="69">
        <v>475000</v>
      </c>
      <c r="U196" s="69">
        <v>64400</v>
      </c>
      <c r="V196" s="70">
        <f t="shared" si="6"/>
        <v>410600</v>
      </c>
    </row>
    <row r="197" spans="2:22" x14ac:dyDescent="0.2">
      <c r="B197" s="24">
        <f t="shared" si="7"/>
        <v>0.25000000000000006</v>
      </c>
      <c r="C197" s="54">
        <f t="shared" si="0"/>
        <v>2.7648638933897122E-10</v>
      </c>
      <c r="D197" s="54">
        <f t="shared" si="1"/>
        <v>8.3483728734924323E-2</v>
      </c>
      <c r="E197" s="49" cm="1">
        <f t="array" ref="E197">IF($B197=0,0,IF($B197=1,0,_xlfn.BETA.DIST($B197,alpha_experiment_posterior,beta_experiment_posterior,FALSE)))</f>
        <v>2.6360495747393787E-2</v>
      </c>
      <c r="G197" s="24">
        <f t="shared" si="8"/>
        <v>0.25000000000000006</v>
      </c>
      <c r="H197" s="54">
        <f t="shared" si="2"/>
        <v>0.64269895295728829</v>
      </c>
      <c r="I197" s="54" cm="1">
        <f t="array" ref="I197">J197*maxPriorValue_control/maxPosteriorValue_control</f>
        <v>1.6838988494568635E-2</v>
      </c>
      <c r="J197" s="49" cm="1">
        <f t="array" ref="J197">IF($B197=0,0,IF($B197=1,0,_xlfn.BETA.DIST($B197,alpha_control_posterior,beta_control_posterior,FALSE)))</f>
        <v>2.7982788474000271E-2</v>
      </c>
      <c r="L197" s="24">
        <v>25</v>
      </c>
      <c r="M197" s="29">
        <f t="shared" si="3"/>
        <v>300</v>
      </c>
      <c r="N197" s="69">
        <v>361250.00000000006</v>
      </c>
      <c r="O197" s="69">
        <v>56249.999999999993</v>
      </c>
      <c r="P197" s="70">
        <f t="shared" si="5"/>
        <v>305000.00000000006</v>
      </c>
      <c r="R197" s="24">
        <v>25</v>
      </c>
      <c r="S197" s="29">
        <f t="shared" si="4"/>
        <v>300</v>
      </c>
      <c r="T197" s="69">
        <v>475000</v>
      </c>
      <c r="U197" s="69">
        <v>65000</v>
      </c>
      <c r="V197" s="70">
        <f t="shared" si="6"/>
        <v>410000</v>
      </c>
    </row>
    <row r="198" spans="2:22" x14ac:dyDescent="0.2">
      <c r="B198" s="24">
        <f t="shared" si="7"/>
        <v>0.26000000000000006</v>
      </c>
      <c r="C198" s="54">
        <f t="shared" si="0"/>
        <v>5.6011069380026834E-10</v>
      </c>
      <c r="D198" s="54">
        <f t="shared" si="1"/>
        <v>0.13486565898137426</v>
      </c>
      <c r="E198" s="49" cm="1">
        <f t="array" ref="E198">IF($B198=0,0,IF($B198=1,0,_xlfn.BETA.DIST($B198,alpha_experiment_posterior,beta_experiment_posterior,FALSE)))</f>
        <v>4.2584653128469291E-2</v>
      </c>
      <c r="G198" s="24">
        <f t="shared" si="8"/>
        <v>0.26000000000000006</v>
      </c>
      <c r="H198" s="54">
        <f t="shared" si="2"/>
        <v>0.53203314538251545</v>
      </c>
      <c r="I198" s="54" cm="1">
        <f t="array" ref="I198">J198*maxPriorValue_control/maxPosteriorValue_control</f>
        <v>1.099952557499443E-2</v>
      </c>
      <c r="J198" s="49" cm="1">
        <f t="array" ref="J198">IF($B198=0,0,IF($B198=1,0,_xlfn.BETA.DIST($B198,alpha_control_posterior,beta_control_posterior,FALSE)))</f>
        <v>1.8278853125810048E-2</v>
      </c>
      <c r="L198" s="24">
        <v>26</v>
      </c>
      <c r="M198" s="29">
        <f t="shared" si="3"/>
        <v>312</v>
      </c>
      <c r="N198" s="69">
        <v>369655.17241379316</v>
      </c>
      <c r="O198" s="69">
        <v>56896.551724137935</v>
      </c>
      <c r="P198" s="70">
        <f t="shared" si="5"/>
        <v>312758.62068965525</v>
      </c>
      <c r="R198" s="24">
        <v>26</v>
      </c>
      <c r="S198" s="29">
        <f t="shared" si="4"/>
        <v>312</v>
      </c>
      <c r="T198" s="69">
        <v>475000</v>
      </c>
      <c r="U198" s="69">
        <v>65600</v>
      </c>
      <c r="V198" s="70">
        <f t="shared" si="6"/>
        <v>409400</v>
      </c>
    </row>
    <row r="199" spans="2:22" x14ac:dyDescent="0.2">
      <c r="B199" s="24">
        <f t="shared" si="7"/>
        <v>0.27000000000000007</v>
      </c>
      <c r="C199" s="54">
        <f t="shared" si="0"/>
        <v>1.1048450030577652E-9</v>
      </c>
      <c r="D199" s="54">
        <f t="shared" si="1"/>
        <v>0.21115000623932928</v>
      </c>
      <c r="E199" s="49" cm="1">
        <f t="array" ref="E199">IF($B199=0,0,IF($B199=1,0,_xlfn.BETA.DIST($B199,alpha_experiment_posterior,beta_experiment_posterior,FALSE)))</f>
        <v>6.6671900331705475E-2</v>
      </c>
      <c r="G199" s="24">
        <f t="shared" si="8"/>
        <v>0.27000000000000007</v>
      </c>
      <c r="H199" s="54">
        <f t="shared" si="2"/>
        <v>0.43840802198334822</v>
      </c>
      <c r="I199" s="54" cm="1">
        <f t="array" ref="I199">J199*maxPriorValue_control/maxPosteriorValue_control</f>
        <v>7.1205924573532033E-3</v>
      </c>
      <c r="J199" s="49" cm="1">
        <f t="array" ref="J199">IF($B199=0,0,IF($B199=1,0,_xlfn.BETA.DIST($B199,alpha_control_posterior,beta_control_posterior,FALSE)))</f>
        <v>1.183289795630808E-2</v>
      </c>
      <c r="L199" s="24">
        <v>27</v>
      </c>
      <c r="M199" s="29">
        <f t="shared" si="3"/>
        <v>324</v>
      </c>
      <c r="N199" s="69">
        <v>377815.53398058255</v>
      </c>
      <c r="O199" s="69">
        <v>57524.271844660201</v>
      </c>
      <c r="P199" s="70">
        <f t="shared" si="5"/>
        <v>320291.26213592233</v>
      </c>
      <c r="R199" s="24">
        <v>27</v>
      </c>
      <c r="S199" s="29">
        <f t="shared" si="4"/>
        <v>324</v>
      </c>
      <c r="T199" s="69">
        <v>475000</v>
      </c>
      <c r="U199" s="69">
        <v>66200.000000000015</v>
      </c>
      <c r="V199" s="70">
        <f t="shared" si="6"/>
        <v>408800</v>
      </c>
    </row>
    <row r="200" spans="2:22" x14ac:dyDescent="0.2">
      <c r="B200" s="24">
        <f t="shared" si="7"/>
        <v>0.28000000000000008</v>
      </c>
      <c r="C200" s="54">
        <f t="shared" si="0"/>
        <v>2.1261708768056805E-9</v>
      </c>
      <c r="D200" s="54">
        <f t="shared" si="1"/>
        <v>0.32100244386923321</v>
      </c>
      <c r="E200" s="49" cm="1">
        <f t="array" ref="E200">IF($B200=0,0,IF($B200=1,0,_xlfn.BETA.DIST($B200,alpha_experiment_posterior,beta_experiment_posterior,FALSE)))</f>
        <v>0.1013584764928936</v>
      </c>
      <c r="G200" s="24">
        <f t="shared" si="8"/>
        <v>0.28000000000000008</v>
      </c>
      <c r="H200" s="54">
        <f t="shared" si="2"/>
        <v>0.35961398839194109</v>
      </c>
      <c r="I200" s="54" cm="1">
        <f t="array" ref="I200">J200*maxPriorValue_control/maxPosteriorValue_control</f>
        <v>4.5681222640062856E-3</v>
      </c>
      <c r="J200" s="49" cm="1">
        <f t="array" ref="J200">IF($B200=0,0,IF($B200=1,0,_xlfn.BETA.DIST($B200,alpha_control_posterior,beta_control_posterior,FALSE)))</f>
        <v>7.591239763498259E-3</v>
      </c>
      <c r="L200" s="24">
        <v>28</v>
      </c>
      <c r="M200" s="29">
        <f t="shared" si="3"/>
        <v>336</v>
      </c>
      <c r="N200" s="69">
        <v>385741.62679425842</v>
      </c>
      <c r="O200" s="69">
        <v>58133.97129186603</v>
      </c>
      <c r="P200" s="70">
        <f t="shared" si="5"/>
        <v>327607.65550239239</v>
      </c>
      <c r="R200" s="24">
        <v>28</v>
      </c>
      <c r="S200" s="29">
        <f t="shared" si="4"/>
        <v>336</v>
      </c>
      <c r="T200" s="69">
        <v>475000</v>
      </c>
      <c r="U200" s="69">
        <v>66800</v>
      </c>
      <c r="V200" s="70">
        <f t="shared" si="6"/>
        <v>408200</v>
      </c>
    </row>
    <row r="201" spans="2:22" x14ac:dyDescent="0.2">
      <c r="B201" s="24">
        <f t="shared" si="7"/>
        <v>0.29000000000000009</v>
      </c>
      <c r="C201" s="54">
        <f t="shared" si="0"/>
        <v>3.9986884029382926E-9</v>
      </c>
      <c r="D201" s="54">
        <f t="shared" si="1"/>
        <v>0.47467468842733329</v>
      </c>
      <c r="E201" s="49" cm="1">
        <f t="array" ref="E201">IF($B201=0,0,IF($B201=1,0,_xlfn.BETA.DIST($B201,alpha_experiment_posterior,beta_experiment_posterior,FALSE)))</f>
        <v>0.14988142354558825</v>
      </c>
      <c r="G201" s="24">
        <f t="shared" si="8"/>
        <v>0.29000000000000009</v>
      </c>
      <c r="H201" s="54">
        <f t="shared" si="2"/>
        <v>0.29364055225083885</v>
      </c>
      <c r="I201" s="54" cm="1">
        <f t="array" ref="I201">J201*maxPriorValue_control/maxPosteriorValue_control</f>
        <v>2.904174373521647E-3</v>
      </c>
      <c r="J201" s="49" cm="1">
        <f t="array" ref="J201">IF($B201=0,0,IF($B201=1,0,_xlfn.BETA.DIST($B201,alpha_control_posterior,beta_control_posterior,FALSE)))</f>
        <v>4.8261151322765549E-3</v>
      </c>
      <c r="L201" s="24">
        <v>29</v>
      </c>
      <c r="M201" s="29">
        <f t="shared" si="3"/>
        <v>348</v>
      </c>
      <c r="N201" s="69">
        <v>393443.39622641512</v>
      </c>
      <c r="O201" s="69">
        <v>58726.415094339616</v>
      </c>
      <c r="P201" s="70">
        <f t="shared" si="5"/>
        <v>334716.98113207548</v>
      </c>
      <c r="R201" s="24">
        <v>29</v>
      </c>
      <c r="S201" s="29">
        <f t="shared" si="4"/>
        <v>348</v>
      </c>
      <c r="T201" s="69">
        <v>475000</v>
      </c>
      <c r="U201" s="69">
        <v>67399.999999999985</v>
      </c>
      <c r="V201" s="70">
        <f t="shared" si="6"/>
        <v>407600</v>
      </c>
    </row>
    <row r="202" spans="2:22" x14ac:dyDescent="0.2">
      <c r="B202" s="24">
        <f t="shared" si="7"/>
        <v>0.3000000000000001</v>
      </c>
      <c r="C202" s="54">
        <f t="shared" si="0"/>
        <v>7.3609892910000371E-9</v>
      </c>
      <c r="D202" s="54">
        <f t="shared" si="1"/>
        <v>0.68377839594679346</v>
      </c>
      <c r="E202" s="49" cm="1">
        <f t="array" ref="E202">IF($B202=0,0,IF($B202=1,0,_xlfn.BETA.DIST($B202,alpha_experiment_posterior,beta_experiment_posterior,FALSE)))</f>
        <v>0.21590719259494193</v>
      </c>
      <c r="G202" s="24">
        <f t="shared" si="8"/>
        <v>0.3000000000000001</v>
      </c>
      <c r="H202" s="54">
        <f t="shared" si="2"/>
        <v>0.23867890735087394</v>
      </c>
      <c r="I202" s="54" cm="1">
        <f t="array" ref="I202">J202*maxPriorValue_control/maxPosteriorValue_control</f>
        <v>1.8295516011076866E-3</v>
      </c>
      <c r="J202" s="49" cm="1">
        <f t="array" ref="J202">IF($B202=0,0,IF($B202=1,0,_xlfn.BETA.DIST($B202,alpha_control_posterior,beta_control_posterior,FALSE)))</f>
        <v>3.0403224916139122E-3</v>
      </c>
      <c r="L202" s="24">
        <v>30</v>
      </c>
      <c r="M202" s="29">
        <f t="shared" si="3"/>
        <v>360</v>
      </c>
      <c r="N202" s="69">
        <v>400930.2325581396</v>
      </c>
      <c r="O202" s="69">
        <v>59302.325581395351</v>
      </c>
      <c r="P202" s="70">
        <f t="shared" si="5"/>
        <v>341627.90697674424</v>
      </c>
      <c r="R202" s="24">
        <v>30</v>
      </c>
      <c r="S202" s="29">
        <f t="shared" si="4"/>
        <v>360</v>
      </c>
      <c r="T202" s="69">
        <v>475000</v>
      </c>
      <c r="U202" s="69">
        <v>67999.999999999985</v>
      </c>
      <c r="V202" s="70">
        <f t="shared" si="6"/>
        <v>407000</v>
      </c>
    </row>
    <row r="203" spans="2:22" x14ac:dyDescent="0.2">
      <c r="B203" s="24">
        <f t="shared" si="7"/>
        <v>0.31000000000000011</v>
      </c>
      <c r="C203" s="54">
        <f t="shared" si="0"/>
        <v>1.328201877998192E-8</v>
      </c>
      <c r="D203" s="54">
        <f t="shared" si="1"/>
        <v>0.96085046429092502</v>
      </c>
      <c r="E203" s="49" cm="1">
        <f t="array" ref="E203">IF($B203=0,0,IF($B203=1,0,_xlfn.BETA.DIST($B203,alpha_experiment_posterior,beta_experiment_posterior,FALSE)))</f>
        <v>0.30339438548851533</v>
      </c>
      <c r="G203" s="24">
        <f t="shared" si="8"/>
        <v>0.31000000000000011</v>
      </c>
      <c r="H203" s="54">
        <f t="shared" si="2"/>
        <v>0.19311781651041646</v>
      </c>
      <c r="I203" s="54" cm="1">
        <f t="array" ref="I203">J203*maxPriorValue_control/maxPosteriorValue_control</f>
        <v>1.1420039651894032E-3</v>
      </c>
      <c r="J203" s="49" cm="1">
        <f t="array" ref="J203">IF($B203=0,0,IF($B203=1,0,_xlfn.BETA.DIST($B203,alpha_control_posterior,beta_control_posterior,FALSE)))</f>
        <v>1.8977657360281525E-3</v>
      </c>
      <c r="L203" s="24">
        <v>31</v>
      </c>
      <c r="M203" s="29">
        <f t="shared" si="3"/>
        <v>372</v>
      </c>
      <c r="N203" s="69">
        <v>408211.009174312</v>
      </c>
      <c r="O203" s="69">
        <v>59862.385321100919</v>
      </c>
      <c r="P203" s="70">
        <f t="shared" si="5"/>
        <v>348348.62385321106</v>
      </c>
      <c r="R203" s="24">
        <v>31</v>
      </c>
      <c r="S203" s="29">
        <f t="shared" si="4"/>
        <v>372</v>
      </c>
      <c r="T203" s="69">
        <v>475000</v>
      </c>
      <c r="U203" s="69">
        <v>68600</v>
      </c>
      <c r="V203" s="70">
        <f t="shared" si="6"/>
        <v>406400</v>
      </c>
    </row>
    <row r="204" spans="2:22" x14ac:dyDescent="0.2">
      <c r="B204" s="24">
        <f t="shared" si="7"/>
        <v>0.32000000000000012</v>
      </c>
      <c r="C204" s="54">
        <f t="shared" ref="C204:C235" si="9">IF($B204=0,0,IF($B204=1,0,_xlfn.BETA.DIST($B204,alpha_experiment_prior,beta_experiment_prior,FALSE)))</f>
        <v>2.3520860746422388E-8</v>
      </c>
      <c r="D204" s="54">
        <f t="shared" ref="D204:D235" si="10">E204*maxPriorValue_experiment/maxPosteriorValue_experiment</f>
        <v>1.3186943166805503</v>
      </c>
      <c r="E204" s="49" cm="1">
        <f t="array" ref="E204">IF($B204=0,0,IF($B204=1,0,_xlfn.BETA.DIST($B204,alpha_experiment_posterior,beta_experiment_posterior,FALSE)))</f>
        <v>0.41638576107858977</v>
      </c>
      <c r="G204" s="24">
        <f t="shared" si="8"/>
        <v>0.32000000000000012</v>
      </c>
      <c r="H204" s="54">
        <f t="shared" ref="H204:H235" si="11">IF(G204=0,0,IF(G204=1,0,_xlfn.BETA.DIST(G204,alpha_control_prior,beta_control_prior,FALSE)))</f>
        <v>0.15553480906135136</v>
      </c>
      <c r="I204" s="54" cm="1">
        <f t="array" ref="I204">J204*maxPriorValue_control/maxPosteriorValue_control</f>
        <v>7.0623036529934987E-4</v>
      </c>
      <c r="J204" s="49" cm="1">
        <f t="array" ref="J204">IF($B204=0,0,IF($B204=1,0,_xlfn.BETA.DIST($B204,alpha_control_posterior,beta_control_posterior,FALSE)))</f>
        <v>1.1736034461014044E-3</v>
      </c>
      <c r="L204" s="24">
        <v>32</v>
      </c>
      <c r="M204" s="29">
        <f t="shared" ref="M204:M235" si="12">IF(L204=0,1,L204*(maxPosteriorScalePower/100))</f>
        <v>384</v>
      </c>
      <c r="N204" s="69">
        <v>415294.11764705885</v>
      </c>
      <c r="O204" s="69">
        <v>60407.239819004521</v>
      </c>
      <c r="P204" s="70">
        <f t="shared" si="5"/>
        <v>354886.87782805436</v>
      </c>
      <c r="R204" s="24">
        <v>32</v>
      </c>
      <c r="S204" s="29">
        <f t="shared" ref="S204:S235" si="13">IF(R204=0,1,R204*(maxHeadsInControl/100))</f>
        <v>384</v>
      </c>
      <c r="T204" s="69">
        <v>475000</v>
      </c>
      <c r="U204" s="69">
        <v>69200</v>
      </c>
      <c r="V204" s="70">
        <f t="shared" si="6"/>
        <v>405800</v>
      </c>
    </row>
    <row r="205" spans="2:22" x14ac:dyDescent="0.2">
      <c r="B205" s="24">
        <f t="shared" si="7"/>
        <v>0.33000000000000013</v>
      </c>
      <c r="C205" s="54">
        <f t="shared" si="9"/>
        <v>4.0926491803462161E-8</v>
      </c>
      <c r="D205" s="54">
        <f t="shared" si="10"/>
        <v>1.7695046150205485</v>
      </c>
      <c r="E205" s="49" cm="1">
        <f t="array" ref="E205">IF($B205=0,0,IF($B205=1,0,_xlfn.BETA.DIST($B205,alpha_experiment_posterior,beta_experiment_posterior,FALSE)))</f>
        <v>0.55873185812470194</v>
      </c>
      <c r="G205" s="24">
        <f t="shared" si="8"/>
        <v>0.33000000000000013</v>
      </c>
      <c r="H205" s="54">
        <f t="shared" si="11"/>
        <v>0.12468427715503881</v>
      </c>
      <c r="I205" s="54" cm="1">
        <f t="array" ref="I205">J205*maxPriorValue_control/maxPosteriorValue_control</f>
        <v>4.326404493406898E-4</v>
      </c>
      <c r="J205" s="49" cm="1">
        <f t="array" ref="J205">IF($B205=0,0,IF($B205=1,0,_xlfn.BETA.DIST($B205,alpha_control_posterior,beta_control_posterior,FALSE)))</f>
        <v>7.1895566548441211E-4</v>
      </c>
      <c r="L205" s="24">
        <v>33</v>
      </c>
      <c r="M205" s="29">
        <f t="shared" si="12"/>
        <v>396</v>
      </c>
      <c r="N205" s="69">
        <v>422187.5</v>
      </c>
      <c r="O205" s="69">
        <v>60937.500000000007</v>
      </c>
      <c r="P205" s="70">
        <f t="shared" si="5"/>
        <v>361250</v>
      </c>
      <c r="R205" s="24">
        <v>33</v>
      </c>
      <c r="S205" s="29">
        <f t="shared" si="13"/>
        <v>396</v>
      </c>
      <c r="T205" s="69">
        <v>475000</v>
      </c>
      <c r="U205" s="69">
        <v>69800</v>
      </c>
      <c r="V205" s="70">
        <f t="shared" si="6"/>
        <v>405200</v>
      </c>
    </row>
    <row r="206" spans="2:22" x14ac:dyDescent="0.2">
      <c r="B206" s="24">
        <f t="shared" si="7"/>
        <v>0.34000000000000014</v>
      </c>
      <c r="C206" s="54">
        <f t="shared" si="9"/>
        <v>7.004451100145453E-8</v>
      </c>
      <c r="D206" s="54">
        <f t="shared" si="10"/>
        <v>2.3238100247581235</v>
      </c>
      <c r="E206" s="49" cm="1">
        <f t="array" ref="E206">IF($B206=0,0,IF($B206=1,0,_xlfn.BETA.DIST($B206,alpha_experiment_posterior,beta_experiment_posterior,FALSE)))</f>
        <v>0.73375716685928993</v>
      </c>
      <c r="G206" s="24">
        <f t="shared" si="8"/>
        <v>0.34000000000000014</v>
      </c>
      <c r="H206" s="54">
        <f t="shared" si="11"/>
        <v>9.9483699569756293E-2</v>
      </c>
      <c r="I206" s="54" cm="1">
        <f t="array" ref="I206">J206*maxPriorValue_control/maxPosteriorValue_control</f>
        <v>2.6251100815632977E-4</v>
      </c>
      <c r="J206" s="49" cm="1">
        <f t="array" ref="J206">IF($B206=0,0,IF($B206=1,0,_xlfn.BETA.DIST($B206,alpha_control_posterior,beta_control_posterior,FALSE)))</f>
        <v>4.362370112494879E-4</v>
      </c>
      <c r="L206" s="24">
        <v>34</v>
      </c>
      <c r="M206" s="29">
        <f t="shared" si="12"/>
        <v>408</v>
      </c>
      <c r="N206" s="69">
        <v>428898.67841409688</v>
      </c>
      <c r="O206" s="69">
        <v>61453.744493392063</v>
      </c>
      <c r="P206" s="70">
        <f t="shared" si="5"/>
        <v>367444.93392070482</v>
      </c>
      <c r="R206" s="24">
        <v>34</v>
      </c>
      <c r="S206" s="29">
        <f t="shared" si="13"/>
        <v>408</v>
      </c>
      <c r="T206" s="69">
        <v>475000</v>
      </c>
      <c r="U206" s="69">
        <v>70399.999999999985</v>
      </c>
      <c r="V206" s="70">
        <f t="shared" si="6"/>
        <v>404600</v>
      </c>
    </row>
    <row r="207" spans="2:22" x14ac:dyDescent="0.2">
      <c r="B207" s="24">
        <f t="shared" si="7"/>
        <v>0.35000000000000014</v>
      </c>
      <c r="C207" s="54">
        <f t="shared" si="9"/>
        <v>1.1802619308585671E-7</v>
      </c>
      <c r="D207" s="54">
        <f t="shared" si="10"/>
        <v>2.9892972281204786</v>
      </c>
      <c r="E207" s="49" cm="1">
        <f t="array" ref="E207">IF($B207=0,0,IF($B207=1,0,_xlfn.BETA.DIST($B207,alpha_experiment_posterior,beta_experiment_posterior,FALSE)))</f>
        <v>0.94388880400596231</v>
      </c>
      <c r="G207" s="24">
        <f t="shared" si="8"/>
        <v>0.35000000000000014</v>
      </c>
      <c r="H207" s="54">
        <f t="shared" si="11"/>
        <v>7.8998930782313848E-2</v>
      </c>
      <c r="I207" s="54" cm="1">
        <f t="array" ref="I207">J207*maxPriorValue_control/maxPosteriorValue_control</f>
        <v>1.5773826210166146E-4</v>
      </c>
      <c r="J207" s="49" cm="1">
        <f t="array" ref="J207">IF($B207=0,0,IF($B207=1,0,_xlfn.BETA.DIST($B207,alpha_control_posterior,beta_control_posterior,FALSE)))</f>
        <v>2.6212717136013926E-4</v>
      </c>
      <c r="L207" s="24">
        <v>35</v>
      </c>
      <c r="M207" s="29">
        <f t="shared" si="12"/>
        <v>420</v>
      </c>
      <c r="N207" s="69">
        <v>435434.78260869562</v>
      </c>
      <c r="O207" s="69">
        <v>61956.52173913044</v>
      </c>
      <c r="P207" s="70">
        <f t="shared" si="5"/>
        <v>373478.26086956519</v>
      </c>
      <c r="R207" s="24">
        <v>35</v>
      </c>
      <c r="S207" s="29">
        <f t="shared" si="13"/>
        <v>420</v>
      </c>
      <c r="T207" s="69">
        <v>475000</v>
      </c>
      <c r="U207" s="69">
        <v>71000</v>
      </c>
      <c r="V207" s="70">
        <f t="shared" si="6"/>
        <v>404000</v>
      </c>
    </row>
    <row r="208" spans="2:22" x14ac:dyDescent="0.2">
      <c r="B208" s="24">
        <f t="shared" si="7"/>
        <v>0.36000000000000015</v>
      </c>
      <c r="C208" s="54">
        <f t="shared" si="9"/>
        <v>1.9597407117132144E-7</v>
      </c>
      <c r="D208" s="54">
        <f t="shared" si="10"/>
        <v>3.7696057654646817</v>
      </c>
      <c r="E208" s="49" cm="1">
        <f t="array" ref="E208">IF($B208=0,0,IF($B208=1,0,_xlfn.BETA.DIST($B208,alpha_experiment_posterior,beta_experiment_posterior,FALSE)))</f>
        <v>1.1902759765965421</v>
      </c>
      <c r="G208" s="24">
        <f t="shared" si="8"/>
        <v>0.36000000000000015</v>
      </c>
      <c r="H208" s="54">
        <f t="shared" si="11"/>
        <v>6.2429256760039582E-2</v>
      </c>
      <c r="I208" s="54" cm="1">
        <f t="array" ref="I208">J208*maxPriorValue_control/maxPosteriorValue_control</f>
        <v>9.3846278041705906E-5</v>
      </c>
      <c r="J208" s="49" cm="1">
        <f t="array" ref="J208">IF($B208=0,0,IF($B208=1,0,_xlfn.BETA.DIST($B208,alpha_control_posterior,beta_control_posterior,FALSE)))</f>
        <v>1.5595239276755291E-4</v>
      </c>
      <c r="L208" s="24">
        <v>36</v>
      </c>
      <c r="M208" s="29">
        <f t="shared" si="12"/>
        <v>432</v>
      </c>
      <c r="N208" s="69">
        <v>441802.57510729611</v>
      </c>
      <c r="O208" s="69">
        <v>62446.351931330471</v>
      </c>
      <c r="P208" s="70">
        <f t="shared" si="5"/>
        <v>379356.22317596566</v>
      </c>
      <c r="R208" s="24">
        <v>36</v>
      </c>
      <c r="S208" s="29">
        <f t="shared" si="13"/>
        <v>432</v>
      </c>
      <c r="T208" s="69">
        <v>475000</v>
      </c>
      <c r="U208" s="69">
        <v>71600</v>
      </c>
      <c r="V208" s="70">
        <f t="shared" si="6"/>
        <v>403400</v>
      </c>
    </row>
    <row r="209" spans="2:22" x14ac:dyDescent="0.2">
      <c r="B209" s="24">
        <f t="shared" si="7"/>
        <v>0.37000000000000016</v>
      </c>
      <c r="C209" s="54">
        <f t="shared" si="9"/>
        <v>3.2091102240070501E-7</v>
      </c>
      <c r="D209" s="54">
        <f t="shared" si="10"/>
        <v>4.6632036265545018</v>
      </c>
      <c r="E209" s="49" cm="1">
        <f t="array" ref="E209">IF($B209=0,0,IF($B209=1,0,_xlfn.BETA.DIST($B209,alpha_experiment_posterior,beta_experiment_posterior,FALSE)))</f>
        <v>1.4724349430693007</v>
      </c>
      <c r="G209" s="24">
        <f t="shared" si="8"/>
        <v>0.37000000000000016</v>
      </c>
      <c r="H209" s="54">
        <f t="shared" si="11"/>
        <v>4.9092728571143628E-2</v>
      </c>
      <c r="I209" s="54" cm="1">
        <f t="array" ref="I209">J209*maxPriorValue_control/maxPosteriorValue_control</f>
        <v>5.5271437197623353E-5</v>
      </c>
      <c r="J209" s="49" cm="1">
        <f t="array" ref="J209">IF($B209=0,0,IF($B209=1,0,_xlfn.BETA.DIST($B209,alpha_control_posterior,beta_control_posterior,FALSE)))</f>
        <v>9.184927801654782E-5</v>
      </c>
      <c r="L209" s="24">
        <v>37</v>
      </c>
      <c r="M209" s="29">
        <f t="shared" si="12"/>
        <v>444</v>
      </c>
      <c r="N209" s="69">
        <v>448008.4745762712</v>
      </c>
      <c r="O209" s="69">
        <v>62923.728813559319</v>
      </c>
      <c r="P209" s="70">
        <f t="shared" si="5"/>
        <v>385084.74576271186</v>
      </c>
      <c r="R209" s="24">
        <v>37</v>
      </c>
      <c r="S209" s="29">
        <f t="shared" si="13"/>
        <v>444</v>
      </c>
      <c r="T209" s="69">
        <v>475000</v>
      </c>
      <c r="U209" s="69">
        <v>72200</v>
      </c>
      <c r="V209" s="70">
        <f t="shared" si="6"/>
        <v>402800</v>
      </c>
    </row>
    <row r="210" spans="2:22" x14ac:dyDescent="0.2">
      <c r="B210" s="24">
        <f t="shared" si="7"/>
        <v>0.38000000000000017</v>
      </c>
      <c r="C210" s="54">
        <f t="shared" si="9"/>
        <v>5.1863084221342124E-7</v>
      </c>
      <c r="D210" s="54">
        <f t="shared" si="10"/>
        <v>5.6624642466872626</v>
      </c>
      <c r="E210" s="49" cm="1">
        <f t="array" ref="E210">IF($B210=0,0,IF($B210=1,0,_xlfn.BETA.DIST($B210,alpha_experiment_posterior,beta_experiment_posterior,FALSE)))</f>
        <v>1.7879575691751024</v>
      </c>
      <c r="G210" s="24">
        <f t="shared" si="8"/>
        <v>0.38000000000000017</v>
      </c>
      <c r="H210" s="54">
        <f t="shared" si="11"/>
        <v>3.8412133020076247E-2</v>
      </c>
      <c r="I210" s="54" cm="1">
        <f t="array" ref="I210">J210*maxPriorValue_control/maxPosteriorValue_control</f>
        <v>3.2217604895886263E-5</v>
      </c>
      <c r="J210" s="49" cm="1">
        <f t="array" ref="J210">IF($B210=0,0,IF($B210=1,0,_xlfn.BETA.DIST($B210,alpha_control_posterior,beta_control_posterior,FALSE)))</f>
        <v>5.3538751643620955E-5</v>
      </c>
      <c r="L210" s="24">
        <v>38</v>
      </c>
      <c r="M210" s="29">
        <f t="shared" si="12"/>
        <v>456</v>
      </c>
      <c r="N210" s="69">
        <v>454058.5774058578</v>
      </c>
      <c r="O210" s="69">
        <v>63389.12133891214</v>
      </c>
      <c r="P210" s="70">
        <f t="shared" si="5"/>
        <v>390669.45606694568</v>
      </c>
      <c r="R210" s="24">
        <v>38</v>
      </c>
      <c r="S210" s="29">
        <f t="shared" si="13"/>
        <v>456</v>
      </c>
      <c r="T210" s="69">
        <v>475000</v>
      </c>
      <c r="U210" s="69">
        <v>72800</v>
      </c>
      <c r="V210" s="70">
        <f t="shared" si="6"/>
        <v>402200</v>
      </c>
    </row>
    <row r="211" spans="2:22" x14ac:dyDescent="0.2">
      <c r="B211" s="24">
        <f t="shared" si="7"/>
        <v>0.39000000000000018</v>
      </c>
      <c r="C211" s="54">
        <f t="shared" si="9"/>
        <v>8.2778304628841297E-7</v>
      </c>
      <c r="D211" s="54">
        <f t="shared" si="10"/>
        <v>6.7530639497866805</v>
      </c>
      <c r="E211" s="49" cm="1">
        <f t="array" ref="E211">IF($B211=0,0,IF($B211=1,0,_xlfn.BETA.DIST($B211,alpha_experiment_posterior,beta_experiment_posterior,FALSE)))</f>
        <v>2.1323210669645163</v>
      </c>
      <c r="G211" s="24">
        <f t="shared" si="8"/>
        <v>0.39000000000000018</v>
      </c>
      <c r="H211" s="54">
        <f t="shared" si="11"/>
        <v>2.990183965224948E-2</v>
      </c>
      <c r="I211" s="54" cm="1">
        <f t="array" ref="I211">J211*maxPriorValue_control/maxPosteriorValue_control</f>
        <v>1.8581953309719932E-5</v>
      </c>
      <c r="J211" s="49" cm="1">
        <f t="array" ref="J211">IF($B211=0,0,IF($B211=1,0,_xlfn.BETA.DIST($B211,alpha_control_posterior,beta_control_posterior,FALSE)))</f>
        <v>3.0879222292203505E-5</v>
      </c>
      <c r="L211" s="24">
        <v>39</v>
      </c>
      <c r="M211" s="29">
        <f t="shared" si="12"/>
        <v>468</v>
      </c>
      <c r="N211" s="69">
        <v>459958.67768595048</v>
      </c>
      <c r="O211" s="69">
        <v>63842.975206611569</v>
      </c>
      <c r="P211" s="70">
        <f t="shared" si="5"/>
        <v>396115.70247933891</v>
      </c>
      <c r="R211" s="24">
        <v>39</v>
      </c>
      <c r="S211" s="29">
        <f t="shared" si="13"/>
        <v>468</v>
      </c>
      <c r="T211" s="69">
        <v>475000</v>
      </c>
      <c r="U211" s="69">
        <v>73400</v>
      </c>
      <c r="V211" s="70">
        <f t="shared" si="6"/>
        <v>401600</v>
      </c>
    </row>
    <row r="212" spans="2:22" x14ac:dyDescent="0.2">
      <c r="B212" s="24">
        <f t="shared" si="7"/>
        <v>0.40000000000000019</v>
      </c>
      <c r="C212" s="54">
        <f t="shared" si="9"/>
        <v>1.3056700579840104E-6</v>
      </c>
      <c r="D212" s="54">
        <f t="shared" si="10"/>
        <v>7.91380349829201</v>
      </c>
      <c r="E212" s="49" cm="1">
        <f t="array" ref="E212">IF($B212=0,0,IF($B212=1,0,_xlfn.BETA.DIST($B212,alpha_experiment_posterior,beta_experiment_posterior,FALSE)))</f>
        <v>2.4988316480785864</v>
      </c>
      <c r="G212" s="24">
        <f t="shared" si="8"/>
        <v>0.40000000000000019</v>
      </c>
      <c r="H212" s="54">
        <f t="shared" si="11"/>
        <v>2.3155670120398777E-2</v>
      </c>
      <c r="I212" s="54" cm="1">
        <f t="array" ref="I212">J212*maxPriorValue_control/maxPosteriorValue_control</f>
        <v>1.0601895006151355E-5</v>
      </c>
      <c r="J212" s="49" cm="1">
        <f t="array" ref="J212">IF($B212=0,0,IF($B212=1,0,_xlfn.BETA.DIST($B212,alpha_control_posterior,beta_control_posterior,FALSE)))</f>
        <v>1.761807637533474E-5</v>
      </c>
      <c r="L212" s="24">
        <v>40</v>
      </c>
      <c r="M212" s="29">
        <f t="shared" si="12"/>
        <v>480</v>
      </c>
      <c r="N212" s="69">
        <v>465714.28571428574</v>
      </c>
      <c r="O212" s="69">
        <v>64285.71428571429</v>
      </c>
      <c r="P212" s="70">
        <f t="shared" si="5"/>
        <v>401428.57142857148</v>
      </c>
      <c r="R212" s="24">
        <v>40</v>
      </c>
      <c r="S212" s="29">
        <f t="shared" si="13"/>
        <v>480</v>
      </c>
      <c r="T212" s="69">
        <v>475000</v>
      </c>
      <c r="U212" s="69">
        <v>74000</v>
      </c>
      <c r="V212" s="70">
        <f t="shared" si="6"/>
        <v>401000</v>
      </c>
    </row>
    <row r="213" spans="2:22" x14ac:dyDescent="0.2">
      <c r="B213" s="24">
        <f t="shared" si="7"/>
        <v>0.4100000000000002</v>
      </c>
      <c r="C213" s="54">
        <f t="shared" si="9"/>
        <v>2.0363996883831183E-6</v>
      </c>
      <c r="D213" s="54">
        <f t="shared" si="10"/>
        <v>9.1169284814691842</v>
      </c>
      <c r="E213" s="49" cm="1">
        <f t="array" ref="E213">IF($B213=0,0,IF($B213=1,0,_xlfn.BETA.DIST($B213,alpha_experiment_posterior,beta_experiment_posterior,FALSE)))</f>
        <v>2.8787256883091779</v>
      </c>
      <c r="G213" s="24">
        <f t="shared" si="8"/>
        <v>0.4100000000000002</v>
      </c>
      <c r="H213" s="54">
        <f t="shared" si="11"/>
        <v>1.7835864350519384E-2</v>
      </c>
      <c r="I213" s="54" cm="1">
        <f t="array" ref="I213">J213*maxPriorValue_control/maxPosteriorValue_control</f>
        <v>5.9820411115894335E-6</v>
      </c>
      <c r="J213" s="49" cm="1">
        <f t="array" ref="J213">IF($B213=0,0,IF($B213=1,0,_xlfn.BETA.DIST($B213,alpha_control_posterior,beta_control_posterior,FALSE)))</f>
        <v>9.9408697334981284E-6</v>
      </c>
      <c r="L213" s="24">
        <v>41</v>
      </c>
      <c r="M213" s="29">
        <f t="shared" si="12"/>
        <v>492</v>
      </c>
      <c r="N213" s="69">
        <v>471330.64516129025</v>
      </c>
      <c r="O213" s="69">
        <v>64717.741935483864</v>
      </c>
      <c r="P213" s="70">
        <f t="shared" si="5"/>
        <v>406612.90322580637</v>
      </c>
      <c r="R213" s="24">
        <v>41</v>
      </c>
      <c r="S213" s="29">
        <f t="shared" si="13"/>
        <v>492</v>
      </c>
      <c r="T213" s="69">
        <v>475000</v>
      </c>
      <c r="U213" s="69">
        <v>74600</v>
      </c>
      <c r="V213" s="70">
        <f t="shared" si="6"/>
        <v>400400</v>
      </c>
    </row>
    <row r="214" spans="2:22" x14ac:dyDescent="0.2">
      <c r="B214" s="24">
        <f t="shared" si="7"/>
        <v>0.42000000000000021</v>
      </c>
      <c r="C214" s="54">
        <f t="shared" si="9"/>
        <v>3.1422506743988699E-6</v>
      </c>
      <c r="D214" s="54">
        <f t="shared" si="10"/>
        <v>10.328982794076364</v>
      </c>
      <c r="E214" s="49" cm="1">
        <f t="array" ref="E214">IF($B214=0,0,IF($B214=1,0,_xlfn.BETA.DIST($B214,alpha_experiment_posterior,beta_experiment_posterior,FALSE)))</f>
        <v>3.2614392186851373</v>
      </c>
      <c r="G214" s="24">
        <f t="shared" si="8"/>
        <v>0.42000000000000021</v>
      </c>
      <c r="H214" s="54">
        <f t="shared" si="11"/>
        <v>1.3663164182087616E-2</v>
      </c>
      <c r="I214" s="54" cm="1">
        <f t="array" ref="I214">J214*maxPriorValue_control/maxPosteriorValue_control</f>
        <v>3.3370278347408577E-6</v>
      </c>
      <c r="J214" s="49" cm="1">
        <f t="array" ref="J214">IF($B214=0,0,IF($B214=1,0,_xlfn.BETA.DIST($B214,alpha_control_posterior,beta_control_posterior,FALSE)))</f>
        <v>5.545424777831743E-6</v>
      </c>
      <c r="L214" s="24">
        <v>42</v>
      </c>
      <c r="M214" s="29">
        <f t="shared" si="12"/>
        <v>504</v>
      </c>
      <c r="N214" s="69">
        <v>476812.74900398398</v>
      </c>
      <c r="O214" s="69">
        <v>65139.442231075693</v>
      </c>
      <c r="P214" s="70">
        <f t="shared" si="5"/>
        <v>411673.30677290831</v>
      </c>
      <c r="R214" s="24">
        <v>42</v>
      </c>
      <c r="S214" s="29">
        <f t="shared" si="13"/>
        <v>504</v>
      </c>
      <c r="T214" s="69">
        <v>475000</v>
      </c>
      <c r="U214" s="69">
        <v>75200</v>
      </c>
      <c r="V214" s="70">
        <f t="shared" si="6"/>
        <v>399800</v>
      </c>
    </row>
    <row r="215" spans="2:22" x14ac:dyDescent="0.2">
      <c r="B215" s="24">
        <f t="shared" si="7"/>
        <v>0.43000000000000022</v>
      </c>
      <c r="C215" s="54">
        <f t="shared" si="9"/>
        <v>4.799387337896511E-6</v>
      </c>
      <c r="D215" s="54">
        <f t="shared" si="10"/>
        <v>11.512181072450177</v>
      </c>
      <c r="E215" s="49" cm="1">
        <f t="array" ref="E215">IF($B215=0,0,IF($B215=1,0,_xlfn.BETA.DIST($B215,alpha_experiment_posterior,beta_experiment_posterior,FALSE)))</f>
        <v>3.6350412805243897</v>
      </c>
      <c r="G215" s="24">
        <f t="shared" si="8"/>
        <v>0.43000000000000022</v>
      </c>
      <c r="H215" s="54">
        <f t="shared" si="11"/>
        <v>1.0407995794438267E-2</v>
      </c>
      <c r="I215" s="54" cm="1">
        <f t="array" ref="I215">J215*maxPriorValue_control/maxPosteriorValue_control</f>
        <v>1.8398239765488448E-6</v>
      </c>
      <c r="J215" s="49" cm="1">
        <f t="array" ref="J215">IF($B215=0,0,IF($B215=1,0,_xlfn.BETA.DIST($B215,alpha_control_posterior,beta_control_posterior,FALSE)))</f>
        <v>3.0573929771236659E-6</v>
      </c>
      <c r="L215" s="24">
        <v>43</v>
      </c>
      <c r="M215" s="29">
        <f t="shared" si="12"/>
        <v>516</v>
      </c>
      <c r="N215" s="69">
        <v>482165.35433070874</v>
      </c>
      <c r="O215" s="69">
        <v>65551.181102362214</v>
      </c>
      <c r="P215" s="70">
        <f t="shared" si="5"/>
        <v>416614.17322834651</v>
      </c>
      <c r="R215" s="24">
        <v>43</v>
      </c>
      <c r="S215" s="29">
        <f t="shared" si="13"/>
        <v>516</v>
      </c>
      <c r="T215" s="69">
        <v>475000</v>
      </c>
      <c r="U215" s="69">
        <v>75800</v>
      </c>
      <c r="V215" s="70">
        <f t="shared" si="6"/>
        <v>399200</v>
      </c>
    </row>
    <row r="216" spans="2:22" x14ac:dyDescent="0.2">
      <c r="B216" s="24">
        <f t="shared" si="7"/>
        <v>0.44000000000000022</v>
      </c>
      <c r="C216" s="54">
        <f t="shared" si="9"/>
        <v>7.2594175610937191E-6</v>
      </c>
      <c r="D216" s="54">
        <f t="shared" si="10"/>
        <v>12.626234603983255</v>
      </c>
      <c r="E216" s="49" cm="1">
        <f t="array" ref="E216">IF($B216=0,0,IF($B216=1,0,_xlfn.BETA.DIST($B216,alpha_experiment_posterior,beta_experiment_posterior,FALSE)))</f>
        <v>3.9868104674708928</v>
      </c>
      <c r="G216" s="24">
        <f t="shared" si="8"/>
        <v>0.44000000000000022</v>
      </c>
      <c r="H216" s="54">
        <f t="shared" si="11"/>
        <v>7.8827044135149765E-3</v>
      </c>
      <c r="I216" s="54" cm="1">
        <f t="array" ref="I216">J216*maxPriorValue_control/maxPosteriorValue_control</f>
        <v>1.0021909214354729E-6</v>
      </c>
      <c r="J216" s="49" cm="1">
        <f t="array" ref="J216">IF($B216=0,0,IF($B216=1,0,_xlfn.BETA.DIST($B216,alpha_control_posterior,beta_control_posterior,FALSE)))</f>
        <v>1.665426434262236E-6</v>
      </c>
      <c r="L216" s="24">
        <v>44</v>
      </c>
      <c r="M216" s="29">
        <f t="shared" si="12"/>
        <v>528</v>
      </c>
      <c r="N216" s="69">
        <v>487392.99610894942</v>
      </c>
      <c r="O216" s="69">
        <v>65953.30739299611</v>
      </c>
      <c r="P216" s="70">
        <f t="shared" si="5"/>
        <v>421439.68871595332</v>
      </c>
      <c r="R216" s="24">
        <v>44</v>
      </c>
      <c r="S216" s="29">
        <f t="shared" si="13"/>
        <v>528</v>
      </c>
      <c r="T216" s="69">
        <v>475000</v>
      </c>
      <c r="U216" s="69">
        <v>76400</v>
      </c>
      <c r="V216" s="70">
        <f t="shared" si="6"/>
        <v>398600</v>
      </c>
    </row>
    <row r="217" spans="2:22" x14ac:dyDescent="0.2">
      <c r="B217" s="24">
        <f t="shared" si="7"/>
        <v>0.45000000000000023</v>
      </c>
      <c r="C217" s="54">
        <f t="shared" si="9"/>
        <v>1.0878746302196538E-5</v>
      </c>
      <c r="D217" s="54">
        <f t="shared" si="10"/>
        <v>13.630516579341604</v>
      </c>
      <c r="E217" s="49" cm="1">
        <f t="array" ref="E217">IF($B217=0,0,IF($B217=1,0,_xlfn.BETA.DIST($B217,alpha_experiment_posterior,beta_experiment_posterior,FALSE)))</f>
        <v>4.3039186170682306</v>
      </c>
      <c r="G217" s="24">
        <f t="shared" si="8"/>
        <v>0.45000000000000023</v>
      </c>
      <c r="H217" s="54">
        <f t="shared" si="11"/>
        <v>5.934776129611268E-3</v>
      </c>
      <c r="I217" s="54" cm="1">
        <f t="array" ref="I217">J217*maxPriorValue_control/maxPosteriorValue_control</f>
        <v>5.3916776398405431E-7</v>
      </c>
      <c r="J217" s="49" cm="1">
        <f t="array" ref="J217">IF($B217=0,0,IF($B217=1,0,_xlfn.BETA.DIST($B217,alpha_control_posterior,beta_control_posterior,FALSE)))</f>
        <v>8.959812221756606E-7</v>
      </c>
      <c r="L217" s="24">
        <v>45</v>
      </c>
      <c r="M217" s="29">
        <f t="shared" si="12"/>
        <v>540</v>
      </c>
      <c r="N217" s="69">
        <v>492499.99999999994</v>
      </c>
      <c r="O217" s="69">
        <v>66346.153846153844</v>
      </c>
      <c r="P217" s="70">
        <f t="shared" si="5"/>
        <v>426153.84615384613</v>
      </c>
      <c r="R217" s="24">
        <v>45</v>
      </c>
      <c r="S217" s="29">
        <f t="shared" si="13"/>
        <v>540</v>
      </c>
      <c r="T217" s="69">
        <v>475000</v>
      </c>
      <c r="U217" s="69">
        <v>77000</v>
      </c>
      <c r="V217" s="70">
        <f t="shared" si="6"/>
        <v>398000</v>
      </c>
    </row>
    <row r="218" spans="2:22" x14ac:dyDescent="0.2">
      <c r="B218" s="24">
        <f t="shared" si="7"/>
        <v>0.46000000000000024</v>
      </c>
      <c r="C218" s="54">
        <f t="shared" si="9"/>
        <v>1.6158259226348168E-5</v>
      </c>
      <c r="D218" s="54">
        <f t="shared" si="10"/>
        <v>14.486412324833633</v>
      </c>
      <c r="E218" s="49" cm="1">
        <f t="array" ref="E218">IF($B218=0,0,IF($B218=1,0,_xlfn.BETA.DIST($B218,alpha_experiment_posterior,beta_experiment_posterior,FALSE)))</f>
        <v>4.5741729109425853</v>
      </c>
      <c r="G218" s="24">
        <f t="shared" si="8"/>
        <v>0.46000000000000024</v>
      </c>
      <c r="H218" s="54">
        <f t="shared" si="11"/>
        <v>4.4409701567174314E-3</v>
      </c>
      <c r="I218" s="54" cm="1">
        <f t="array" ref="I218">J218*maxPriorValue_control/maxPosteriorValue_control</f>
        <v>2.8636991269895384E-7</v>
      </c>
      <c r="J218" s="49" cm="1">
        <f t="array" ref="J218">IF($B218=0,0,IF($B218=1,0,_xlfn.BETA.DIST($B218,alpha_control_posterior,beta_control_posterior,FALSE)))</f>
        <v>4.7588539507331195E-7</v>
      </c>
      <c r="L218" s="24">
        <v>46</v>
      </c>
      <c r="M218" s="29">
        <f t="shared" si="12"/>
        <v>552</v>
      </c>
      <c r="N218" s="69">
        <v>497490.49429657799</v>
      </c>
      <c r="O218" s="69">
        <v>66730.038022813693</v>
      </c>
      <c r="P218" s="70">
        <f t="shared" si="5"/>
        <v>430760.45627376431</v>
      </c>
      <c r="R218" s="24">
        <v>46</v>
      </c>
      <c r="S218" s="29">
        <f t="shared" si="13"/>
        <v>552</v>
      </c>
      <c r="T218" s="69">
        <v>475000</v>
      </c>
      <c r="U218" s="69">
        <v>77600</v>
      </c>
      <c r="V218" s="70">
        <f t="shared" si="6"/>
        <v>397400</v>
      </c>
    </row>
    <row r="219" spans="2:22" x14ac:dyDescent="0.2">
      <c r="B219" s="24">
        <f t="shared" si="7"/>
        <v>0.47000000000000025</v>
      </c>
      <c r="C219" s="54">
        <f t="shared" si="9"/>
        <v>2.3796607300717446E-5</v>
      </c>
      <c r="D219" s="54">
        <f t="shared" si="10"/>
        <v>15.159673353306575</v>
      </c>
      <c r="E219" s="49" cm="1">
        <f t="array" ref="E219">IF($B219=0,0,IF($B219=1,0,_xlfn.BETA.DIST($B219,alpha_experiment_posterior,beta_experiment_posterior,FALSE)))</f>
        <v>4.7867591807089767</v>
      </c>
      <c r="G219" s="24">
        <f t="shared" si="8"/>
        <v>0.47000000000000025</v>
      </c>
      <c r="H219" s="54">
        <f t="shared" si="11"/>
        <v>3.3022788817150465E-3</v>
      </c>
      <c r="I219" s="54" cm="1">
        <f t="array" ref="I219">J219*maxPriorValue_control/maxPosteriorValue_control</f>
        <v>1.5009983852465768E-7</v>
      </c>
      <c r="J219" s="49" cm="1">
        <f t="array" ref="J219">IF($B219=0,0,IF($B219=1,0,_xlfn.BETA.DIST($B219,alpha_control_posterior,beta_control_posterior,FALSE)))</f>
        <v>2.4943374910980302E-7</v>
      </c>
      <c r="L219" s="24">
        <v>47</v>
      </c>
      <c r="M219" s="29">
        <f t="shared" si="12"/>
        <v>564</v>
      </c>
      <c r="N219" s="69">
        <v>502368.42105263157</v>
      </c>
      <c r="O219" s="69">
        <v>67105.263157894718</v>
      </c>
      <c r="P219" s="70">
        <f t="shared" si="5"/>
        <v>435263.15789473685</v>
      </c>
      <c r="R219" s="24">
        <v>47</v>
      </c>
      <c r="S219" s="29">
        <f t="shared" si="13"/>
        <v>564</v>
      </c>
      <c r="T219" s="69">
        <v>475000</v>
      </c>
      <c r="U219" s="69">
        <v>78200</v>
      </c>
      <c r="V219" s="70">
        <f t="shared" si="6"/>
        <v>396800</v>
      </c>
    </row>
    <row r="220" spans="2:22" x14ac:dyDescent="0.2">
      <c r="B220" s="24">
        <f t="shared" si="7"/>
        <v>0.48000000000000026</v>
      </c>
      <c r="C220" s="54">
        <f t="shared" si="9"/>
        <v>3.4761289108581118E-5</v>
      </c>
      <c r="D220" s="54">
        <f t="shared" si="10"/>
        <v>15.622584362153434</v>
      </c>
      <c r="E220" s="49" cm="1">
        <f t="array" ref="E220">IF($B220=0,0,IF($B220=1,0,_xlfn.BETA.DIST($B220,alpha_experiment_posterior,beta_experiment_posterior,FALSE)))</f>
        <v>4.9329261507885569</v>
      </c>
      <c r="G220" s="24">
        <f t="shared" si="8"/>
        <v>0.48000000000000026</v>
      </c>
      <c r="H220" s="54">
        <f t="shared" si="11"/>
        <v>2.4396312358895551E-3</v>
      </c>
      <c r="I220" s="54" cm="1">
        <f t="array" ref="I220">J220*maxPriorValue_control/maxPosteriorValue_control</f>
        <v>7.7604997092439063E-8</v>
      </c>
      <c r="J220" s="49" cm="1">
        <f t="array" ref="J220">IF($B220=0,0,IF($B220=1,0,_xlfn.BETA.DIST($B220,alpha_control_posterior,beta_control_posterior,FALSE)))</f>
        <v>1.2896286608091529E-7</v>
      </c>
      <c r="L220" s="24">
        <v>48</v>
      </c>
      <c r="M220" s="29">
        <f t="shared" si="12"/>
        <v>576</v>
      </c>
      <c r="N220" s="69">
        <v>507137.54646840133</v>
      </c>
      <c r="O220" s="69">
        <v>67472.1189591078</v>
      </c>
      <c r="P220" s="70">
        <f t="shared" si="5"/>
        <v>439665.42750929354</v>
      </c>
      <c r="R220" s="24">
        <v>48</v>
      </c>
      <c r="S220" s="29">
        <f t="shared" si="13"/>
        <v>576</v>
      </c>
      <c r="T220" s="69">
        <v>475000</v>
      </c>
      <c r="U220" s="69">
        <v>78800.000000000015</v>
      </c>
      <c r="V220" s="70">
        <f t="shared" si="6"/>
        <v>396200</v>
      </c>
    </row>
    <row r="221" spans="2:22" x14ac:dyDescent="0.2">
      <c r="B221" s="24">
        <f t="shared" si="7"/>
        <v>0.49000000000000027</v>
      </c>
      <c r="C221" s="54">
        <f t="shared" si="9"/>
        <v>5.0382886071333906E-5</v>
      </c>
      <c r="D221" s="54">
        <f t="shared" si="10"/>
        <v>15.855761467551851</v>
      </c>
      <c r="E221" s="49" cm="1">
        <f t="array" ref="E221">IF($B221=0,0,IF($B221=1,0,_xlfn.BETA.DIST($B221,alpha_experiment_posterior,beta_experiment_posterior,FALSE)))</f>
        <v>5.0065532418204066</v>
      </c>
      <c r="G221" s="24">
        <f t="shared" si="8"/>
        <v>0.49000000000000027</v>
      </c>
      <c r="H221" s="54">
        <f t="shared" si="11"/>
        <v>1.7902561723958195E-3</v>
      </c>
      <c r="I221" s="54" cm="1">
        <f t="array" ref="I221">J221*maxPriorValue_control/maxPosteriorValue_control</f>
        <v>3.9559440159084049E-8</v>
      </c>
      <c r="J221" s="49" cm="1">
        <f t="array" ref="J221">IF($B221=0,0,IF($B221=1,0,_xlfn.BETA.DIST($B221,alpha_control_posterior,beta_control_posterior,FALSE)))</f>
        <v>6.5739307707144919E-8</v>
      </c>
      <c r="L221" s="24">
        <v>49</v>
      </c>
      <c r="M221" s="29">
        <f t="shared" si="12"/>
        <v>588</v>
      </c>
      <c r="N221" s="69">
        <v>511801.4705882353</v>
      </c>
      <c r="O221" s="69">
        <v>67830.882352941175</v>
      </c>
      <c r="P221" s="70">
        <f t="shared" si="5"/>
        <v>443970.5882352941</v>
      </c>
      <c r="R221" s="24">
        <v>49</v>
      </c>
      <c r="S221" s="29">
        <f t="shared" si="13"/>
        <v>588</v>
      </c>
      <c r="T221" s="69">
        <v>475000</v>
      </c>
      <c r="U221" s="69">
        <v>79400</v>
      </c>
      <c r="V221" s="70">
        <f t="shared" si="6"/>
        <v>395600</v>
      </c>
    </row>
    <row r="222" spans="2:22" x14ac:dyDescent="0.2">
      <c r="B222" s="24">
        <f t="shared" si="7"/>
        <v>0.50000000000000022</v>
      </c>
      <c r="C222" s="54">
        <f t="shared" si="9"/>
        <v>7.2479248046875637E-5</v>
      </c>
      <c r="D222" s="54">
        <f t="shared" si="10"/>
        <v>15.84942761869647</v>
      </c>
      <c r="E222" s="49" cm="1">
        <f t="array" ref="E222">IF($B222=0,0,IF($B222=1,0,_xlfn.BETA.DIST($B222,alpha_experiment_posterior,beta_experiment_posterior,FALSE)))</f>
        <v>5.0045532904724377</v>
      </c>
      <c r="G222" s="24">
        <f t="shared" si="8"/>
        <v>0.50000000000000022</v>
      </c>
      <c r="H222" s="54">
        <f t="shared" si="11"/>
        <v>1.3046264648437398E-3</v>
      </c>
      <c r="I222" s="54" cm="1">
        <f t="array" ref="I222">J222*maxPriorValue_control/maxPosteriorValue_control</f>
        <v>1.9872026774336675E-8</v>
      </c>
      <c r="J222" s="49" cm="1">
        <f t="array" ref="J222">IF($B222=0,0,IF($B222=1,0,_xlfn.BETA.DIST($B222,alpha_control_posterior,beta_control_posterior,FALSE)))</f>
        <v>3.302304778908147E-8</v>
      </c>
      <c r="L222" s="24">
        <v>50</v>
      </c>
      <c r="M222" s="29">
        <f t="shared" si="12"/>
        <v>600</v>
      </c>
      <c r="N222" s="69">
        <v>516363.63636363635</v>
      </c>
      <c r="O222" s="69">
        <v>68181.818181818177</v>
      </c>
      <c r="P222" s="70">
        <f t="shared" si="5"/>
        <v>448181.81818181818</v>
      </c>
      <c r="R222" s="24">
        <v>50</v>
      </c>
      <c r="S222" s="29">
        <f t="shared" si="13"/>
        <v>600</v>
      </c>
      <c r="T222" s="69">
        <v>475000</v>
      </c>
      <c r="U222" s="69">
        <v>80000</v>
      </c>
      <c r="V222" s="70">
        <f t="shared" si="6"/>
        <v>395000</v>
      </c>
    </row>
    <row r="223" spans="2:22" x14ac:dyDescent="0.2">
      <c r="B223" s="24">
        <f t="shared" si="7"/>
        <v>0.51000000000000023</v>
      </c>
      <c r="C223" s="54">
        <f t="shared" si="9"/>
        <v>1.0351821405009977E-4</v>
      </c>
      <c r="D223" s="54">
        <f t="shared" si="10"/>
        <v>15.604054743820441</v>
      </c>
      <c r="E223" s="49" cm="1">
        <f t="array" ref="E223">IF($B223=0,0,IF($B223=1,0,_xlfn.BETA.DIST($B223,alpha_experiment_posterior,beta_experiment_posterior,FALSE)))</f>
        <v>4.927075310958215</v>
      </c>
      <c r="G223" s="24">
        <f t="shared" si="8"/>
        <v>0.51000000000000023</v>
      </c>
      <c r="H223" s="54">
        <f t="shared" si="11"/>
        <v>9.4390794721395594E-4</v>
      </c>
      <c r="I223" s="54" cm="1">
        <f t="array" ref="I223">J223*maxPriorValue_control/maxPosteriorValue_control</f>
        <v>9.8317673593685445E-9</v>
      </c>
      <c r="J223" s="49" cm="1">
        <f t="array" ref="J223">IF($B223=0,0,IF($B223=1,0,_xlfn.BETA.DIST($B223,alpha_control_posterior,beta_control_posterior,FALSE)))</f>
        <v>1.6338289347458692E-8</v>
      </c>
      <c r="L223" s="24">
        <v>51</v>
      </c>
      <c r="M223" s="29">
        <f t="shared" si="12"/>
        <v>612</v>
      </c>
      <c r="N223" s="69">
        <v>520827.33812949643</v>
      </c>
      <c r="O223" s="69">
        <v>68525.179856115108</v>
      </c>
      <c r="P223" s="70">
        <f t="shared" si="5"/>
        <v>452302.1582733813</v>
      </c>
      <c r="R223" s="24">
        <v>51</v>
      </c>
      <c r="S223" s="29">
        <f t="shared" si="13"/>
        <v>612</v>
      </c>
      <c r="T223" s="69">
        <v>475000</v>
      </c>
      <c r="U223" s="69">
        <v>80600</v>
      </c>
      <c r="V223" s="70">
        <f t="shared" si="6"/>
        <v>394400</v>
      </c>
    </row>
    <row r="224" spans="2:22" x14ac:dyDescent="0.2">
      <c r="B224" s="24">
        <f t="shared" si="7"/>
        <v>0.52000000000000024</v>
      </c>
      <c r="C224" s="54">
        <f t="shared" si="9"/>
        <v>1.4682965771557752E-4</v>
      </c>
      <c r="D224" s="54">
        <f t="shared" si="10"/>
        <v>15.130317309364504</v>
      </c>
      <c r="E224" s="49" cm="1">
        <f t="array" ref="E224">IF($B224=0,0,IF($B224=1,0,_xlfn.BETA.DIST($B224,alpha_experiment_posterior,beta_experiment_posterior,FALSE)))</f>
        <v>4.7774898310617857</v>
      </c>
      <c r="G224" s="24">
        <f t="shared" si="8"/>
        <v>0.52000000000000024</v>
      </c>
      <c r="H224" s="54">
        <f t="shared" si="11"/>
        <v>6.7784513761731918E-4</v>
      </c>
      <c r="I224" s="54" cm="1">
        <f t="array" ref="I224">J224*maxPriorValue_control/maxPosteriorValue_control</f>
        <v>4.7881570772362518E-9</v>
      </c>
      <c r="J224" s="49" cm="1">
        <f t="array" ref="J224">IF($B224=0,0,IF($B224=1,0,_xlfn.BETA.DIST($B224,alpha_control_posterior,beta_control_posterior,FALSE)))</f>
        <v>7.9568904459912283E-9</v>
      </c>
      <c r="L224" s="24">
        <v>52</v>
      </c>
      <c r="M224" s="29">
        <f t="shared" si="12"/>
        <v>624</v>
      </c>
      <c r="N224" s="69">
        <v>525195.72953736666</v>
      </c>
      <c r="O224" s="69">
        <v>68861.209964412817</v>
      </c>
      <c r="P224" s="70">
        <f t="shared" si="5"/>
        <v>456334.51957295381</v>
      </c>
      <c r="R224" s="24">
        <v>52</v>
      </c>
      <c r="S224" s="29">
        <f t="shared" si="13"/>
        <v>624</v>
      </c>
      <c r="T224" s="69">
        <v>475000</v>
      </c>
      <c r="U224" s="69">
        <v>81200.000000000015</v>
      </c>
      <c r="V224" s="70">
        <f t="shared" si="6"/>
        <v>393800</v>
      </c>
    </row>
    <row r="225" spans="2:22" x14ac:dyDescent="0.2">
      <c r="B225" s="24">
        <f t="shared" si="7"/>
        <v>0.53000000000000025</v>
      </c>
      <c r="C225" s="54">
        <f t="shared" si="9"/>
        <v>2.0688035547387695E-4</v>
      </c>
      <c r="D225" s="54">
        <f t="shared" si="10"/>
        <v>14.448362822081053</v>
      </c>
      <c r="E225" s="49" cm="1">
        <f t="array" ref="E225">IF($B225=0,0,IF($B225=1,0,_xlfn.BETA.DIST($B225,alpha_experiment_posterior,beta_experiment_posterior,FALSE)))</f>
        <v>4.5621585487345371</v>
      </c>
      <c r="G225" s="24">
        <f t="shared" si="8"/>
        <v>0.53000000000000025</v>
      </c>
      <c r="H225" s="54">
        <f t="shared" si="11"/>
        <v>4.8302049712519362E-4</v>
      </c>
      <c r="I225" s="54" cm="1">
        <f t="array" ref="I225">J225*maxPriorValue_control/maxPosteriorValue_control</f>
        <v>2.2939577725347544E-9</v>
      </c>
      <c r="J225" s="49" cm="1">
        <f t="array" ref="J225">IF($B225=0,0,IF($B225=1,0,_xlfn.BETA.DIST($B225,alpha_control_posterior,beta_control_posterior,FALSE)))</f>
        <v>3.8120659763995669E-9</v>
      </c>
      <c r="L225" s="24">
        <v>53</v>
      </c>
      <c r="M225" s="29">
        <f t="shared" si="12"/>
        <v>636</v>
      </c>
      <c r="N225" s="69">
        <v>529471.83098591561</v>
      </c>
      <c r="O225" s="69">
        <v>69190.140845070433</v>
      </c>
      <c r="P225" s="70">
        <f t="shared" si="5"/>
        <v>460281.6901408452</v>
      </c>
      <c r="R225" s="24">
        <v>53</v>
      </c>
      <c r="S225" s="29">
        <f t="shared" si="13"/>
        <v>636</v>
      </c>
      <c r="T225" s="69">
        <v>475000</v>
      </c>
      <c r="U225" s="69">
        <v>81800.000000000015</v>
      </c>
      <c r="V225" s="70">
        <f t="shared" si="6"/>
        <v>393200</v>
      </c>
    </row>
    <row r="226" spans="2:22" x14ac:dyDescent="0.2">
      <c r="B226" s="24">
        <f t="shared" si="7"/>
        <v>0.54000000000000026</v>
      </c>
      <c r="C226" s="54">
        <f t="shared" si="9"/>
        <v>2.8962848848157626E-4</v>
      </c>
      <c r="D226" s="54">
        <f t="shared" si="10"/>
        <v>13.586464897050361</v>
      </c>
      <c r="E226" s="49" cm="1">
        <f t="array" ref="E226">IF($B226=0,0,IF($B226=1,0,_xlfn.BETA.DIST($B226,alpha_experiment_posterior,beta_experiment_posterior,FALSE)))</f>
        <v>4.2900090301187674</v>
      </c>
      <c r="G226" s="24">
        <f t="shared" si="8"/>
        <v>0.54000000000000026</v>
      </c>
      <c r="H226" s="54">
        <f t="shared" si="11"/>
        <v>3.4143104278282893E-4</v>
      </c>
      <c r="I226" s="54" cm="1">
        <f t="array" ref="I226">J226*maxPriorValue_control/maxPosteriorValue_control</f>
        <v>1.0804311274098194E-9</v>
      </c>
      <c r="J226" s="49" cm="1">
        <f t="array" ref="J226">IF($B226=0,0,IF($B226=1,0,_xlfn.BETA.DIST($B226,alpha_control_posterior,beta_control_posterior,FALSE)))</f>
        <v>1.7954448813113879E-9</v>
      </c>
      <c r="L226" s="24">
        <v>54</v>
      </c>
      <c r="M226" s="29">
        <f t="shared" si="12"/>
        <v>648</v>
      </c>
      <c r="N226" s="69">
        <v>533658.53658536577</v>
      </c>
      <c r="O226" s="69">
        <v>69512.195121951212</v>
      </c>
      <c r="P226" s="70">
        <f t="shared" si="5"/>
        <v>464146.34146341454</v>
      </c>
      <c r="R226" s="24">
        <v>54</v>
      </c>
      <c r="S226" s="29">
        <f t="shared" si="13"/>
        <v>648</v>
      </c>
      <c r="T226" s="69">
        <v>475000</v>
      </c>
      <c r="U226" s="69">
        <v>82400</v>
      </c>
      <c r="V226" s="70">
        <f t="shared" si="6"/>
        <v>392600</v>
      </c>
    </row>
    <row r="227" spans="2:22" x14ac:dyDescent="0.2">
      <c r="B227" s="24">
        <f t="shared" si="7"/>
        <v>0.55000000000000027</v>
      </c>
      <c r="C227" s="54">
        <f t="shared" si="9"/>
        <v>4.0297862608472195E-4</v>
      </c>
      <c r="D227" s="54">
        <f t="shared" si="10"/>
        <v>12.57917749245731</v>
      </c>
      <c r="E227" s="49" cm="1">
        <f t="array" ref="E227">IF($B227=0,0,IF($B227=1,0,_xlfn.BETA.DIST($B227,alpha_experiment_posterior,beta_experiment_posterior,FALSE)))</f>
        <v>3.9719518979381045</v>
      </c>
      <c r="G227" s="24">
        <f t="shared" si="8"/>
        <v>0.55000000000000027</v>
      </c>
      <c r="H227" s="54">
        <f t="shared" si="11"/>
        <v>2.3933241864831928E-4</v>
      </c>
      <c r="I227" s="54" cm="1">
        <f t="array" ref="I227">J227*maxPriorValue_control/maxPosteriorValue_control</f>
        <v>4.9991688260524124E-10</v>
      </c>
      <c r="J227" s="49" cm="1">
        <f t="array" ref="J227">IF($B227=0,0,IF($B227=1,0,_xlfn.BETA.DIST($B227,alpha_control_posterior,beta_control_posterior,FALSE)))</f>
        <v>8.3075467300403592E-10</v>
      </c>
      <c r="L227" s="24">
        <v>55</v>
      </c>
      <c r="M227" s="29">
        <f t="shared" si="12"/>
        <v>660</v>
      </c>
      <c r="N227" s="69">
        <v>537758.62068965507</v>
      </c>
      <c r="O227" s="69">
        <v>69827.586206896536</v>
      </c>
      <c r="P227" s="70">
        <f t="shared" si="5"/>
        <v>467931.03448275855</v>
      </c>
      <c r="R227" s="24">
        <v>55</v>
      </c>
      <c r="S227" s="29">
        <f t="shared" si="13"/>
        <v>660</v>
      </c>
      <c r="T227" s="69">
        <v>475000</v>
      </c>
      <c r="U227" s="69">
        <v>83000</v>
      </c>
      <c r="V227" s="70">
        <f t="shared" si="6"/>
        <v>392000</v>
      </c>
    </row>
    <row r="228" spans="2:22" x14ac:dyDescent="0.2">
      <c r="B228" s="24">
        <f t="shared" si="7"/>
        <v>0.56000000000000028</v>
      </c>
      <c r="C228" s="54">
        <f t="shared" si="9"/>
        <v>5.5736293832935112E-4</v>
      </c>
      <c r="D228" s="54">
        <f t="shared" si="10"/>
        <v>11.465149295429114</v>
      </c>
      <c r="E228" s="49" cm="1">
        <f t="array" ref="E228">IF($B228=0,0,IF($B228=1,0,_xlfn.BETA.DIST($B228,alpha_experiment_posterior,beta_experiment_posterior,FALSE)))</f>
        <v>3.6201907105158004</v>
      </c>
      <c r="G228" s="24">
        <f t="shared" si="8"/>
        <v>0.56000000000000028</v>
      </c>
      <c r="H228" s="54">
        <f t="shared" si="11"/>
        <v>1.6630665685414366E-4</v>
      </c>
      <c r="I228" s="54" cm="1">
        <f t="array" ref="I228">J228*maxPriorValue_control/maxPosteriorValue_control</f>
        <v>2.2707026467619404E-10</v>
      </c>
      <c r="J228" s="49" cm="1">
        <f t="array" ref="J228">IF($B228=0,0,IF($B228=1,0,_xlfn.BETA.DIST($B228,alpha_control_posterior,beta_control_posterior,FALSE)))</f>
        <v>3.7734209434365228E-10</v>
      </c>
      <c r="L228" s="24">
        <v>56</v>
      </c>
      <c r="M228" s="29">
        <f t="shared" si="12"/>
        <v>672</v>
      </c>
      <c r="N228" s="69">
        <v>541774.74402730376</v>
      </c>
      <c r="O228" s="69">
        <v>70136.518771331059</v>
      </c>
      <c r="P228" s="70">
        <f t="shared" si="5"/>
        <v>471638.22525597271</v>
      </c>
      <c r="R228" s="24">
        <v>56</v>
      </c>
      <c r="S228" s="29">
        <f t="shared" si="13"/>
        <v>672</v>
      </c>
      <c r="T228" s="69">
        <v>475000</v>
      </c>
      <c r="U228" s="69">
        <v>83600.000000000015</v>
      </c>
      <c r="V228" s="70">
        <f t="shared" si="6"/>
        <v>391400</v>
      </c>
    </row>
    <row r="229" spans="2:22" x14ac:dyDescent="0.2">
      <c r="B229" s="24">
        <f t="shared" si="7"/>
        <v>0.57000000000000028</v>
      </c>
      <c r="C229" s="54">
        <f t="shared" si="9"/>
        <v>7.6648031044313663E-4</v>
      </c>
      <c r="D229" s="54">
        <f t="shared" si="10"/>
        <v>10.284781081143509</v>
      </c>
      <c r="E229" s="49" cm="1">
        <f t="array" ref="E229">IF($B229=0,0,IF($B229=1,0,_xlfn.BETA.DIST($B229,alpha_experiment_posterior,beta_experiment_posterior,FALSE)))</f>
        <v>3.2474822586469285</v>
      </c>
      <c r="G229" s="24">
        <f t="shared" si="8"/>
        <v>0.57000000000000028</v>
      </c>
      <c r="H229" s="54">
        <f t="shared" si="11"/>
        <v>1.1451561415538861E-4</v>
      </c>
      <c r="I229" s="54" cm="1">
        <f t="array" ref="I229">J229*maxPriorValue_control/maxPosteriorValue_control</f>
        <v>1.0116576059697344E-10</v>
      </c>
      <c r="J229" s="49" cm="1">
        <f t="array" ref="J229">IF($B229=0,0,IF($B229=1,0,_xlfn.BETA.DIST($B229,alpha_control_posterior,beta_control_posterior,FALSE)))</f>
        <v>1.6811580342308313E-10</v>
      </c>
      <c r="L229" s="24">
        <v>57</v>
      </c>
      <c r="M229" s="29">
        <f t="shared" si="12"/>
        <v>684</v>
      </c>
      <c r="N229" s="69">
        <v>545709.45945945941</v>
      </c>
      <c r="O229" s="69">
        <v>70439.189189189172</v>
      </c>
      <c r="P229" s="70">
        <f t="shared" si="5"/>
        <v>475270.27027027024</v>
      </c>
      <c r="R229" s="24">
        <v>57</v>
      </c>
      <c r="S229" s="29">
        <f t="shared" si="13"/>
        <v>684</v>
      </c>
      <c r="T229" s="69">
        <v>475000</v>
      </c>
      <c r="U229" s="69">
        <v>84200.000000000015</v>
      </c>
      <c r="V229" s="70">
        <f t="shared" si="6"/>
        <v>390800</v>
      </c>
    </row>
    <row r="230" spans="2:22" x14ac:dyDescent="0.2">
      <c r="B230" s="24">
        <f t="shared" si="7"/>
        <v>0.58000000000000029</v>
      </c>
      <c r="C230" s="54">
        <f t="shared" si="9"/>
        <v>1.0482321726998593E-3</v>
      </c>
      <c r="D230" s="54">
        <f t="shared" si="10"/>
        <v>9.0779141796777338</v>
      </c>
      <c r="E230" s="49" cm="1">
        <f t="array" ref="E230">IF($B230=0,0,IF($B230=1,0,_xlfn.BETA.DIST($B230,alpha_experiment_posterior,beta_experiment_posterior,FALSE)))</f>
        <v>2.8664066849291712</v>
      </c>
      <c r="G230" s="24">
        <f t="shared" si="8"/>
        <v>0.58000000000000029</v>
      </c>
      <c r="H230" s="54">
        <f t="shared" si="11"/>
        <v>7.8107373906484689E-5</v>
      </c>
      <c r="I230" s="54" cm="1">
        <f t="array" ref="I230">J230*maxPriorValue_control/maxPosteriorValue_control</f>
        <v>4.4171379123020151E-11</v>
      </c>
      <c r="J230" s="49" cm="1">
        <f t="array" ref="J230">IF($B230=0,0,IF($B230=1,0,_xlfn.BETA.DIST($B230,alpha_control_posterior,beta_control_posterior,FALSE)))</f>
        <v>7.3403361431301233E-11</v>
      </c>
      <c r="L230" s="24">
        <v>58</v>
      </c>
      <c r="M230" s="29">
        <f t="shared" si="12"/>
        <v>696</v>
      </c>
      <c r="N230" s="69">
        <v>549565.21739130432</v>
      </c>
      <c r="O230" s="69">
        <v>70735.785953177241</v>
      </c>
      <c r="P230" s="70">
        <f t="shared" si="5"/>
        <v>478829.43143812707</v>
      </c>
      <c r="R230" s="24">
        <v>58</v>
      </c>
      <c r="S230" s="29">
        <f t="shared" si="13"/>
        <v>696</v>
      </c>
      <c r="T230" s="69">
        <v>475000</v>
      </c>
      <c r="U230" s="69">
        <v>84800</v>
      </c>
      <c r="V230" s="70">
        <f t="shared" si="6"/>
        <v>390200</v>
      </c>
    </row>
    <row r="231" spans="2:22" x14ac:dyDescent="0.2">
      <c r="B231" s="24">
        <f t="shared" si="7"/>
        <v>0.5900000000000003</v>
      </c>
      <c r="C231" s="54">
        <f t="shared" si="9"/>
        <v>1.425902434526639E-3</v>
      </c>
      <c r="D231" s="54">
        <f t="shared" si="10"/>
        <v>7.8817251467939009</v>
      </c>
      <c r="E231" s="49" cm="1">
        <f t="array" ref="E231">IF($B231=0,0,IF($B231=1,0,_xlfn.BETA.DIST($B231,alpha_experiment_posterior,beta_experiment_posterior,FALSE)))</f>
        <v>2.4887027132422634</v>
      </c>
      <c r="G231" s="24">
        <f t="shared" si="8"/>
        <v>0.5900000000000003</v>
      </c>
      <c r="H231" s="54">
        <f t="shared" si="11"/>
        <v>5.2747718757629954E-5</v>
      </c>
      <c r="I231" s="54" cm="1">
        <f t="array" ref="I231">J231*maxPriorValue_control/maxPosteriorValue_control</f>
        <v>1.8883287357808927E-11</v>
      </c>
      <c r="J231" s="49" cm="1">
        <f t="array" ref="J231">IF($B231=0,0,IF($B231=1,0,_xlfn.BETA.DIST($B231,alpha_control_posterior,beta_control_posterior,FALSE)))</f>
        <v>3.1379974871873495E-11</v>
      </c>
      <c r="L231" s="24">
        <v>59</v>
      </c>
      <c r="M231" s="29">
        <f t="shared" si="12"/>
        <v>708</v>
      </c>
      <c r="N231" s="69">
        <v>553344.37086092716</v>
      </c>
      <c r="O231" s="69">
        <v>71026.49006622516</v>
      </c>
      <c r="P231" s="70">
        <f t="shared" si="5"/>
        <v>482317.88079470198</v>
      </c>
      <c r="R231" s="24">
        <v>59</v>
      </c>
      <c r="S231" s="29">
        <f t="shared" si="13"/>
        <v>708</v>
      </c>
      <c r="T231" s="69">
        <v>475000</v>
      </c>
      <c r="U231" s="69">
        <v>85400</v>
      </c>
      <c r="V231" s="70">
        <f t="shared" si="6"/>
        <v>389600</v>
      </c>
    </row>
    <row r="232" spans="2:22" x14ac:dyDescent="0.2">
      <c r="B232" s="24">
        <f t="shared" si="7"/>
        <v>0.60000000000000031</v>
      </c>
      <c r="C232" s="54">
        <f t="shared" si="9"/>
        <v>1.9296391766999202E-3</v>
      </c>
      <c r="D232" s="54">
        <f t="shared" si="10"/>
        <v>6.7289725832397718</v>
      </c>
      <c r="E232" s="49" cm="1">
        <f t="array" ref="E232">IF($B232=0,0,IF($B232=1,0,_xlfn.BETA.DIST($B232,alpha_experiment_posterior,beta_experiment_posterior,FALSE)))</f>
        <v>2.124714071265688</v>
      </c>
      <c r="G232" s="24">
        <f t="shared" si="8"/>
        <v>0.60000000000000031</v>
      </c>
      <c r="H232" s="54">
        <f t="shared" si="11"/>
        <v>3.5253091565567536E-5</v>
      </c>
      <c r="I232" s="54" cm="1">
        <f t="array" ref="I232">J232*maxPriorValue_control/maxPosteriorValue_control</f>
        <v>7.8960098934889112E-12</v>
      </c>
      <c r="J232" s="49" cm="1">
        <f t="array" ref="J232">IF($B232=0,0,IF($B232=1,0,_xlfn.BETA.DIST($B232,alpha_control_posterior,beta_control_posterior,FALSE)))</f>
        <v>1.3121475479918592E-11</v>
      </c>
      <c r="L232" s="24">
        <v>60</v>
      </c>
      <c r="M232" s="29">
        <f t="shared" si="12"/>
        <v>720</v>
      </c>
      <c r="N232" s="69">
        <v>557049.18032786902</v>
      </c>
      <c r="O232" s="69">
        <v>71311.475409836072</v>
      </c>
      <c r="P232" s="70">
        <f t="shared" si="5"/>
        <v>485737.70491803298</v>
      </c>
      <c r="R232" s="24">
        <v>60</v>
      </c>
      <c r="S232" s="29">
        <f t="shared" si="13"/>
        <v>720</v>
      </c>
      <c r="T232" s="69">
        <v>475000</v>
      </c>
      <c r="U232" s="69">
        <v>86000</v>
      </c>
      <c r="V232" s="70">
        <f t="shared" si="6"/>
        <v>389000</v>
      </c>
    </row>
    <row r="233" spans="2:22" x14ac:dyDescent="0.2">
      <c r="B233" s="24">
        <f t="shared" si="7"/>
        <v>0.61000000000000032</v>
      </c>
      <c r="C233" s="54">
        <f t="shared" si="9"/>
        <v>2.5983080039704331E-3</v>
      </c>
      <c r="D233" s="54">
        <f t="shared" si="10"/>
        <v>5.6467007308973258</v>
      </c>
      <c r="E233" s="49" cm="1">
        <f t="array" ref="E233">IF($B233=0,0,IF($B233=1,0,_xlfn.BETA.DIST($B233,alpha_experiment_posterior,beta_experiment_posterior,FALSE)))</f>
        <v>1.7829801430677468</v>
      </c>
      <c r="G233" s="24">
        <f t="shared" si="8"/>
        <v>0.61000000000000032</v>
      </c>
      <c r="H233" s="54">
        <f t="shared" si="11"/>
        <v>2.3305276533965578E-5</v>
      </c>
      <c r="I233" s="54" cm="1">
        <f t="array" ref="I233">J233*maxPriorValue_control/maxPosteriorValue_control</f>
        <v>3.2259782177858753E-12</v>
      </c>
      <c r="J233" s="49" cm="1">
        <f t="array" ref="J233">IF($B233=0,0,IF($B233=1,0,_xlfn.BETA.DIST($B233,alpha_control_posterior,beta_control_posterior,FALSE)))</f>
        <v>5.3608841243137281E-12</v>
      </c>
      <c r="L233" s="24">
        <v>61</v>
      </c>
      <c r="M233" s="29">
        <f t="shared" si="12"/>
        <v>732</v>
      </c>
      <c r="N233" s="69">
        <v>560681.81818181835</v>
      </c>
      <c r="O233" s="69">
        <v>71590.909090909103</v>
      </c>
      <c r="P233" s="70">
        <f t="shared" si="5"/>
        <v>489090.90909090923</v>
      </c>
      <c r="R233" s="24">
        <v>61</v>
      </c>
      <c r="S233" s="29">
        <f t="shared" si="13"/>
        <v>732</v>
      </c>
      <c r="T233" s="69">
        <v>475000</v>
      </c>
      <c r="U233" s="69">
        <v>86600</v>
      </c>
      <c r="V233" s="70">
        <f t="shared" si="6"/>
        <v>388400</v>
      </c>
    </row>
    <row r="234" spans="2:22" x14ac:dyDescent="0.2">
      <c r="B234" s="24">
        <f t="shared" si="7"/>
        <v>0.62000000000000033</v>
      </c>
      <c r="C234" s="54">
        <f t="shared" si="9"/>
        <v>3.4818015310595922E-3</v>
      </c>
      <c r="D234" s="54">
        <f t="shared" si="10"/>
        <v>4.6554561000731978</v>
      </c>
      <c r="E234" s="49" cm="1">
        <f t="array" ref="E234">IF($B234=0,0,IF($B234=1,0,_xlfn.BETA.DIST($B234,alpha_experiment_posterior,beta_experiment_posterior,FALSE)))</f>
        <v>1.4699886144019298</v>
      </c>
      <c r="G234" s="24">
        <f t="shared" si="8"/>
        <v>0.62000000000000033</v>
      </c>
      <c r="H234" s="54">
        <f t="shared" si="11"/>
        <v>1.5231368945004397E-5</v>
      </c>
      <c r="I234" s="54" cm="1">
        <f t="array" ref="I234">J234*maxPriorValue_control/maxPosteriorValue_control</f>
        <v>1.2862684549245497E-12</v>
      </c>
      <c r="J234" s="49" cm="1">
        <f t="array" ref="J234">IF($B234=0,0,IF($B234=1,0,_xlfn.BETA.DIST($B234,alpha_control_posterior,beta_control_posterior,FALSE)))</f>
        <v>2.1375023865918303E-12</v>
      </c>
      <c r="L234" s="24">
        <v>62</v>
      </c>
      <c r="M234" s="29">
        <f t="shared" si="12"/>
        <v>744</v>
      </c>
      <c r="N234" s="69">
        <v>564244.37299035385</v>
      </c>
      <c r="O234" s="69">
        <v>71864.951768488754</v>
      </c>
      <c r="P234" s="70">
        <f t="shared" si="5"/>
        <v>492379.42122186511</v>
      </c>
      <c r="R234" s="24">
        <v>62</v>
      </c>
      <c r="S234" s="29">
        <f t="shared" si="13"/>
        <v>744</v>
      </c>
      <c r="T234" s="69">
        <v>475000</v>
      </c>
      <c r="U234" s="69">
        <v>87200</v>
      </c>
      <c r="V234" s="70">
        <f t="shared" si="6"/>
        <v>387800</v>
      </c>
    </row>
    <row r="235" spans="2:22" x14ac:dyDescent="0.2">
      <c r="B235" s="24">
        <f t="shared" si="7"/>
        <v>0.63000000000000034</v>
      </c>
      <c r="C235" s="54">
        <f t="shared" si="9"/>
        <v>4.6439067567298617E-3</v>
      </c>
      <c r="D235" s="54">
        <f t="shared" si="10"/>
        <v>3.7690235399717404</v>
      </c>
      <c r="E235" s="49" cm="1">
        <f t="array" ref="E235">IF($B235=0,0,IF($B235=1,0,_xlfn.BETA.DIST($B235,alpha_experiment_posterior,beta_experiment_posterior,FALSE)))</f>
        <v>1.1900921353515079</v>
      </c>
      <c r="G235" s="24">
        <f t="shared" si="8"/>
        <v>0.63000000000000034</v>
      </c>
      <c r="H235" s="54">
        <f t="shared" si="11"/>
        <v>9.8354891730376207E-6</v>
      </c>
      <c r="I235" s="54" cm="1">
        <f t="array" ref="I235">J235*maxPriorValue_control/maxPosteriorValue_control</f>
        <v>4.9988445777141722E-13</v>
      </c>
      <c r="J235" s="49" cm="1">
        <f t="array" ref="J235">IF($B235=0,0,IF($B235=1,0,_xlfn.BETA.DIST($B235,alpha_control_posterior,beta_control_posterior,FALSE)))</f>
        <v>8.3070078988234523E-13</v>
      </c>
      <c r="L235" s="24">
        <v>63</v>
      </c>
      <c r="M235" s="29">
        <f t="shared" si="12"/>
        <v>756</v>
      </c>
      <c r="N235" s="69">
        <v>567738.85350318463</v>
      </c>
      <c r="O235" s="69">
        <v>72133.757961783442</v>
      </c>
      <c r="P235" s="70">
        <f t="shared" si="5"/>
        <v>495605.09554140118</v>
      </c>
      <c r="R235" s="24">
        <v>63</v>
      </c>
      <c r="S235" s="29">
        <f t="shared" si="13"/>
        <v>756</v>
      </c>
      <c r="T235" s="69">
        <v>475000</v>
      </c>
      <c r="U235" s="69">
        <v>87800</v>
      </c>
      <c r="V235" s="70">
        <f t="shared" si="6"/>
        <v>387200</v>
      </c>
    </row>
    <row r="236" spans="2:22" x14ac:dyDescent="0.2">
      <c r="B236" s="24">
        <f t="shared" si="7"/>
        <v>0.64000000000000035</v>
      </c>
      <c r="C236" s="54">
        <f t="shared" ref="C236:C272" si="14">IF($B236=0,0,IF($B236=1,0,_xlfn.BETA.DIST($B236,alpha_experiment_prior,beta_experiment_prior,FALSE)))</f>
        <v>6.1658525195101609E-3</v>
      </c>
      <c r="D236" s="54">
        <f t="shared" ref="D236:D267" si="15">E236*maxPriorValue_experiment/maxPosteriorValue_experiment</f>
        <v>2.9946422236014114</v>
      </c>
      <c r="E236" s="49" cm="1">
        <f t="array" ref="E236">IF($B236=0,0,IF($B236=1,0,_xlfn.BETA.DIST($B236,alpha_experiment_posterior,beta_experiment_posterior,FALSE)))</f>
        <v>0.94557651887902872</v>
      </c>
      <c r="G236" s="24">
        <f t="shared" si="8"/>
        <v>0.64000000000000035</v>
      </c>
      <c r="H236" s="54">
        <f t="shared" ref="H236:H267" si="16">IF(G236=0,0,IF(G236=1,0,_xlfn.BETA.DIST(G236,alpha_control_prior,beta_control_prior,FALSE)))</f>
        <v>6.2711702774821344E-6</v>
      </c>
      <c r="I236" s="54" cm="1">
        <f t="array" ref="I236">J236*maxPriorValue_control/maxPosteriorValue_control</f>
        <v>1.8909540914230623E-13</v>
      </c>
      <c r="J236" s="49" cm="1">
        <f t="array" ref="J236">IF($B236=0,0,IF($B236=1,0,_xlfn.BETA.DIST($B236,alpha_control_posterior,beta_control_posterior,FALSE)))</f>
        <v>3.142360265368922E-13</v>
      </c>
      <c r="L236" s="24">
        <v>64</v>
      </c>
      <c r="M236" s="29">
        <f t="shared" ref="M236:M267" si="17">IF(L236=0,1,L236*(maxPosteriorScalePower/100))</f>
        <v>768</v>
      </c>
      <c r="N236" s="69">
        <v>571167.19242902217</v>
      </c>
      <c r="O236" s="69">
        <v>72397.476340694004</v>
      </c>
      <c r="P236" s="70">
        <f t="shared" si="5"/>
        <v>498769.71608832816</v>
      </c>
      <c r="R236" s="24">
        <v>64</v>
      </c>
      <c r="S236" s="29">
        <f t="shared" ref="S236:S267" si="18">IF(R236=0,1,R236*(maxHeadsInControl/100))</f>
        <v>768</v>
      </c>
      <c r="T236" s="69">
        <v>475000</v>
      </c>
      <c r="U236" s="69">
        <v>88400</v>
      </c>
      <c r="V236" s="70">
        <f t="shared" si="6"/>
        <v>386600</v>
      </c>
    </row>
    <row r="237" spans="2:22" x14ac:dyDescent="0.2">
      <c r="B237" s="24">
        <f t="shared" si="7"/>
        <v>0.65000000000000036</v>
      </c>
      <c r="C237" s="54">
        <f t="shared" si="14"/>
        <v>8.1506833346832678E-3</v>
      </c>
      <c r="D237" s="54">
        <f t="shared" si="15"/>
        <v>2.3336244937806625</v>
      </c>
      <c r="E237" s="49" cm="1">
        <f t="array" ref="E237">IF($B237=0,0,IF($B237=1,0,_xlfn.BETA.DIST($B237,alpha_experiment_posterior,beta_experiment_posterior,FALSE)))</f>
        <v>0.73685614522132525</v>
      </c>
      <c r="G237" s="24">
        <f t="shared" si="8"/>
        <v>0.65000000000000036</v>
      </c>
      <c r="H237" s="54">
        <f t="shared" si="16"/>
        <v>3.9454470260128212E-6</v>
      </c>
      <c r="I237" s="54" cm="1">
        <f t="array" ref="I237">J237*maxPriorValue_control/maxPosteriorValue_control</f>
        <v>6.9521668074216292E-14</v>
      </c>
      <c r="J237" s="49" cm="1">
        <f t="array" ref="J237">IF($B237=0,0,IF($B237=1,0,_xlfn.BETA.DIST($B237,alpha_control_posterior,beta_control_posterior,FALSE)))</f>
        <v>1.1553010637829809E-13</v>
      </c>
      <c r="L237" s="24">
        <v>65</v>
      </c>
      <c r="M237" s="29">
        <f t="shared" si="17"/>
        <v>780</v>
      </c>
      <c r="N237" s="69">
        <v>574531.25</v>
      </c>
      <c r="O237" s="69">
        <v>72656.25</v>
      </c>
      <c r="P237" s="70">
        <f t="shared" ref="P237:P272" si="19">MAX(0,N237-O237)</f>
        <v>501875</v>
      </c>
      <c r="R237" s="24">
        <v>65</v>
      </c>
      <c r="S237" s="29">
        <f t="shared" si="18"/>
        <v>780</v>
      </c>
      <c r="T237" s="69">
        <v>475000</v>
      </c>
      <c r="U237" s="69">
        <v>89000</v>
      </c>
      <c r="V237" s="70">
        <f t="shared" ref="V237:V272" si="20">MAX(0,T237-U237)</f>
        <v>386000</v>
      </c>
    </row>
    <row r="238" spans="2:22" x14ac:dyDescent="0.2">
      <c r="B238" s="24">
        <f t="shared" ref="B238:B269" si="21">B237+0.01</f>
        <v>0.66000000000000036</v>
      </c>
      <c r="C238" s="54">
        <f t="shared" si="14"/>
        <v>1.0728634267326793E-2</v>
      </c>
      <c r="D238" s="54">
        <f t="shared" si="15"/>
        <v>1.7822745822591468</v>
      </c>
      <c r="E238" s="49" cm="1">
        <f t="array" ref="E238">IF($B238=0,0,IF($B238=1,0,_xlfn.BETA.DIST($B238,alpha_experiment_posterior,beta_experiment_posterior,FALSE)))</f>
        <v>0.56276405304685584</v>
      </c>
      <c r="G238" s="24">
        <f t="shared" ref="G238:G269" si="22">G237+0.01</f>
        <v>0.66000000000000036</v>
      </c>
      <c r="H238" s="54">
        <f t="shared" si="16"/>
        <v>2.4474376196978241E-6</v>
      </c>
      <c r="I238" s="54" cm="1">
        <f t="array" ref="I238">J238*maxPriorValue_control/maxPosteriorValue_control</f>
        <v>2.4801895657576545E-14</v>
      </c>
      <c r="J238" s="49" cm="1">
        <f t="array" ref="J238">IF($B238=0,0,IF($B238=1,0,_xlfn.BETA.DIST($B238,alpha_control_posterior,beta_control_posterior,FALSE)))</f>
        <v>4.1215432872588894E-14</v>
      </c>
      <c r="L238" s="24">
        <v>66</v>
      </c>
      <c r="M238" s="29">
        <f t="shared" si="17"/>
        <v>792</v>
      </c>
      <c r="N238" s="69">
        <v>577832.81733746117</v>
      </c>
      <c r="O238" s="69">
        <v>72910.216718266252</v>
      </c>
      <c r="P238" s="70">
        <f t="shared" si="19"/>
        <v>504922.60061919491</v>
      </c>
      <c r="R238" s="24">
        <v>66</v>
      </c>
      <c r="S238" s="29">
        <f t="shared" si="18"/>
        <v>792</v>
      </c>
      <c r="T238" s="69">
        <v>475000</v>
      </c>
      <c r="U238" s="69">
        <v>89600</v>
      </c>
      <c r="V238" s="70">
        <f t="shared" si="20"/>
        <v>385400</v>
      </c>
    </row>
    <row r="239" spans="2:22" x14ac:dyDescent="0.2">
      <c r="B239" s="24">
        <f t="shared" si="21"/>
        <v>0.67000000000000037</v>
      </c>
      <c r="C239" s="54">
        <f t="shared" si="14"/>
        <v>1.4063714763278961E-2</v>
      </c>
      <c r="D239" s="54">
        <f t="shared" si="15"/>
        <v>1.3329914215415488</v>
      </c>
      <c r="E239" s="49" cm="1">
        <f t="array" ref="E239">IF($B239=0,0,IF($B239=1,0,_xlfn.BETA.DIST($B239,alpha_experiment_posterior,beta_experiment_posterior,FALSE)))</f>
        <v>0.42090015900498157</v>
      </c>
      <c r="G239" s="24">
        <f t="shared" si="22"/>
        <v>0.67000000000000037</v>
      </c>
      <c r="H239" s="54">
        <f t="shared" si="16"/>
        <v>1.4956772459083025E-6</v>
      </c>
      <c r="I239" s="54" cm="1">
        <f t="array" ref="I239">J239*maxPriorValue_control/maxPosteriorValue_control</f>
        <v>8.5705579301345991E-15</v>
      </c>
      <c r="J239" s="49" cm="1">
        <f t="array" ref="J239">IF($B239=0,0,IF($B239=1,0,_xlfn.BETA.DIST($B239,alpha_control_posterior,beta_control_posterior,FALSE)))</f>
        <v>1.4242429688723756E-14</v>
      </c>
      <c r="L239" s="24">
        <v>67</v>
      </c>
      <c r="M239" s="29">
        <f t="shared" si="17"/>
        <v>804</v>
      </c>
      <c r="N239" s="69">
        <v>581073.61963190185</v>
      </c>
      <c r="O239" s="69">
        <v>73159.509202453977</v>
      </c>
      <c r="P239" s="70">
        <f t="shared" si="19"/>
        <v>507914.11042944784</v>
      </c>
      <c r="R239" s="24">
        <v>67</v>
      </c>
      <c r="S239" s="29">
        <f t="shared" si="18"/>
        <v>804</v>
      </c>
      <c r="T239" s="69">
        <v>475000</v>
      </c>
      <c r="U239" s="69">
        <v>90200</v>
      </c>
      <c r="V239" s="70">
        <f t="shared" si="20"/>
        <v>384800</v>
      </c>
    </row>
    <row r="240" spans="2:22" x14ac:dyDescent="0.2">
      <c r="B240" s="24">
        <f t="shared" si="21"/>
        <v>0.68000000000000038</v>
      </c>
      <c r="C240" s="54">
        <f t="shared" si="14"/>
        <v>1.8361748291965338E-2</v>
      </c>
      <c r="D240" s="54">
        <f t="shared" si="15"/>
        <v>0.97543999981687435</v>
      </c>
      <c r="E240" s="49" cm="1">
        <f t="array" ref="E240">IF($B240=0,0,IF($B240=1,0,_xlfn.BETA.DIST($B240,alpha_experiment_posterior,beta_experiment_posterior,FALSE)))</f>
        <v>0.30800112017821002</v>
      </c>
      <c r="G240" s="24">
        <f t="shared" si="22"/>
        <v>0.68000000000000038</v>
      </c>
      <c r="H240" s="54">
        <f t="shared" si="16"/>
        <v>8.9967292355062761E-7</v>
      </c>
      <c r="I240" s="54" cm="1">
        <f t="array" ref="I240">J240*maxPriorValue_control/maxPosteriorValue_control</f>
        <v>2.8632249514846038E-15</v>
      </c>
      <c r="J240" s="49" cm="1">
        <f t="array" ref="J240">IF($B240=0,0,IF($B240=1,0,_xlfn.BETA.DIST($B240,alpha_control_posterior,beta_control_posterior,FALSE)))</f>
        <v>4.7580659727106621E-15</v>
      </c>
      <c r="L240" s="24">
        <v>68</v>
      </c>
      <c r="M240" s="29">
        <f t="shared" si="17"/>
        <v>816</v>
      </c>
      <c r="N240" s="69">
        <v>584255.31914893608</v>
      </c>
      <c r="O240" s="69">
        <v>73404.255319148928</v>
      </c>
      <c r="P240" s="70">
        <f t="shared" si="19"/>
        <v>510851.06382978713</v>
      </c>
      <c r="R240" s="24">
        <v>68</v>
      </c>
      <c r="S240" s="29">
        <f t="shared" si="18"/>
        <v>816</v>
      </c>
      <c r="T240" s="69">
        <v>475000</v>
      </c>
      <c r="U240" s="69">
        <v>90799.999999999985</v>
      </c>
      <c r="V240" s="70">
        <f t="shared" si="20"/>
        <v>384200</v>
      </c>
    </row>
    <row r="241" spans="2:22" x14ac:dyDescent="0.2">
      <c r="B241" s="24">
        <f t="shared" si="21"/>
        <v>0.69000000000000039</v>
      </c>
      <c r="C241" s="54">
        <f t="shared" si="14"/>
        <v>2.3880160106127084E-2</v>
      </c>
      <c r="D241" s="54">
        <f t="shared" si="15"/>
        <v>0.69768734495086515</v>
      </c>
      <c r="E241" s="49" cm="1">
        <f t="array" ref="E241">IF($B241=0,0,IF($B241=1,0,_xlfn.BETA.DIST($B241,alpha_experiment_posterior,beta_experiment_posterior,FALSE)))</f>
        <v>0.2202990279457169</v>
      </c>
      <c r="G241" s="24">
        <f t="shared" si="22"/>
        <v>0.69000000000000039</v>
      </c>
      <c r="H241" s="54">
        <f t="shared" si="16"/>
        <v>5.321376556366835E-7</v>
      </c>
      <c r="I241" s="54" cm="1">
        <f t="array" ref="I241">J241*maxPriorValue_control/maxPosteriorValue_control</f>
        <v>9.2279705450289305E-16</v>
      </c>
      <c r="J241" s="49" cm="1">
        <f t="array" ref="J241">IF($B241=0,0,IF($B241=1,0,_xlfn.BETA.DIST($B241,alpha_control_posterior,beta_control_posterior,FALSE)))</f>
        <v>1.5334908500539627E-15</v>
      </c>
      <c r="L241" s="24">
        <v>69</v>
      </c>
      <c r="M241" s="29">
        <f t="shared" si="17"/>
        <v>828</v>
      </c>
      <c r="N241" s="69">
        <v>587379.51807228907</v>
      </c>
      <c r="O241" s="69">
        <v>73644.578313253005</v>
      </c>
      <c r="P241" s="70">
        <f t="shared" si="19"/>
        <v>513734.93975903606</v>
      </c>
      <c r="R241" s="24">
        <v>69</v>
      </c>
      <c r="S241" s="29">
        <f t="shared" si="18"/>
        <v>828</v>
      </c>
      <c r="T241" s="69">
        <v>475000</v>
      </c>
      <c r="U241" s="69">
        <v>91400</v>
      </c>
      <c r="V241" s="70">
        <f t="shared" si="20"/>
        <v>383600</v>
      </c>
    </row>
    <row r="242" spans="2:22" x14ac:dyDescent="0.2">
      <c r="B242" s="24">
        <f t="shared" si="21"/>
        <v>0.7000000000000004</v>
      </c>
      <c r="C242" s="54">
        <f t="shared" si="14"/>
        <v>3.0939858360298871E-2</v>
      </c>
      <c r="D242" s="54">
        <f t="shared" si="15"/>
        <v>0.48721949913020535</v>
      </c>
      <c r="E242" s="49" cm="1">
        <f t="array" ref="E242">IF($B242=0,0,IF($B242=1,0,_xlfn.BETA.DIST($B242,alpha_experiment_posterior,beta_experiment_posterior,FALSE)))</f>
        <v>0.15384252392042788</v>
      </c>
      <c r="G242" s="24">
        <f t="shared" si="22"/>
        <v>0.7000000000000004</v>
      </c>
      <c r="H242" s="54">
        <f t="shared" si="16"/>
        <v>3.0916155022199337E-7</v>
      </c>
      <c r="I242" s="54" cm="1">
        <f t="array" ref="I242">J242*maxPriorValue_control/maxPosteriorValue_control</f>
        <v>2.8625463977218991E-16</v>
      </c>
      <c r="J242" s="49" cm="1">
        <f t="array" ref="J242">IF($B242=0,0,IF($B242=1,0,_xlfn.BETA.DIST($B242,alpha_control_posterior,beta_control_posterior,FALSE)))</f>
        <v>4.7569383618440034E-16</v>
      </c>
      <c r="L242" s="24">
        <v>70</v>
      </c>
      <c r="M242" s="29">
        <f t="shared" si="17"/>
        <v>840</v>
      </c>
      <c r="N242" s="69">
        <v>590447.76119402982</v>
      </c>
      <c r="O242" s="69">
        <v>73880.59701492537</v>
      </c>
      <c r="P242" s="70">
        <f t="shared" si="19"/>
        <v>516567.16417910444</v>
      </c>
      <c r="R242" s="24">
        <v>70</v>
      </c>
      <c r="S242" s="29">
        <f t="shared" si="18"/>
        <v>840</v>
      </c>
      <c r="T242" s="69">
        <v>475000</v>
      </c>
      <c r="U242" s="69">
        <v>92000</v>
      </c>
      <c r="V242" s="70">
        <f t="shared" si="20"/>
        <v>383000</v>
      </c>
    </row>
    <row r="243" spans="2:22" x14ac:dyDescent="0.2">
      <c r="B243" s="24">
        <f t="shared" si="21"/>
        <v>0.71000000000000041</v>
      </c>
      <c r="C243" s="54">
        <f t="shared" si="14"/>
        <v>3.993961534446322E-2</v>
      </c>
      <c r="D243" s="54">
        <f t="shared" si="15"/>
        <v>0.33178132229577229</v>
      </c>
      <c r="E243" s="49" cm="1">
        <f t="array" ref="E243">IF($B243=0,0,IF($B243=1,0,_xlfn.BETA.DIST($B243,alpha_experiment_posterior,beta_experiment_posterior,FALSE)))</f>
        <v>0.10476197299730398</v>
      </c>
      <c r="G243" s="24">
        <f t="shared" si="22"/>
        <v>0.71000000000000041</v>
      </c>
      <c r="H243" s="54">
        <f t="shared" si="16"/>
        <v>1.762180613432762E-7</v>
      </c>
      <c r="I243" s="54" cm="1">
        <f t="array" ref="I243">J243*maxPriorValue_control/maxPosteriorValue_control</f>
        <v>8.5247662679674874E-17</v>
      </c>
      <c r="J243" s="49" cm="1">
        <f t="array" ref="J243">IF($B243=0,0,IF($B243=1,0,_xlfn.BETA.DIST($B243,alpha_control_posterior,beta_control_posterior,FALSE)))</f>
        <v>1.4166333764273872E-16</v>
      </c>
      <c r="L243" s="24">
        <v>71</v>
      </c>
      <c r="M243" s="29">
        <f t="shared" si="17"/>
        <v>852</v>
      </c>
      <c r="N243" s="69">
        <v>593461.53846153838</v>
      </c>
      <c r="O243" s="69">
        <v>74112.426035502955</v>
      </c>
      <c r="P243" s="70">
        <f t="shared" si="19"/>
        <v>519349.11242603546</v>
      </c>
      <c r="R243" s="24">
        <v>71</v>
      </c>
      <c r="S243" s="29">
        <f t="shared" si="18"/>
        <v>852</v>
      </c>
      <c r="T243" s="69">
        <v>475000</v>
      </c>
      <c r="U243" s="69">
        <v>92599.999999999985</v>
      </c>
      <c r="V243" s="70">
        <f t="shared" si="20"/>
        <v>382400</v>
      </c>
    </row>
    <row r="244" spans="2:22" x14ac:dyDescent="0.2">
      <c r="B244" s="24">
        <f t="shared" si="21"/>
        <v>0.72000000000000042</v>
      </c>
      <c r="C244" s="54">
        <f t="shared" si="14"/>
        <v>5.137342691313506E-2</v>
      </c>
      <c r="D244" s="54">
        <f t="shared" si="15"/>
        <v>0.22000804037958591</v>
      </c>
      <c r="E244" s="49" cm="1">
        <f t="array" ref="E244">IF($B244=0,0,IF($B244=1,0,_xlfn.BETA.DIST($B244,alpha_experiment_posterior,beta_experiment_posterior,FALSE)))</f>
        <v>6.9468878555161623E-2</v>
      </c>
      <c r="G244" s="24">
        <f t="shared" si="22"/>
        <v>0.72000000000000042</v>
      </c>
      <c r="H244" s="54">
        <f t="shared" si="16"/>
        <v>9.8411337726431204E-8</v>
      </c>
      <c r="I244" s="54" cm="1">
        <f t="array" ref="I244">J244*maxPriorValue_control/maxPosteriorValue_control</f>
        <v>2.4303360782011445E-17</v>
      </c>
      <c r="J244" s="49" cm="1">
        <f t="array" ref="J244">IF($B244=0,0,IF($B244=1,0,_xlfn.BETA.DIST($B244,alpha_control_posterior,beta_control_posterior,FALSE)))</f>
        <v>4.038697479897302E-17</v>
      </c>
      <c r="L244" s="24">
        <v>72</v>
      </c>
      <c r="M244" s="29">
        <f t="shared" si="17"/>
        <v>864</v>
      </c>
      <c r="N244" s="69">
        <v>596422.28739002929</v>
      </c>
      <c r="O244" s="69">
        <v>74340.175953079175</v>
      </c>
      <c r="P244" s="70">
        <f t="shared" si="19"/>
        <v>522082.1114369501</v>
      </c>
      <c r="R244" s="24">
        <v>72</v>
      </c>
      <c r="S244" s="29">
        <f t="shared" si="18"/>
        <v>864</v>
      </c>
      <c r="T244" s="69">
        <v>475000</v>
      </c>
      <c r="U244" s="69">
        <v>93199.999999999985</v>
      </c>
      <c r="V244" s="70">
        <f t="shared" si="20"/>
        <v>381800</v>
      </c>
    </row>
    <row r="245" spans="2:22" x14ac:dyDescent="0.2">
      <c r="B245" s="24">
        <f t="shared" si="21"/>
        <v>0.73000000000000043</v>
      </c>
      <c r="C245" s="54">
        <f t="shared" si="14"/>
        <v>6.5851410709433761E-2</v>
      </c>
      <c r="D245" s="54">
        <f t="shared" si="15"/>
        <v>0.1418428537226496</v>
      </c>
      <c r="E245" s="49" cm="1">
        <f t="array" ref="E245">IF($B245=0,0,IF($B245=1,0,_xlfn.BETA.DIST($B245,alpha_experiment_posterior,beta_experiment_posterior,FALSE)))</f>
        <v>4.4787744857758396E-2</v>
      </c>
      <c r="G245" s="24">
        <f t="shared" si="22"/>
        <v>0.73000000000000043</v>
      </c>
      <c r="H245" s="54">
        <f t="shared" si="16"/>
        <v>5.3769123482142992E-8</v>
      </c>
      <c r="I245" s="54" cm="1">
        <f t="array" ref="I245">J245*maxPriorValue_control/maxPosteriorValue_control</f>
        <v>6.612102699723918E-18</v>
      </c>
      <c r="J245" s="49" cm="1">
        <f t="array" ref="J245">IF($B245=0,0,IF($B245=1,0,_xlfn.BETA.DIST($B245,alpha_control_posterior,beta_control_posterior,FALSE)))</f>
        <v>1.0987897003102044E-17</v>
      </c>
      <c r="L245" s="24">
        <v>73</v>
      </c>
      <c r="M245" s="29">
        <f t="shared" si="17"/>
        <v>876</v>
      </c>
      <c r="N245" s="69">
        <v>599331.39534883713</v>
      </c>
      <c r="O245" s="69">
        <v>74563.953488372092</v>
      </c>
      <c r="P245" s="70">
        <f t="shared" si="19"/>
        <v>524767.4418604651</v>
      </c>
      <c r="R245" s="24">
        <v>73</v>
      </c>
      <c r="S245" s="29">
        <f t="shared" si="18"/>
        <v>876</v>
      </c>
      <c r="T245" s="69">
        <v>475000</v>
      </c>
      <c r="U245" s="69">
        <v>93800</v>
      </c>
      <c r="V245" s="70">
        <f t="shared" si="20"/>
        <v>381200</v>
      </c>
    </row>
    <row r="246" spans="2:22" x14ac:dyDescent="0.2">
      <c r="B246" s="24">
        <f t="shared" si="21"/>
        <v>0.74000000000000044</v>
      </c>
      <c r="C246" s="54">
        <f t="shared" si="14"/>
        <v>8.4124899056210692E-2</v>
      </c>
      <c r="D246" s="54">
        <f t="shared" si="15"/>
        <v>8.8756063065188642E-2</v>
      </c>
      <c r="E246" s="49" cm="1">
        <f t="array" ref="E246">IF($B246=0,0,IF($B246=1,0,_xlfn.BETA.DIST($B246,alpha_experiment_posterior,beta_experiment_posterior,FALSE)))</f>
        <v>2.8025267419644569E-2</v>
      </c>
      <c r="G246" s="24">
        <f t="shared" si="22"/>
        <v>0.74000000000000044</v>
      </c>
      <c r="H246" s="54">
        <f t="shared" si="16"/>
        <v>2.8694901697766655E-8</v>
      </c>
      <c r="I246" s="54" cm="1">
        <f t="array" ref="I246">J246*maxPriorValue_control/maxPosteriorValue_control</f>
        <v>1.7107345109822808E-18</v>
      </c>
      <c r="J246" s="49" cm="1">
        <f t="array" ref="J246">IF($B246=0,0,IF($B246=1,0,_xlfn.BETA.DIST($B246,alpha_control_posterior,beta_control_posterior,FALSE)))</f>
        <v>2.8428739630904875E-18</v>
      </c>
      <c r="L246" s="24">
        <v>74</v>
      </c>
      <c r="M246" s="29">
        <f t="shared" si="17"/>
        <v>888</v>
      </c>
      <c r="N246" s="69">
        <v>602190.20172910672</v>
      </c>
      <c r="O246" s="69">
        <v>74783.861671469727</v>
      </c>
      <c r="P246" s="70">
        <f t="shared" si="19"/>
        <v>527406.34005763696</v>
      </c>
      <c r="R246" s="24">
        <v>74</v>
      </c>
      <c r="S246" s="29">
        <f t="shared" si="18"/>
        <v>888</v>
      </c>
      <c r="T246" s="69">
        <v>475000</v>
      </c>
      <c r="U246" s="69">
        <v>94400</v>
      </c>
      <c r="V246" s="70">
        <f t="shared" si="20"/>
        <v>380600</v>
      </c>
    </row>
    <row r="247" spans="2:22" x14ac:dyDescent="0.2">
      <c r="B247" s="24">
        <f t="shared" si="21"/>
        <v>0.75000000000000044</v>
      </c>
      <c r="C247" s="54">
        <f t="shared" si="14"/>
        <v>0.10711649215954931</v>
      </c>
      <c r="D247" s="54">
        <f t="shared" si="15"/>
        <v>5.3796415144768656E-2</v>
      </c>
      <c r="E247" s="49" cm="1">
        <f t="array" ref="E247">IF($B247=0,0,IF($B247=1,0,_xlfn.BETA.DIST($B247,alpha_experiment_posterior,beta_experiment_posterior,FALSE)))</f>
        <v>1.6986545691453539E-2</v>
      </c>
      <c r="G247" s="24">
        <f t="shared" si="22"/>
        <v>0.75000000000000044</v>
      </c>
      <c r="H247" s="54">
        <f t="shared" si="16"/>
        <v>1.4930265024303897E-8</v>
      </c>
      <c r="I247" s="54" cm="1">
        <f t="array" ref="I247">J247*maxPriorValue_control/maxPosteriorValue_control</f>
        <v>4.192724593654841E-19</v>
      </c>
      <c r="J247" s="49" cm="1">
        <f t="array" ref="J247">IF($B247=0,0,IF($B247=1,0,_xlfn.BETA.DIST($B247,alpha_control_posterior,beta_control_posterior,FALSE)))</f>
        <v>6.9674093234177756E-19</v>
      </c>
      <c r="L247" s="24">
        <v>75</v>
      </c>
      <c r="M247" s="29">
        <f t="shared" si="17"/>
        <v>900</v>
      </c>
      <c r="N247" s="69">
        <v>605000</v>
      </c>
      <c r="O247" s="69">
        <v>75000.000000000015</v>
      </c>
      <c r="P247" s="70">
        <f t="shared" si="19"/>
        <v>530000</v>
      </c>
      <c r="R247" s="24">
        <v>75</v>
      </c>
      <c r="S247" s="29">
        <f t="shared" si="18"/>
        <v>900</v>
      </c>
      <c r="T247" s="69">
        <v>475000</v>
      </c>
      <c r="U247" s="69">
        <v>95000</v>
      </c>
      <c r="V247" s="70">
        <f t="shared" si="20"/>
        <v>380000</v>
      </c>
    </row>
    <row r="248" spans="2:22" x14ac:dyDescent="0.2">
      <c r="B248" s="24">
        <f t="shared" si="21"/>
        <v>0.76000000000000045</v>
      </c>
      <c r="C248" s="54">
        <f t="shared" si="14"/>
        <v>0.13595596350119543</v>
      </c>
      <c r="D248" s="54">
        <f t="shared" si="15"/>
        <v>3.1514091659309136E-2</v>
      </c>
      <c r="E248" s="49" cm="1">
        <f t="array" ref="E248">IF($B248=0,0,IF($B248=1,0,_xlfn.BETA.DIST($B248,alpha_experiment_posterior,beta_experiment_posterior,FALSE)))</f>
        <v>9.9507663559913889E-3</v>
      </c>
      <c r="G248" s="24">
        <f t="shared" si="22"/>
        <v>0.76000000000000045</v>
      </c>
      <c r="H248" s="54">
        <f t="shared" si="16"/>
        <v>7.5584162871896186E-9</v>
      </c>
      <c r="I248" s="54" cm="1">
        <f t="array" ref="I248">J248*maxPriorValue_control/maxPosteriorValue_control</f>
        <v>9.6910970958345897E-20</v>
      </c>
      <c r="J248" s="49" cm="1">
        <f t="array" ref="J248">IF($B248=0,0,IF($B248=1,0,_xlfn.BETA.DIST($B248,alpha_control_posterior,beta_control_posterior,FALSE)))</f>
        <v>1.6104525530212648E-19</v>
      </c>
      <c r="L248" s="24">
        <v>76</v>
      </c>
      <c r="M248" s="29">
        <f t="shared" si="17"/>
        <v>912</v>
      </c>
      <c r="N248" s="69">
        <v>607762.03966005659</v>
      </c>
      <c r="O248" s="69">
        <v>75212.464589235125</v>
      </c>
      <c r="P248" s="70">
        <f t="shared" si="19"/>
        <v>532549.57507082145</v>
      </c>
      <c r="R248" s="24">
        <v>76</v>
      </c>
      <c r="S248" s="29">
        <f t="shared" si="18"/>
        <v>912</v>
      </c>
      <c r="T248" s="69">
        <v>475000</v>
      </c>
      <c r="U248" s="69">
        <v>95599.999999999985</v>
      </c>
      <c r="V248" s="70">
        <f t="shared" si="20"/>
        <v>379400</v>
      </c>
    </row>
    <row r="249" spans="2:22" x14ac:dyDescent="0.2">
      <c r="B249" s="24">
        <f t="shared" si="21"/>
        <v>0.77000000000000046</v>
      </c>
      <c r="C249" s="54">
        <f t="shared" si="14"/>
        <v>0.1720230541744231</v>
      </c>
      <c r="D249" s="54">
        <f t="shared" si="15"/>
        <v>1.7797274661792713E-2</v>
      </c>
      <c r="E249" s="49" cm="1">
        <f t="array" ref="E249">IF($B249=0,0,IF($B249=1,0,_xlfn.BETA.DIST($B249,alpha_experiment_posterior,beta_experiment_posterior,FALSE)))</f>
        <v>5.619597856332037E-3</v>
      </c>
      <c r="G249" s="24">
        <f t="shared" si="22"/>
        <v>0.77000000000000046</v>
      </c>
      <c r="H249" s="54">
        <f t="shared" si="16"/>
        <v>3.7144117417903676E-9</v>
      </c>
      <c r="I249" s="54" cm="1">
        <f t="array" ref="I249">J249*maxPriorValue_control/maxPosteriorValue_control</f>
        <v>2.1021339691159764E-20</v>
      </c>
      <c r="J249" s="49" cm="1">
        <f t="array" ref="J249">IF($B249=0,0,IF($B249=1,0,_xlfn.BETA.DIST($B249,alpha_control_posterior,beta_control_posterior,FALSE)))</f>
        <v>3.4932959435631391E-20</v>
      </c>
      <c r="L249" s="24">
        <v>77</v>
      </c>
      <c r="M249" s="29">
        <f t="shared" si="17"/>
        <v>924</v>
      </c>
      <c r="N249" s="69">
        <v>610477.5280898877</v>
      </c>
      <c r="O249" s="69">
        <v>75421.348314606759</v>
      </c>
      <c r="P249" s="70">
        <f t="shared" si="19"/>
        <v>535056.17977528088</v>
      </c>
      <c r="R249" s="24">
        <v>77</v>
      </c>
      <c r="S249" s="29">
        <f t="shared" si="18"/>
        <v>924</v>
      </c>
      <c r="T249" s="69">
        <v>475000</v>
      </c>
      <c r="U249" s="69">
        <v>96200</v>
      </c>
      <c r="V249" s="70">
        <f t="shared" si="20"/>
        <v>378800</v>
      </c>
    </row>
    <row r="250" spans="2:22" x14ac:dyDescent="0.2">
      <c r="B250" s="24">
        <f t="shared" si="21"/>
        <v>0.78000000000000047</v>
      </c>
      <c r="C250" s="54">
        <f t="shared" si="14"/>
        <v>0.21699835888623006</v>
      </c>
      <c r="D250" s="54">
        <f t="shared" si="15"/>
        <v>9.6615636749996393E-3</v>
      </c>
      <c r="E250" s="49" cm="1">
        <f t="array" ref="E250">IF($B250=0,0,IF($B250=1,0,_xlfn.BETA.DIST($B250,alpha_experiment_posterior,beta_experiment_posterior,FALSE)))</f>
        <v>3.0506975673866695E-3</v>
      </c>
      <c r="G250" s="24">
        <f t="shared" si="22"/>
        <v>0.78000000000000047</v>
      </c>
      <c r="H250" s="54">
        <f t="shared" si="16"/>
        <v>1.7672837440794296E-9</v>
      </c>
      <c r="I250" s="54" cm="1">
        <f t="array" ref="I250">J250*maxPriorValue_control/maxPosteriorValue_control</f>
        <v>4.2551898864610385E-21</v>
      </c>
      <c r="J250" s="49" cm="1">
        <f t="array" ref="J250">IF($B250=0,0,IF($B250=1,0,_xlfn.BETA.DIST($B250,alpha_control_posterior,beta_control_posterior,FALSE)))</f>
        <v>7.0712132470397966E-21</v>
      </c>
      <c r="L250" s="24">
        <v>78</v>
      </c>
      <c r="M250" s="29">
        <f t="shared" si="17"/>
        <v>936</v>
      </c>
      <c r="N250" s="69">
        <v>613147.63231197768</v>
      </c>
      <c r="O250" s="69">
        <v>75626.740947075217</v>
      </c>
      <c r="P250" s="70">
        <f t="shared" si="19"/>
        <v>537520.89136490249</v>
      </c>
      <c r="R250" s="24">
        <v>78</v>
      </c>
      <c r="S250" s="29">
        <f t="shared" si="18"/>
        <v>936</v>
      </c>
      <c r="T250" s="69">
        <v>475000</v>
      </c>
      <c r="U250" s="69">
        <v>96800</v>
      </c>
      <c r="V250" s="70">
        <f t="shared" si="20"/>
        <v>378200</v>
      </c>
    </row>
    <row r="251" spans="2:22" x14ac:dyDescent="0.2">
      <c r="B251" s="24">
        <f t="shared" si="21"/>
        <v>0.79000000000000048</v>
      </c>
      <c r="C251" s="54">
        <f t="shared" si="14"/>
        <v>0.2729236961320376</v>
      </c>
      <c r="D251" s="54">
        <f t="shared" si="15"/>
        <v>5.0251981734421389E-3</v>
      </c>
      <c r="E251" s="49" cm="1">
        <f t="array" ref="E251">IF($B251=0,0,IF($B251=1,0,_xlfn.BETA.DIST($B251,alpha_experiment_posterior,beta_experiment_posterior,FALSE)))</f>
        <v>1.5867369257240281E-3</v>
      </c>
      <c r="G251" s="24">
        <f t="shared" si="22"/>
        <v>0.79000000000000048</v>
      </c>
      <c r="H251" s="54">
        <f t="shared" si="16"/>
        <v>8.1167320233208905E-10</v>
      </c>
      <c r="I251" s="54" cm="1">
        <f t="array" ref="I251">J251*maxPriorValue_control/maxPosteriorValue_control</f>
        <v>7.986705547800487E-22</v>
      </c>
      <c r="J251" s="49" cm="1">
        <f t="array" ref="J251">IF($B251=0,0,IF($B251=1,0,_xlfn.BETA.DIST($B251,alpha_control_posterior,beta_control_posterior,FALSE)))</f>
        <v>1.3272192211563753E-21</v>
      </c>
      <c r="L251" s="24">
        <v>79</v>
      </c>
      <c r="M251" s="29">
        <f t="shared" si="17"/>
        <v>948</v>
      </c>
      <c r="N251" s="69">
        <v>615773.48066298349</v>
      </c>
      <c r="O251" s="69">
        <v>75828.729281767955</v>
      </c>
      <c r="P251" s="70">
        <f t="shared" si="19"/>
        <v>539944.75138121552</v>
      </c>
      <c r="R251" s="24">
        <v>79</v>
      </c>
      <c r="S251" s="29">
        <f t="shared" si="18"/>
        <v>948</v>
      </c>
      <c r="T251" s="69">
        <v>475000</v>
      </c>
      <c r="U251" s="69">
        <v>97400</v>
      </c>
      <c r="V251" s="70">
        <f t="shared" si="20"/>
        <v>377600</v>
      </c>
    </row>
    <row r="252" spans="2:22" x14ac:dyDescent="0.2">
      <c r="B252" s="24">
        <f t="shared" si="21"/>
        <v>0.80000000000000049</v>
      </c>
      <c r="C252" s="54">
        <f t="shared" si="14"/>
        <v>0.34227357168016126</v>
      </c>
      <c r="D252" s="54">
        <f t="shared" si="15"/>
        <v>2.494715872856761E-3</v>
      </c>
      <c r="E252" s="49" cm="1">
        <f t="array" ref="E252">IF($B252=0,0,IF($B252=1,0,_xlfn.BETA.DIST($B252,alpha_experiment_posterior,beta_experiment_posterior,FALSE)))</f>
        <v>7.8772172917913495E-4</v>
      </c>
      <c r="G252" s="24">
        <f t="shared" si="22"/>
        <v>0.80000000000000049</v>
      </c>
      <c r="H252" s="54">
        <f t="shared" si="16"/>
        <v>3.5861299199998618E-10</v>
      </c>
      <c r="I252" s="54" cm="1">
        <f t="array" ref="I252">J252*maxPriorValue_control/maxPosteriorValue_control</f>
        <v>1.3798053363268716E-22</v>
      </c>
      <c r="J252" s="49" cm="1">
        <f t="array" ref="J252">IF($B252=0,0,IF($B252=1,0,_xlfn.BETA.DIST($B252,alpha_control_posterior,beta_control_posterior,FALSE)))</f>
        <v>2.2929406284816601E-22</v>
      </c>
      <c r="L252" s="24">
        <v>80</v>
      </c>
      <c r="M252" s="29">
        <f t="shared" si="17"/>
        <v>960</v>
      </c>
      <c r="N252" s="69">
        <v>618356.1643835617</v>
      </c>
      <c r="O252" s="69">
        <v>76027.397260273981</v>
      </c>
      <c r="P252" s="70">
        <f t="shared" si="19"/>
        <v>542328.76712328778</v>
      </c>
      <c r="R252" s="24">
        <v>80</v>
      </c>
      <c r="S252" s="29">
        <f t="shared" si="18"/>
        <v>960</v>
      </c>
      <c r="T252" s="69">
        <v>475000</v>
      </c>
      <c r="U252" s="69">
        <v>98000</v>
      </c>
      <c r="V252" s="70">
        <f t="shared" si="20"/>
        <v>377000</v>
      </c>
    </row>
    <row r="253" spans="2:22" x14ac:dyDescent="0.2">
      <c r="B253" s="24">
        <f t="shared" si="21"/>
        <v>0.8100000000000005</v>
      </c>
      <c r="C253" s="54">
        <f t="shared" si="14"/>
        <v>0.428039591353849</v>
      </c>
      <c r="D253" s="54">
        <f t="shared" si="15"/>
        <v>1.1769036542033388E-3</v>
      </c>
      <c r="E253" s="49" cm="1">
        <f t="array" ref="E253">IF($B253=0,0,IF($B253=1,0,_xlfn.BETA.DIST($B253,alpha_experiment_posterior,beta_experiment_posterior,FALSE)))</f>
        <v>3.7161449592441279E-4</v>
      </c>
      <c r="G253" s="24">
        <f t="shared" si="22"/>
        <v>0.8100000000000005</v>
      </c>
      <c r="H253" s="54">
        <f t="shared" si="16"/>
        <v>1.5181767673434756E-10</v>
      </c>
      <c r="I253" s="54" cm="1">
        <f t="array" ref="I253">J253*maxPriorValue_control/maxPosteriorValue_control</f>
        <v>2.1756503642101269E-23</v>
      </c>
      <c r="J253" s="49" cm="1">
        <f t="array" ref="J253">IF($B253=0,0,IF($B253=1,0,_xlfn.BETA.DIST($B253,alpha_control_posterior,beta_control_posterior,FALSE)))</f>
        <v>3.6154644297494791E-23</v>
      </c>
      <c r="L253" s="24">
        <v>81</v>
      </c>
      <c r="M253" s="29">
        <f t="shared" si="17"/>
        <v>972</v>
      </c>
      <c r="N253" s="69">
        <v>620896.73913043481</v>
      </c>
      <c r="O253" s="69">
        <v>76222.826086956513</v>
      </c>
      <c r="P253" s="70">
        <f t="shared" si="19"/>
        <v>544673.91304347827</v>
      </c>
      <c r="R253" s="24">
        <v>81</v>
      </c>
      <c r="S253" s="29">
        <f t="shared" si="18"/>
        <v>972</v>
      </c>
      <c r="T253" s="69">
        <v>475000</v>
      </c>
      <c r="U253" s="69">
        <v>98600</v>
      </c>
      <c r="V253" s="70">
        <f t="shared" si="20"/>
        <v>376400</v>
      </c>
    </row>
    <row r="254" spans="2:22" x14ac:dyDescent="0.2">
      <c r="B254" s="24">
        <f t="shared" si="21"/>
        <v>0.82000000000000051</v>
      </c>
      <c r="C254" s="54">
        <f t="shared" si="14"/>
        <v>0.53382995991150617</v>
      </c>
      <c r="D254" s="54">
        <f t="shared" si="15"/>
        <v>5.2491132268589686E-4</v>
      </c>
      <c r="E254" s="49" cm="1">
        <f t="array" ref="E254">IF($B254=0,0,IF($B254=1,0,_xlfn.BETA.DIST($B254,alpha_experiment_posterior,beta_experiment_posterior,FALSE)))</f>
        <v>1.6574394674386336E-4</v>
      </c>
      <c r="G254" s="24">
        <f t="shared" si="22"/>
        <v>0.82000000000000051</v>
      </c>
      <c r="H254" s="54">
        <f t="shared" si="16"/>
        <v>6.1301703781309239E-11</v>
      </c>
      <c r="I254" s="54" cm="1">
        <f t="array" ref="I254">J254*maxPriorValue_control/maxPosteriorValue_control</f>
        <v>3.1002973454371139E-24</v>
      </c>
      <c r="J254" s="49" cm="1">
        <f t="array" ref="J254">IF($B254=0,0,IF($B254=1,0,_xlfn.BETA.DIST($B254,alpha_control_posterior,beta_control_posterior,FALSE)))</f>
        <v>5.152029461380882E-24</v>
      </c>
      <c r="L254" s="24">
        <v>82</v>
      </c>
      <c r="M254" s="29">
        <f t="shared" si="17"/>
        <v>984</v>
      </c>
      <c r="N254" s="69">
        <v>623396.22641509434</v>
      </c>
      <c r="O254" s="69">
        <v>76415.094339622636</v>
      </c>
      <c r="P254" s="70">
        <f t="shared" si="19"/>
        <v>546981.13207547169</v>
      </c>
      <c r="R254" s="24">
        <v>82</v>
      </c>
      <c r="S254" s="29">
        <f t="shared" si="18"/>
        <v>984</v>
      </c>
      <c r="T254" s="69">
        <v>475000</v>
      </c>
      <c r="U254" s="69">
        <v>99200</v>
      </c>
      <c r="V254" s="70">
        <f t="shared" si="20"/>
        <v>375800</v>
      </c>
    </row>
    <row r="255" spans="2:22" x14ac:dyDescent="0.2">
      <c r="B255" s="24">
        <f t="shared" si="21"/>
        <v>0.83000000000000052</v>
      </c>
      <c r="C255" s="54">
        <f t="shared" si="14"/>
        <v>0.66398652175037742</v>
      </c>
      <c r="D255" s="54">
        <f t="shared" si="15"/>
        <v>2.2000920171087566E-4</v>
      </c>
      <c r="E255" s="49" cm="1">
        <f t="array" ref="E255">IF($B255=0,0,IF($B255=1,0,_xlfn.BETA.DIST($B255,alpha_experiment_posterior,beta_experiment_posterior,FALSE)))</f>
        <v>6.9469245252588646E-5</v>
      </c>
      <c r="G255" s="24">
        <f t="shared" si="22"/>
        <v>0.83000000000000052</v>
      </c>
      <c r="H255" s="54">
        <f t="shared" si="16"/>
        <v>2.3482042073904373E-11</v>
      </c>
      <c r="I255" s="54" cm="1">
        <f t="array" ref="I255">J255*maxPriorValue_control/maxPosteriorValue_control</f>
        <v>3.9468233132046826E-25</v>
      </c>
      <c r="J255" s="49" cm="1">
        <f t="array" ref="J255">IF($B255=0,0,IF($B255=1,0,_xlfn.BETA.DIST($B255,alpha_control_posterior,beta_control_posterior,FALSE)))</f>
        <v>6.5587741183671833E-25</v>
      </c>
      <c r="L255" s="24">
        <v>83</v>
      </c>
      <c r="M255" s="29">
        <f t="shared" si="17"/>
        <v>996</v>
      </c>
      <c r="N255" s="69">
        <v>625855.61497326207</v>
      </c>
      <c r="O255" s="69">
        <v>76604.278074866306</v>
      </c>
      <c r="P255" s="70">
        <f t="shared" si="19"/>
        <v>549251.33689839579</v>
      </c>
      <c r="R255" s="24">
        <v>83</v>
      </c>
      <c r="S255" s="29">
        <f t="shared" si="18"/>
        <v>996</v>
      </c>
      <c r="T255" s="69">
        <v>475000</v>
      </c>
      <c r="U255" s="69">
        <v>99800</v>
      </c>
      <c r="V255" s="70">
        <f t="shared" si="20"/>
        <v>375200</v>
      </c>
    </row>
    <row r="256" spans="2:22" x14ac:dyDescent="0.2">
      <c r="B256" s="24">
        <f t="shared" si="21"/>
        <v>0.84000000000000052</v>
      </c>
      <c r="C256" s="54">
        <f t="shared" si="14"/>
        <v>0.82372216078962046</v>
      </c>
      <c r="D256" s="54">
        <f t="shared" si="15"/>
        <v>8.604143858700711E-5</v>
      </c>
      <c r="E256" s="49" cm="1">
        <f t="array" ref="E256">IF($B256=0,0,IF($B256=1,0,_xlfn.BETA.DIST($B256,alpha_experiment_posterior,beta_experiment_posterior,FALSE)))</f>
        <v>2.7168108209134369E-5</v>
      </c>
      <c r="G256" s="24">
        <f t="shared" si="22"/>
        <v>0.84000000000000052</v>
      </c>
      <c r="H256" s="54">
        <f t="shared" si="16"/>
        <v>8.4790090199919853E-12</v>
      </c>
      <c r="I256" s="54" cm="1">
        <f t="array" ref="I256">J256*maxPriorValue_control/maxPosteriorValue_control</f>
        <v>4.4278839017975835E-26</v>
      </c>
      <c r="J256" s="49" cm="1">
        <f t="array" ref="J256">IF($B256=0,0,IF($B256=1,0,_xlfn.BETA.DIST($B256,alpha_control_posterior,beta_control_posterior,FALSE)))</f>
        <v>7.3581936736519418E-26</v>
      </c>
      <c r="L256" s="24">
        <v>84</v>
      </c>
      <c r="M256" s="29">
        <f t="shared" si="17"/>
        <v>1008</v>
      </c>
      <c r="N256" s="69">
        <v>628275.86206896545</v>
      </c>
      <c r="O256" s="69">
        <v>76790.45092838195</v>
      </c>
      <c r="P256" s="70">
        <f t="shared" si="19"/>
        <v>551485.41114058346</v>
      </c>
      <c r="R256" s="24">
        <v>84</v>
      </c>
      <c r="S256" s="29">
        <f t="shared" si="18"/>
        <v>1008</v>
      </c>
      <c r="T256" s="69">
        <v>475000</v>
      </c>
      <c r="U256" s="69">
        <v>100400</v>
      </c>
      <c r="V256" s="70">
        <f t="shared" si="20"/>
        <v>374600</v>
      </c>
    </row>
    <row r="257" spans="2:22" x14ac:dyDescent="0.2">
      <c r="B257" s="24">
        <f t="shared" si="21"/>
        <v>0.85000000000000053</v>
      </c>
      <c r="C257" s="54">
        <f t="shared" si="14"/>
        <v>1.0192817863055794</v>
      </c>
      <c r="D257" s="54">
        <f t="shared" si="15"/>
        <v>3.1130163050266805E-5</v>
      </c>
      <c r="E257" s="49" cm="1">
        <f t="array" ref="E257">IF($B257=0,0,IF($B257=1,0,_xlfn.BETA.DIST($B257,alpha_experiment_posterior,beta_experiment_posterior,FALSE)))</f>
        <v>9.82953855963723E-6</v>
      </c>
      <c r="G257" s="24">
        <f t="shared" si="22"/>
        <v>0.85000000000000053</v>
      </c>
      <c r="H257" s="54">
        <f t="shared" si="16"/>
        <v>2.8641544635084303E-12</v>
      </c>
      <c r="I257" s="54" cm="1">
        <f t="array" ref="I257">J257*maxPriorValue_control/maxPosteriorValue_control</f>
        <v>4.3069924418508606E-27</v>
      </c>
      <c r="J257" s="49" cm="1">
        <f t="array" ref="J257">IF($B257=0,0,IF($B257=1,0,_xlfn.BETA.DIST($B257,alpha_control_posterior,beta_control_posterior,FALSE)))</f>
        <v>7.1572979872457557E-27</v>
      </c>
      <c r="L257" s="24">
        <v>85</v>
      </c>
      <c r="M257" s="29">
        <f t="shared" si="17"/>
        <v>1020</v>
      </c>
      <c r="N257" s="69">
        <v>630657.89473684202</v>
      </c>
      <c r="O257" s="69">
        <v>76973.684210526306</v>
      </c>
      <c r="P257" s="70">
        <f t="shared" si="19"/>
        <v>553684.21052631573</v>
      </c>
      <c r="R257" s="24">
        <v>85</v>
      </c>
      <c r="S257" s="29">
        <f t="shared" si="18"/>
        <v>1020</v>
      </c>
      <c r="T257" s="69">
        <v>475000</v>
      </c>
      <c r="U257" s="69">
        <v>101000</v>
      </c>
      <c r="V257" s="70">
        <f t="shared" si="20"/>
        <v>374000</v>
      </c>
    </row>
    <row r="258" spans="2:22" x14ac:dyDescent="0.2">
      <c r="B258" s="24">
        <f t="shared" si="21"/>
        <v>0.86000000000000054</v>
      </c>
      <c r="C258" s="54">
        <f t="shared" si="14"/>
        <v>1.258130594305545</v>
      </c>
      <c r="D258" s="54">
        <f t="shared" si="15"/>
        <v>1.0312942266190914E-5</v>
      </c>
      <c r="E258" s="49" cm="1">
        <f t="array" ref="E258">IF($B258=0,0,IF($B258=1,0,_xlfn.BETA.DIST($B258,alpha_experiment_posterior,beta_experiment_posterior,FALSE)))</f>
        <v>3.2563743243216755E-6</v>
      </c>
      <c r="G258" s="24">
        <f t="shared" si="22"/>
        <v>0.86000000000000054</v>
      </c>
      <c r="H258" s="54">
        <f t="shared" si="16"/>
        <v>8.9681149000303686E-13</v>
      </c>
      <c r="I258" s="54" cm="1">
        <f t="array" ref="I258">J258*maxPriorValue_control/maxPosteriorValue_control</f>
        <v>3.5615579862219748E-28</v>
      </c>
      <c r="J258" s="49" cm="1">
        <f t="array" ref="J258">IF($B258=0,0,IF($B258=1,0,_xlfn.BETA.DIST($B258,alpha_control_posterior,beta_control_posterior,FALSE)))</f>
        <v>5.9185457486642776E-28</v>
      </c>
      <c r="L258" s="24">
        <v>86</v>
      </c>
      <c r="M258" s="29">
        <f t="shared" si="17"/>
        <v>1032</v>
      </c>
      <c r="N258" s="69">
        <v>633002.61096605752</v>
      </c>
      <c r="O258" s="69">
        <v>77154.046997389043</v>
      </c>
      <c r="P258" s="70">
        <f t="shared" si="19"/>
        <v>555848.56396866846</v>
      </c>
      <c r="R258" s="24">
        <v>86</v>
      </c>
      <c r="S258" s="29">
        <f t="shared" si="18"/>
        <v>1032</v>
      </c>
      <c r="T258" s="69">
        <v>475000</v>
      </c>
      <c r="U258" s="69">
        <v>101600</v>
      </c>
      <c r="V258" s="70">
        <f t="shared" si="20"/>
        <v>373400</v>
      </c>
    </row>
    <row r="259" spans="2:22" x14ac:dyDescent="0.2">
      <c r="B259" s="24">
        <f t="shared" si="21"/>
        <v>0.87000000000000055</v>
      </c>
      <c r="C259" s="54">
        <f t="shared" si="14"/>
        <v>1.5491738164249911</v>
      </c>
      <c r="D259" s="54">
        <f t="shared" si="15"/>
        <v>3.0890698709183633E-6</v>
      </c>
      <c r="E259" s="49" cm="1">
        <f t="array" ref="E259">IF($B259=0,0,IF($B259=1,0,_xlfn.BETA.DIST($B259,alpha_experiment_posterior,beta_experiment_posterior,FALSE)))</f>
        <v>9.7539262356499007E-7</v>
      </c>
      <c r="G259" s="24">
        <f t="shared" si="22"/>
        <v>0.87000000000000055</v>
      </c>
      <c r="H259" s="54">
        <f t="shared" si="16"/>
        <v>2.5738447526525443E-13</v>
      </c>
      <c r="I259" s="54" cm="1">
        <f t="array" ref="I259">J259*maxPriorValue_control/maxPosteriorValue_control</f>
        <v>2.444279284110952E-29</v>
      </c>
      <c r="J259" s="49" cm="1">
        <f t="array" ref="J259">IF($B259=0,0,IF($B259=1,0,_xlfn.BETA.DIST($B259,alpha_control_posterior,beta_control_posterior,FALSE)))</f>
        <v>4.0618680985926836E-29</v>
      </c>
      <c r="L259" s="24">
        <v>87</v>
      </c>
      <c r="M259" s="29">
        <f t="shared" si="17"/>
        <v>1044</v>
      </c>
      <c r="N259" s="69">
        <v>635310.88082901551</v>
      </c>
      <c r="O259" s="69">
        <v>77331.606217616587</v>
      </c>
      <c r="P259" s="70">
        <f t="shared" si="19"/>
        <v>557979.27461139893</v>
      </c>
      <c r="R259" s="24">
        <v>87</v>
      </c>
      <c r="S259" s="29">
        <f t="shared" si="18"/>
        <v>1044</v>
      </c>
      <c r="T259" s="69">
        <v>475000</v>
      </c>
      <c r="U259" s="69">
        <v>102200</v>
      </c>
      <c r="V259" s="70">
        <f t="shared" si="20"/>
        <v>372800</v>
      </c>
    </row>
    <row r="260" spans="2:22" x14ac:dyDescent="0.2">
      <c r="B260" s="24">
        <f t="shared" si="21"/>
        <v>0.88000000000000056</v>
      </c>
      <c r="C260" s="54">
        <f t="shared" si="14"/>
        <v>1.9030127571353548</v>
      </c>
      <c r="D260" s="54">
        <f t="shared" si="15"/>
        <v>8.2358338892079059E-7</v>
      </c>
      <c r="E260" s="49" cm="1">
        <f t="array" ref="E260">IF($B260=0,0,IF($B260=1,0,_xlfn.BETA.DIST($B260,alpha_experiment_posterior,beta_experiment_posterior,FALSE)))</f>
        <v>2.6005147051114573E-7</v>
      </c>
      <c r="G260" s="24">
        <f t="shared" si="22"/>
        <v>0.88000000000000056</v>
      </c>
      <c r="H260" s="54">
        <f t="shared" si="16"/>
        <v>6.6771319868454924E-14</v>
      </c>
      <c r="I260" s="54" cm="1">
        <f t="array" ref="I260">J260*maxPriorValue_control/maxPosteriorValue_control</f>
        <v>1.3512995447223153E-30</v>
      </c>
      <c r="J260" s="49" cm="1">
        <f t="array" ref="J260">IF($B260=0,0,IF($B260=1,0,_xlfn.BETA.DIST($B260,alpha_control_posterior,beta_control_posterior,FALSE)))</f>
        <v>2.2455701146879413E-30</v>
      </c>
      <c r="L260" s="24">
        <v>88</v>
      </c>
      <c r="M260" s="29">
        <f t="shared" si="17"/>
        <v>1056</v>
      </c>
      <c r="N260" s="69">
        <v>637583.54755784071</v>
      </c>
      <c r="O260" s="69">
        <v>77506.426735218512</v>
      </c>
      <c r="P260" s="70">
        <f t="shared" si="19"/>
        <v>560077.12082262221</v>
      </c>
      <c r="R260" s="24">
        <v>88</v>
      </c>
      <c r="S260" s="29">
        <f t="shared" si="18"/>
        <v>1056</v>
      </c>
      <c r="T260" s="69">
        <v>475000</v>
      </c>
      <c r="U260" s="69">
        <v>102800</v>
      </c>
      <c r="V260" s="70">
        <f t="shared" si="20"/>
        <v>372200</v>
      </c>
    </row>
    <row r="261" spans="2:22" x14ac:dyDescent="0.2">
      <c r="B261" s="24">
        <f t="shared" si="21"/>
        <v>0.89000000000000057</v>
      </c>
      <c r="C261" s="54">
        <f t="shared" si="14"/>
        <v>2.3322425827580306</v>
      </c>
      <c r="D261" s="54">
        <f t="shared" si="15"/>
        <v>1.9161305628324925E-7</v>
      </c>
      <c r="E261" s="49" cm="1">
        <f t="array" ref="E261">IF($B261=0,0,IF($B261=1,0,_xlfn.BETA.DIST($B261,alpha_experiment_posterior,beta_experiment_posterior,FALSE)))</f>
        <v>6.0502989406924894E-8</v>
      </c>
      <c r="G261" s="24">
        <f t="shared" si="22"/>
        <v>0.89000000000000057</v>
      </c>
      <c r="H261" s="54">
        <f t="shared" si="16"/>
        <v>1.5384796653460006E-14</v>
      </c>
      <c r="I261" s="54" cm="1">
        <f t="array" ref="I261">J261*maxPriorValue_control/maxPosteriorValue_control</f>
        <v>5.7956179556716385E-32</v>
      </c>
      <c r="J261" s="49" cm="1">
        <f t="array" ref="J261">IF($B261=0,0,IF($B261=1,0,_xlfn.BETA.DIST($B261,alpha_control_posterior,beta_control_posterior,FALSE)))</f>
        <v>9.6310744188694706E-32</v>
      </c>
      <c r="L261" s="24">
        <v>89</v>
      </c>
      <c r="M261" s="29">
        <f t="shared" si="17"/>
        <v>1068</v>
      </c>
      <c r="N261" s="69">
        <v>639821.42857142852</v>
      </c>
      <c r="O261" s="69">
        <v>77678.571428571435</v>
      </c>
      <c r="P261" s="70">
        <f t="shared" si="19"/>
        <v>562142.85714285704</v>
      </c>
      <c r="R261" s="24">
        <v>89</v>
      </c>
      <c r="S261" s="29">
        <f t="shared" si="18"/>
        <v>1068</v>
      </c>
      <c r="T261" s="69">
        <v>475000</v>
      </c>
      <c r="U261" s="69">
        <v>103400</v>
      </c>
      <c r="V261" s="70">
        <f t="shared" si="20"/>
        <v>371600</v>
      </c>
    </row>
    <row r="262" spans="2:22" x14ac:dyDescent="0.2">
      <c r="B262" s="24">
        <f t="shared" si="21"/>
        <v>0.90000000000000058</v>
      </c>
      <c r="C262" s="54">
        <f t="shared" si="14"/>
        <v>2.8517980706430159</v>
      </c>
      <c r="D262" s="54">
        <f t="shared" si="15"/>
        <v>3.7923865317015682E-8</v>
      </c>
      <c r="E262" s="49" cm="1">
        <f t="array" ref="E262">IF($B262=0,0,IF($B262=1,0,_xlfn.BETA.DIST($B262,alpha_experiment_posterior,beta_experiment_posterior,FALSE)))</f>
        <v>1.1974691422661846E-8</v>
      </c>
      <c r="G262" s="24">
        <f t="shared" si="22"/>
        <v>0.90000000000000058</v>
      </c>
      <c r="H262" s="54">
        <f t="shared" si="16"/>
        <v>3.0779999999997084E-15</v>
      </c>
      <c r="I262" s="54" cm="1">
        <f t="array" ref="I262">J262*maxPriorValue_control/maxPosteriorValue_control</f>
        <v>1.8372574367660709E-33</v>
      </c>
      <c r="J262" s="49" cm="1">
        <f t="array" ref="J262">IF($B262=0,0,IF($B262=1,0,_xlfn.BETA.DIST($B262,alpha_control_posterior,beta_control_posterior,FALSE)))</f>
        <v>3.0531279382898529E-33</v>
      </c>
      <c r="L262" s="24">
        <v>90</v>
      </c>
      <c r="M262" s="29">
        <f t="shared" si="17"/>
        <v>1080</v>
      </c>
      <c r="N262" s="69">
        <v>642025.31645569613</v>
      </c>
      <c r="O262" s="69">
        <v>77848.101265822785</v>
      </c>
      <c r="P262" s="70">
        <f t="shared" si="19"/>
        <v>564177.21518987336</v>
      </c>
      <c r="R262" s="24">
        <v>90</v>
      </c>
      <c r="S262" s="29">
        <f t="shared" si="18"/>
        <v>1080</v>
      </c>
      <c r="T262" s="69">
        <v>475000</v>
      </c>
      <c r="U262" s="69">
        <v>104000.00000000001</v>
      </c>
      <c r="V262" s="70">
        <f t="shared" si="20"/>
        <v>371000</v>
      </c>
    </row>
    <row r="263" spans="2:22" x14ac:dyDescent="0.2">
      <c r="B263" s="24">
        <f t="shared" si="21"/>
        <v>0.91000000000000059</v>
      </c>
      <c r="C263" s="54">
        <f t="shared" si="14"/>
        <v>3.4793543629433321</v>
      </c>
      <c r="D263" s="54">
        <f t="shared" si="15"/>
        <v>6.1743006765223902E-9</v>
      </c>
      <c r="E263" s="49" cm="1">
        <f t="array" ref="E263">IF($B263=0,0,IF($B263=1,0,_xlfn.BETA.DIST($B263,alpha_experiment_posterior,beta_experiment_posterior,FALSE)))</f>
        <v>1.9495730388778325E-9</v>
      </c>
      <c r="G263" s="24">
        <f t="shared" si="22"/>
        <v>0.91000000000000059</v>
      </c>
      <c r="H263" s="54">
        <f t="shared" si="16"/>
        <v>5.1902724885696577E-16</v>
      </c>
      <c r="I263" s="54" cm="1">
        <f t="array" ref="I263">J263*maxPriorValue_control/maxPosteriorValue_control</f>
        <v>4.0390159684178867E-35</v>
      </c>
      <c r="J263" s="49" cm="1">
        <f t="array" ref="J263">IF($B263=0,0,IF($B263=1,0,_xlfn.BETA.DIST($B263,alpha_control_posterior,beta_control_posterior,FALSE)))</f>
        <v>6.711978544542761E-35</v>
      </c>
      <c r="L263" s="24">
        <v>91</v>
      </c>
      <c r="M263" s="29">
        <f t="shared" si="17"/>
        <v>1092</v>
      </c>
      <c r="N263" s="69">
        <v>644195.97989949747</v>
      </c>
      <c r="O263" s="69">
        <v>78015.075376884415</v>
      </c>
      <c r="P263" s="70">
        <f t="shared" si="19"/>
        <v>566180.90452261304</v>
      </c>
      <c r="R263" s="24">
        <v>91</v>
      </c>
      <c r="S263" s="29">
        <f t="shared" si="18"/>
        <v>1092</v>
      </c>
      <c r="T263" s="69">
        <v>475000</v>
      </c>
      <c r="U263" s="69">
        <v>104600</v>
      </c>
      <c r="V263" s="70">
        <f t="shared" si="20"/>
        <v>370400</v>
      </c>
    </row>
    <row r="264" spans="2:22" x14ac:dyDescent="0.2">
      <c r="B264" s="24">
        <f t="shared" si="21"/>
        <v>0.9200000000000006</v>
      </c>
      <c r="C264" s="54">
        <f t="shared" si="14"/>
        <v>4.235790706631823</v>
      </c>
      <c r="D264" s="54">
        <f t="shared" si="15"/>
        <v>7.9011866711609914E-10</v>
      </c>
      <c r="E264" s="49" cm="1">
        <f t="array" ref="E264">IF($B264=0,0,IF($B264=1,0,_xlfn.BETA.DIST($B264,alpha_experiment_posterior,beta_experiment_posterior,FALSE)))</f>
        <v>2.494847808077994E-10</v>
      </c>
      <c r="G264" s="24">
        <f t="shared" si="22"/>
        <v>0.9200000000000006</v>
      </c>
      <c r="H264" s="54">
        <f t="shared" si="16"/>
        <v>7.0850629337783298E-17</v>
      </c>
      <c r="I264" s="54" cm="1">
        <f t="array" ref="I264">J264*maxPriorValue_control/maxPosteriorValue_control</f>
        <v>5.6483038191010082E-37</v>
      </c>
      <c r="J264" s="49" cm="1">
        <f t="array" ref="J264">IF($B264=0,0,IF($B264=1,0,_xlfn.BETA.DIST($B264,alpha_control_posterior,beta_control_posterior,FALSE)))</f>
        <v>9.3862699091321104E-37</v>
      </c>
      <c r="L264" s="24">
        <v>92</v>
      </c>
      <c r="M264" s="29">
        <f t="shared" si="17"/>
        <v>1104</v>
      </c>
      <c r="N264" s="69">
        <v>646334.16458852869</v>
      </c>
      <c r="O264" s="69">
        <v>78179.55112219452</v>
      </c>
      <c r="P264" s="70">
        <f t="shared" si="19"/>
        <v>568154.61346633418</v>
      </c>
      <c r="R264" s="24">
        <v>92</v>
      </c>
      <c r="S264" s="29">
        <f t="shared" si="18"/>
        <v>1104</v>
      </c>
      <c r="T264" s="69">
        <v>475000</v>
      </c>
      <c r="U264" s="69">
        <v>105200</v>
      </c>
      <c r="V264" s="70">
        <f t="shared" si="20"/>
        <v>369800</v>
      </c>
    </row>
    <row r="265" spans="2:22" x14ac:dyDescent="0.2">
      <c r="B265" s="24">
        <f t="shared" si="21"/>
        <v>0.9300000000000006</v>
      </c>
      <c r="C265" s="54">
        <f t="shared" si="14"/>
        <v>5.1457262106478137</v>
      </c>
      <c r="D265" s="54">
        <f t="shared" si="15"/>
        <v>7.456160005321119E-11</v>
      </c>
      <c r="E265" s="49" cm="1">
        <f t="array" ref="E265">IF($B265=0,0,IF($B265=1,0,_xlfn.BETA.DIST($B265,alpha_experiment_posterior,beta_experiment_posterior,FALSE)))</f>
        <v>2.3543279282149704E-11</v>
      </c>
      <c r="G265" s="24">
        <f t="shared" si="22"/>
        <v>0.9300000000000006</v>
      </c>
      <c r="H265" s="54">
        <f t="shared" si="16"/>
        <v>7.3990461278760641E-18</v>
      </c>
      <c r="I265" s="54" cm="1">
        <f t="array" ref="I265">J265*maxPriorValue_control/maxPosteriorValue_control</f>
        <v>4.4516742051534185E-39</v>
      </c>
      <c r="J265" s="49" cm="1">
        <f t="array" ref="J265">IF($B265=0,0,IF($B265=1,0,_xlfn.BETA.DIST($B265,alpha_control_posterior,beta_control_posterior,FALSE)))</f>
        <v>7.3977280570119256E-39</v>
      </c>
      <c r="L265" s="24">
        <v>93</v>
      </c>
      <c r="M265" s="29">
        <f t="shared" si="17"/>
        <v>1116</v>
      </c>
      <c r="N265" s="69">
        <v>648440.59405940596</v>
      </c>
      <c r="O265" s="69">
        <v>78341.584158415848</v>
      </c>
      <c r="P265" s="70">
        <f t="shared" si="19"/>
        <v>570099.00990099018</v>
      </c>
      <c r="R265" s="24">
        <v>93</v>
      </c>
      <c r="S265" s="29">
        <f t="shared" si="18"/>
        <v>1116</v>
      </c>
      <c r="T265" s="69">
        <v>475000</v>
      </c>
      <c r="U265" s="69">
        <v>105800</v>
      </c>
      <c r="V265" s="70">
        <f t="shared" si="20"/>
        <v>369200</v>
      </c>
    </row>
    <row r="266" spans="2:22" x14ac:dyDescent="0.2">
      <c r="B266" s="24">
        <f t="shared" si="21"/>
        <v>0.94000000000000061</v>
      </c>
      <c r="C266" s="54">
        <f t="shared" si="14"/>
        <v>6.2381378242392911</v>
      </c>
      <c r="D266" s="54">
        <f t="shared" si="15"/>
        <v>4.7256447789997147E-12</v>
      </c>
      <c r="E266" s="49" cm="1">
        <f t="array" ref="E266">IF($B266=0,0,IF($B266=1,0,_xlfn.BETA.DIST($B266,alpha_experiment_posterior,beta_experiment_posterior,FALSE)))</f>
        <v>1.4921511172081041E-12</v>
      </c>
      <c r="G266" s="24">
        <f t="shared" si="22"/>
        <v>0.94000000000000061</v>
      </c>
      <c r="H266" s="54">
        <f t="shared" si="16"/>
        <v>5.4415824782927726E-19</v>
      </c>
      <c r="I266" s="54" cm="1">
        <f t="array" ref="I266">J266*maxPriorValue_control/maxPosteriorValue_control</f>
        <v>1.6561210550430735E-41</v>
      </c>
      <c r="J266" s="49" cm="1">
        <f t="array" ref="J266">IF($B266=0,0,IF($B266=1,0,_xlfn.BETA.DIST($B266,alpha_control_posterior,beta_control_posterior,FALSE)))</f>
        <v>2.7521181088493676E-41</v>
      </c>
      <c r="L266" s="24">
        <v>94</v>
      </c>
      <c r="M266" s="29">
        <f t="shared" si="17"/>
        <v>1128</v>
      </c>
      <c r="N266" s="69">
        <v>650515.97051597049</v>
      </c>
      <c r="O266" s="69">
        <v>78501.228501228485</v>
      </c>
      <c r="P266" s="70">
        <f t="shared" si="19"/>
        <v>572014.74201474199</v>
      </c>
      <c r="R266" s="24">
        <v>94</v>
      </c>
      <c r="S266" s="29">
        <f t="shared" si="18"/>
        <v>1128</v>
      </c>
      <c r="T266" s="69">
        <v>475000</v>
      </c>
      <c r="U266" s="69">
        <v>106400.00000000001</v>
      </c>
      <c r="V266" s="70">
        <f t="shared" si="20"/>
        <v>368600</v>
      </c>
    </row>
    <row r="267" spans="2:22" x14ac:dyDescent="0.2">
      <c r="B267" s="24">
        <f t="shared" si="21"/>
        <v>0.95000000000000062</v>
      </c>
      <c r="C267" s="54">
        <f t="shared" si="14"/>
        <v>7.5470720507062401</v>
      </c>
      <c r="D267" s="54">
        <f t="shared" si="15"/>
        <v>1.7401283428481755E-13</v>
      </c>
      <c r="E267" s="49" cm="1">
        <f t="array" ref="E267">IF($B267=0,0,IF($B267=1,0,_xlfn.BETA.DIST($B267,alpha_experiment_posterior,beta_experiment_posterior,FALSE)))</f>
        <v>5.4945612129060714E-14</v>
      </c>
      <c r="G267" s="24">
        <f t="shared" si="22"/>
        <v>0.95000000000000062</v>
      </c>
      <c r="H267" s="54">
        <f t="shared" si="16"/>
        <v>2.4787902832026111E-20</v>
      </c>
      <c r="I267" s="54" cm="1">
        <f t="array" ref="I267">J267*maxPriorValue_control/maxPosteriorValue_control</f>
        <v>2.2092655738484156E-44</v>
      </c>
      <c r="J267" s="49" cm="1">
        <f t="array" ref="J267">IF($B267=0,0,IF($B267=1,0,_xlfn.BETA.DIST($B267,alpha_control_posterior,beta_control_posterior,FALSE)))</f>
        <v>3.671325700818155E-44</v>
      </c>
      <c r="L267" s="24">
        <v>95</v>
      </c>
      <c r="M267" s="29">
        <f t="shared" si="17"/>
        <v>1140</v>
      </c>
      <c r="N267" s="69">
        <v>652560.97560975607</v>
      </c>
      <c r="O267" s="69">
        <v>78658.536585365859</v>
      </c>
      <c r="P267" s="70">
        <f t="shared" si="19"/>
        <v>573902.43902439019</v>
      </c>
      <c r="R267" s="24">
        <v>95</v>
      </c>
      <c r="S267" s="29">
        <f t="shared" si="18"/>
        <v>1140</v>
      </c>
      <c r="T267" s="69">
        <v>475000</v>
      </c>
      <c r="U267" s="69">
        <v>106999.99999999999</v>
      </c>
      <c r="V267" s="70">
        <f t="shared" si="20"/>
        <v>368000</v>
      </c>
    </row>
    <row r="268" spans="2:22" x14ac:dyDescent="0.2">
      <c r="B268" s="24">
        <f t="shared" si="21"/>
        <v>0.96000000000000063</v>
      </c>
      <c r="C268" s="54">
        <f t="shared" si="14"/>
        <v>9.1124633720799082</v>
      </c>
      <c r="D268" s="54">
        <f t="shared" ref="D268:D272" si="23">E268*maxPriorValue_experiment/maxPosteriorValue_experiment</f>
        <v>2.9201451064178781E-15</v>
      </c>
      <c r="E268" s="49" cm="1">
        <f t="array" ref="E268">IF($B268=0,0,IF($B268=1,0,_xlfn.BETA.DIST($B268,alpha_experiment_posterior,beta_experiment_posterior,FALSE)))</f>
        <v>9.2205360045566756E-16</v>
      </c>
      <c r="G268" s="24">
        <f t="shared" si="22"/>
        <v>0.96000000000000063</v>
      </c>
      <c r="H268" s="54">
        <f t="shared" ref="H268:H272" si="24">IF(G268=0,0,IF(G268=1,0,_xlfn.BETA.DIST(G268,alpha_control_prior,beta_control_prior,FALSE)))</f>
        <v>5.6404946504893344E-22</v>
      </c>
      <c r="I268" s="54" cm="1">
        <f t="array" ref="I268">J268*maxPriorValue_control/maxPosteriorValue_control</f>
        <v>6.6680624115162812E-48</v>
      </c>
      <c r="J268" s="49" cm="1">
        <f t="array" ref="J268">IF($B268=0,0,IF($B268=1,0,_xlfn.BETA.DIST($B268,alpha_control_posterior,beta_control_posterior,FALSE)))</f>
        <v>1.1080890045923875E-47</v>
      </c>
      <c r="L268" s="24">
        <v>96</v>
      </c>
      <c r="M268" s="29">
        <f t="shared" ref="M268:M272" si="25">IF(L268=0,1,L268*(maxPosteriorScalePower/100))</f>
        <v>1152</v>
      </c>
      <c r="N268" s="69">
        <v>654576.2711864406</v>
      </c>
      <c r="O268" s="69">
        <v>78813.559322033892</v>
      </c>
      <c r="P268" s="70">
        <f t="shared" si="19"/>
        <v>575762.71186440671</v>
      </c>
      <c r="R268" s="24">
        <v>96</v>
      </c>
      <c r="S268" s="29">
        <f t="shared" ref="S268:S272" si="26">IF(R268=0,1,R268*(maxHeadsInControl/100))</f>
        <v>1152</v>
      </c>
      <c r="T268" s="69">
        <v>475000</v>
      </c>
      <c r="U268" s="69">
        <v>107600</v>
      </c>
      <c r="V268" s="70">
        <f t="shared" si="20"/>
        <v>367400</v>
      </c>
    </row>
    <row r="269" spans="2:22" x14ac:dyDescent="0.2">
      <c r="B269" s="24">
        <f t="shared" si="21"/>
        <v>0.97000000000000064</v>
      </c>
      <c r="C269" s="54">
        <f t="shared" si="14"/>
        <v>10.981073988317906</v>
      </c>
      <c r="D269" s="54">
        <f t="shared" si="23"/>
        <v>1.4164136810037825E-17</v>
      </c>
      <c r="E269" s="49" cm="1">
        <f t="array" ref="E269">IF($B269=0,0,IF($B269=1,0,_xlfn.BETA.DIST($B269,alpha_experiment_posterior,beta_experiment_posterior,FALSE)))</f>
        <v>4.4724124545518754E-18</v>
      </c>
      <c r="G269" s="24">
        <f t="shared" si="22"/>
        <v>0.97000000000000064</v>
      </c>
      <c r="H269" s="54">
        <f t="shared" si="24"/>
        <v>4.2840957673604145E-24</v>
      </c>
      <c r="I269" s="54" cm="1">
        <f t="array" ref="I269">J269*maxPriorValue_control/maxPosteriorValue_control</f>
        <v>1.9205713476782623E-52</v>
      </c>
      <c r="J269" s="49" cm="1">
        <f t="array" ref="J269">IF($B269=0,0,IF($B269=1,0,_xlfn.BETA.DIST($B269,alpha_control_posterior,beta_control_posterior,FALSE)))</f>
        <v>3.1915777951057492E-52</v>
      </c>
      <c r="L269" s="24">
        <v>97</v>
      </c>
      <c r="M269" s="29">
        <f t="shared" si="25"/>
        <v>1164</v>
      </c>
      <c r="N269" s="69">
        <v>656562.5</v>
      </c>
      <c r="O269" s="69">
        <v>78966.346153846171</v>
      </c>
      <c r="P269" s="70">
        <f t="shared" si="19"/>
        <v>577596.15384615387</v>
      </c>
      <c r="R269" s="24">
        <v>97</v>
      </c>
      <c r="S269" s="29">
        <f t="shared" si="26"/>
        <v>1164</v>
      </c>
      <c r="T269" s="69">
        <v>475000</v>
      </c>
      <c r="U269" s="69">
        <v>108199.99999999999</v>
      </c>
      <c r="V269" s="70">
        <f t="shared" si="20"/>
        <v>366800</v>
      </c>
    </row>
    <row r="270" spans="2:22" x14ac:dyDescent="0.2">
      <c r="B270" s="24">
        <f>B269+0.01</f>
        <v>0.98000000000000065</v>
      </c>
      <c r="C270" s="54">
        <f t="shared" si="14"/>
        <v>13.207571286283782</v>
      </c>
      <c r="D270" s="54">
        <f t="shared" si="23"/>
        <v>7.1446269569051658E-21</v>
      </c>
      <c r="E270" s="49" cm="1">
        <f t="array" ref="E270">IF($B270=0,0,IF($B270=1,0,_xlfn.BETA.DIST($B270,alpha_experiment_posterior,beta_experiment_posterior,FALSE)))</f>
        <v>2.2559594710031894E-21</v>
      </c>
      <c r="G270" s="24">
        <f>G269+0.01</f>
        <v>0.98000000000000065</v>
      </c>
      <c r="H270" s="54">
        <f t="shared" si="24"/>
        <v>4.3930091519975902E-27</v>
      </c>
      <c r="I270" s="54" cm="1">
        <f t="array" ref="I270">J270*maxPriorValue_control/maxPosteriorValue_control</f>
        <v>7.6003844746044393E-59</v>
      </c>
      <c r="J270" s="49" cm="1">
        <f t="array" ref="J270">IF($B270=0,0,IF($B270=1,0,_xlfn.BETA.DIST($B270,alpha_control_posterior,beta_control_posterior,FALSE)))</f>
        <v>1.2630209418014091E-58</v>
      </c>
      <c r="L270" s="24">
        <v>98</v>
      </c>
      <c r="M270" s="29">
        <f t="shared" si="25"/>
        <v>1176</v>
      </c>
      <c r="N270" s="69">
        <v>658520.28639618144</v>
      </c>
      <c r="O270" s="69">
        <v>79116.945107398569</v>
      </c>
      <c r="P270" s="70">
        <f t="shared" si="19"/>
        <v>579403.34128878289</v>
      </c>
      <c r="R270" s="24">
        <v>98</v>
      </c>
      <c r="S270" s="29">
        <f t="shared" si="26"/>
        <v>1176</v>
      </c>
      <c r="T270" s="69">
        <v>475000</v>
      </c>
      <c r="U270" s="69">
        <v>108800.00000000001</v>
      </c>
      <c r="V270" s="70">
        <f t="shared" si="20"/>
        <v>366200</v>
      </c>
    </row>
    <row r="271" spans="2:22" x14ac:dyDescent="0.2">
      <c r="B271" s="24">
        <f t="shared" ref="B271" si="27">B270+0.01</f>
        <v>0.99000000000000066</v>
      </c>
      <c r="C271" s="54">
        <f t="shared" si="14"/>
        <v>15.855761467551851</v>
      </c>
      <c r="D271" s="54">
        <f t="shared" si="23"/>
        <v>1.4358037276727099E-26</v>
      </c>
      <c r="E271" s="49" cm="1">
        <f t="array" ref="E271">IF($B271=0,0,IF($B271=1,0,_xlfn.BETA.DIST($B271,alpha_experiment_posterior,beta_experiment_posterior,FALSE)))</f>
        <v>4.5336377077243782E-27</v>
      </c>
      <c r="G271" s="24">
        <f t="shared" ref="G271" si="28">G270+0.01</f>
        <v>0.99000000000000066</v>
      </c>
      <c r="H271" s="54">
        <f t="shared" si="24"/>
        <v>3.3857999999962023E-32</v>
      </c>
      <c r="I271" s="54" cm="1">
        <f t="array" ref="I271">J271*maxPriorValue_control/maxPosteriorValue_control</f>
        <v>8.5191901173174606E-70</v>
      </c>
      <c r="J271" s="49" cm="1">
        <f t="array" ref="J271">IF($B271=0,0,IF($B271=1,0,_xlfn.BETA.DIST($B271,alpha_control_posterior,beta_control_posterior,FALSE)))</f>
        <v>1.4157067397461566E-69</v>
      </c>
      <c r="L271" s="24">
        <v>99</v>
      </c>
      <c r="M271" s="29">
        <f t="shared" si="25"/>
        <v>1188</v>
      </c>
      <c r="N271" s="69">
        <v>660450.23696682474</v>
      </c>
      <c r="O271" s="69">
        <v>79265.402843601914</v>
      </c>
      <c r="P271" s="70">
        <f t="shared" si="19"/>
        <v>581184.83412322286</v>
      </c>
      <c r="R271" s="24">
        <v>99</v>
      </c>
      <c r="S271" s="29">
        <f t="shared" si="26"/>
        <v>1188</v>
      </c>
      <c r="T271" s="69">
        <v>475000</v>
      </c>
      <c r="U271" s="69">
        <v>109399.99999999999</v>
      </c>
      <c r="V271" s="70">
        <f t="shared" si="20"/>
        <v>365600</v>
      </c>
    </row>
    <row r="272" spans="2:22" ht="17" thickBot="1" x14ac:dyDescent="0.25">
      <c r="B272" s="26">
        <v>1</v>
      </c>
      <c r="C272" s="55">
        <f t="shared" si="14"/>
        <v>0</v>
      </c>
      <c r="D272" s="55">
        <f t="shared" si="23"/>
        <v>0</v>
      </c>
      <c r="E272" s="50" cm="1">
        <f t="array" ref="E272">IF($B272=0,0,IF($B272=1,0,_xlfn.BETA.DIST($B272,alpha_experiment_posterior,beta_experiment_posterior,FALSE)))</f>
        <v>0</v>
      </c>
      <c r="G272" s="26">
        <v>1</v>
      </c>
      <c r="H272" s="55">
        <f t="shared" si="24"/>
        <v>0</v>
      </c>
      <c r="I272" s="55" cm="1">
        <f t="array" ref="I272">J272*maxPriorValue_control/maxPosteriorValue_control</f>
        <v>0</v>
      </c>
      <c r="J272" s="50" cm="1">
        <f t="array" ref="J272">IF($B272=0,0,IF($B272=1,0,_xlfn.BETA.DIST($B272,alpha_control_posterior,beta_control_posterior,FALSE)))</f>
        <v>0</v>
      </c>
      <c r="L272" s="26">
        <v>100</v>
      </c>
      <c r="M272" s="30">
        <f t="shared" si="25"/>
        <v>1200</v>
      </c>
      <c r="N272" s="71">
        <v>662352.94117647049</v>
      </c>
      <c r="O272" s="71">
        <v>79411.76470588235</v>
      </c>
      <c r="P272" s="72">
        <f t="shared" si="19"/>
        <v>582941.17647058819</v>
      </c>
      <c r="R272" s="26">
        <v>100</v>
      </c>
      <c r="S272" s="30">
        <f t="shared" si="26"/>
        <v>1200</v>
      </c>
      <c r="T272" s="71">
        <v>475000</v>
      </c>
      <c r="U272" s="71">
        <v>110000.00000000001</v>
      </c>
      <c r="V272" s="72">
        <f t="shared" si="20"/>
        <v>365000</v>
      </c>
    </row>
    <row r="274" spans="2:10" x14ac:dyDescent="0.2">
      <c r="B274" s="1" t="s">
        <v>54</v>
      </c>
      <c r="C274" s="11">
        <f>MAX(C172:C272)</f>
        <v>15.855761467551851</v>
      </c>
      <c r="E274" s="11">
        <f>MAX(E172:E272)</f>
        <v>5.0065532418204066</v>
      </c>
      <c r="G274" s="1" t="s">
        <v>54</v>
      </c>
      <c r="H274" s="11">
        <f>MAX(H172:H272)</f>
        <v>7.1672221810408043</v>
      </c>
      <c r="J274" s="11">
        <f>MAX(J172:J272)</f>
        <v>11.910386559318415</v>
      </c>
    </row>
    <row r="278" spans="2:10" x14ac:dyDescent="0.2">
      <c r="B278" s="52" t="s">
        <v>70</v>
      </c>
    </row>
    <row r="279" spans="2:10" x14ac:dyDescent="0.2">
      <c r="B279" s="1" t="str">
        <f>metricOfInterest</f>
        <v>Long-run fraction of clicks</v>
      </c>
    </row>
    <row r="281" spans="2:10" x14ac:dyDescent="0.2">
      <c r="B281" s="52" t="s">
        <v>79</v>
      </c>
    </row>
    <row r="282" spans="2:10" x14ac:dyDescent="0.2">
      <c r="B282" s="1" t="str">
        <f>CONCATENATE("Sensitivity to ",headEquivalent," in Control")</f>
        <v>Sensitivity to button-click on home page in Control</v>
      </c>
    </row>
    <row r="284" spans="2:10" x14ac:dyDescent="0.2">
      <c r="B284" s="52" t="s">
        <v>80</v>
      </c>
    </row>
    <row r="285" spans="2:10" x14ac:dyDescent="0.2">
      <c r="B285" s="1" t="str">
        <f>CONCATENATE("number of ",headEquivalent," in Control")</f>
        <v>number of button-click on home page in Control</v>
      </c>
    </row>
    <row r="287" spans="2:10" x14ac:dyDescent="0.2">
      <c r="B287" s="52" t="s">
        <v>65</v>
      </c>
      <c r="C287" s="1">
        <f>posteriorScalePower</f>
        <v>500</v>
      </c>
      <c r="D287" s="1">
        <v>0</v>
      </c>
    </row>
    <row r="288" spans="2:10" x14ac:dyDescent="0.2">
      <c r="C288" s="1">
        <f>C287</f>
        <v>500</v>
      </c>
      <c r="D288" s="86">
        <f>MAX(N172:O272)</f>
        <v>662352.94117647049</v>
      </c>
    </row>
    <row r="290" spans="2:4" x14ac:dyDescent="0.2">
      <c r="B290" s="52" t="s">
        <v>81</v>
      </c>
      <c r="C290" s="1">
        <f>numHeads_control</f>
        <v>300</v>
      </c>
      <c r="D290" s="1">
        <v>0</v>
      </c>
    </row>
    <row r="291" spans="2:4" x14ac:dyDescent="0.2">
      <c r="C291" s="1">
        <f>C290</f>
        <v>300</v>
      </c>
      <c r="D291" s="86">
        <f>MAX(T172:U272)</f>
        <v>475000</v>
      </c>
    </row>
  </sheetData>
  <mergeCells count="9">
    <mergeCell ref="E17:K17"/>
    <mergeCell ref="E19:H19"/>
    <mergeCell ref="E21:H21"/>
    <mergeCell ref="E7:H7"/>
    <mergeCell ref="E5:H5"/>
    <mergeCell ref="E9:H9"/>
    <mergeCell ref="E11:H11"/>
    <mergeCell ref="E13:H13"/>
    <mergeCell ref="E15:K15"/>
  </mergeCells>
  <dataValidations disablePrompts="1" count="1">
    <dataValidation type="list" allowBlank="1" showInputMessage="1" showErrorMessage="1" sqref="B33 I33" xr:uid="{978A0FB0-DF35-2047-A2C7-C56BD37859A3}">
      <formula1>$B$162:$B$164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Sheet1</vt:lpstr>
      <vt:lpstr>Sheet2</vt:lpstr>
      <vt:lpstr>alpha_control_original_prior</vt:lpstr>
      <vt:lpstr>alpha_control_posterior</vt:lpstr>
      <vt:lpstr>alpha_control_prior</vt:lpstr>
      <vt:lpstr>alpha_experiment_original_prior</vt:lpstr>
      <vt:lpstr>alpha_experiment_posterior</vt:lpstr>
      <vt:lpstr>alpha_experiment_prior</vt:lpstr>
      <vt:lpstr>beta_control_original_prior</vt:lpstr>
      <vt:lpstr>beta_control_posterior</vt:lpstr>
      <vt:lpstr>beta_control_prior</vt:lpstr>
      <vt:lpstr>beta_experiment_original_prior</vt:lpstr>
      <vt:lpstr>beta_experiment_posterior</vt:lpstr>
      <vt:lpstr>beta_experiment_prior</vt:lpstr>
      <vt:lpstr>choiceTable</vt:lpstr>
      <vt:lpstr>costOfLaunchingFeature</vt:lpstr>
      <vt:lpstr>headEquivalent</vt:lpstr>
      <vt:lpstr>maxHeadsInControl</vt:lpstr>
      <vt:lpstr>maxPosteriorScalePower</vt:lpstr>
      <vt:lpstr>maxPosteriorValue_control</vt:lpstr>
      <vt:lpstr>maxPosteriorValue_experiment</vt:lpstr>
      <vt:lpstr>maxPriorValue_control</vt:lpstr>
      <vt:lpstr>maxPriorValue_experiment</vt:lpstr>
      <vt:lpstr>mean_posterior_control</vt:lpstr>
      <vt:lpstr>mean_posterior_experiment</vt:lpstr>
      <vt:lpstr>mean_prior_control</vt:lpstr>
      <vt:lpstr>mean_prior_experiment</vt:lpstr>
      <vt:lpstr>metricOfInterest</vt:lpstr>
      <vt:lpstr>numHeads_control</vt:lpstr>
      <vt:lpstr>numHeads_experiment</vt:lpstr>
      <vt:lpstr>numTosses_control</vt:lpstr>
      <vt:lpstr>numTosses_experiment</vt:lpstr>
      <vt:lpstr>numUsersAtLaunch</vt:lpstr>
      <vt:lpstr>posteriorScalePower</vt:lpstr>
      <vt:lpstr>priorScalePower_control</vt:lpstr>
      <vt:lpstr>priorScalePower_experiment</vt:lpstr>
      <vt:lpstr>priorType_control</vt:lpstr>
      <vt:lpstr>priorType_experiment</vt:lpstr>
      <vt:lpstr>tossEquivalent</vt:lpstr>
      <vt:lpstr>unitOfDiversion</vt:lpstr>
      <vt:lpstr>valueOfHead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2020-07-18T23:18:43Z</dcterms:created>
  <dcterms:modified xsi:type="dcterms:W3CDTF">2020-07-19T07:32:31Z</dcterms:modified>
</cp:coreProperties>
</file>