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dhanshu.aggarwal\Desktop\Personal Docs\"/>
    </mc:Choice>
  </mc:AlternateContent>
  <xr:revisionPtr revIDLastSave="0" documentId="13_ncr:1_{B3A98EBB-F2A4-4B6E-BB11-1B101BCDFF1A}" xr6:coauthVersionLast="45" xr6:coauthVersionMax="45" xr10:uidLastSave="{00000000-0000-0000-0000-000000000000}"/>
  <bookViews>
    <workbookView xWindow="-110" yWindow="-110" windowWidth="19420" windowHeight="11020" firstSheet="1" activeTab="4" xr2:uid="{00000000-000D-0000-FFFF-FFFF00000000}"/>
  </bookViews>
  <sheets>
    <sheet name="Final Report" sheetId="8" r:id="rId1"/>
    <sheet name="Date" sheetId="17" r:id="rId2"/>
    <sheet name="Budget" sheetId="14" r:id="rId3"/>
    <sheet name="SBI Prime Card" sheetId="18" r:id="rId4"/>
    <sheet name="SBI Simply Save" sheetId="11" r:id="rId5"/>
    <sheet name="CiTi PayTM Card" sheetId="19" r:id="rId6"/>
    <sheet name="ICICI Amazon Pay Card" sheetId="2" r:id="rId7"/>
    <sheet name="HSBC Platinum Card" sheetId="16" r:id="rId8"/>
    <sheet name="CiTi Rewards Card" sheetId="4" r:id="rId9"/>
    <sheet name="CiTi IOC Card" sheetId="12" r:id="rId10"/>
    <sheet name="AmEx Card" sheetId="1" r:id="rId11"/>
    <sheet name="AmEx Charge Card" sheetId="9" r:id="rId12"/>
    <sheet name="AmEx Membership Card" sheetId="15" r:id="rId13"/>
    <sheet name="ICICI Coral Card" sheetId="3" r:id="rId14"/>
    <sheet name="ICICI MMT Card" sheetId="10" r:id="rId15"/>
    <sheet name="IndusInd Aura" sheetId="5" r:id="rId16"/>
    <sheet name="CC Check Up" sheetId="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8" l="1"/>
  <c r="H14" i="18"/>
  <c r="F12" i="18"/>
  <c r="F11" i="18"/>
  <c r="F10" i="18"/>
  <c r="F9" i="18"/>
  <c r="F4" i="18"/>
  <c r="H23" i="11" l="1"/>
  <c r="H12" i="18"/>
  <c r="H33" i="4"/>
  <c r="H32" i="4"/>
  <c r="C10" i="4"/>
  <c r="H24" i="12"/>
  <c r="H23" i="12"/>
  <c r="H20" i="15"/>
  <c r="H30" i="1"/>
  <c r="H25" i="9"/>
  <c r="B20" i="8" l="1"/>
  <c r="H19" i="15" l="1"/>
  <c r="H18" i="15"/>
  <c r="H29" i="1"/>
  <c r="H24" i="9"/>
  <c r="H23" i="9"/>
  <c r="H28" i="1"/>
  <c r="G28" i="1"/>
  <c r="C11" i="1"/>
  <c r="H34" i="2"/>
  <c r="H33" i="2"/>
  <c r="H32" i="2"/>
  <c r="H31" i="2"/>
  <c r="C9" i="11"/>
  <c r="H20" i="11"/>
  <c r="H21" i="11"/>
  <c r="H22" i="11"/>
  <c r="F22" i="11"/>
  <c r="F20" i="11"/>
  <c r="H19" i="11"/>
  <c r="H11" i="18"/>
  <c r="H10" i="18"/>
  <c r="H9" i="18"/>
  <c r="C6" i="19"/>
  <c r="H31" i="4"/>
  <c r="H22" i="12"/>
  <c r="H10" i="19"/>
  <c r="H9" i="19" l="1"/>
  <c r="H8" i="19"/>
  <c r="H30" i="4"/>
  <c r="H29" i="4"/>
  <c r="H28" i="4"/>
  <c r="H27" i="4"/>
  <c r="H21" i="12"/>
  <c r="H20" i="12"/>
  <c r="H22" i="9"/>
  <c r="H27" i="1"/>
  <c r="G26" i="1"/>
  <c r="H26" i="1" s="1"/>
  <c r="H16" i="15"/>
  <c r="H17" i="15"/>
  <c r="H21" i="9"/>
  <c r="H8" i="18" l="1"/>
  <c r="H7" i="18"/>
  <c r="H18" i="11"/>
  <c r="H21" i="10"/>
  <c r="H30" i="2"/>
  <c r="H8" i="16"/>
  <c r="H7" i="16"/>
  <c r="H7" i="19"/>
  <c r="H6" i="19"/>
  <c r="H19" i="12"/>
  <c r="H18" i="12"/>
  <c r="H15" i="15"/>
  <c r="H20" i="9"/>
  <c r="G25" i="1"/>
  <c r="H25" i="1" s="1"/>
  <c r="H20" i="10" l="1"/>
  <c r="H19" i="10"/>
  <c r="H18" i="10"/>
  <c r="H17" i="10"/>
  <c r="H16" i="10"/>
  <c r="H15" i="10"/>
  <c r="H26" i="3"/>
  <c r="H27" i="3"/>
  <c r="H28" i="3"/>
  <c r="H29" i="3"/>
  <c r="H25" i="3"/>
  <c r="F14" i="8"/>
  <c r="O21" i="14"/>
  <c r="N22" i="14"/>
  <c r="N23" i="14" s="1"/>
  <c r="O23" i="14" s="1"/>
  <c r="H5" i="16"/>
  <c r="H6" i="16"/>
  <c r="H17" i="11"/>
  <c r="H16" i="11"/>
  <c r="H15" i="11"/>
  <c r="H14" i="11"/>
  <c r="H29" i="2"/>
  <c r="H28" i="2"/>
  <c r="H6" i="18"/>
  <c r="H19" i="9"/>
  <c r="G24" i="1"/>
  <c r="H24" i="1" s="1"/>
  <c r="H23" i="1"/>
  <c r="H18" i="9"/>
  <c r="H13" i="15"/>
  <c r="H14" i="15"/>
  <c r="H17" i="12"/>
  <c r="H16" i="12"/>
  <c r="H26" i="4"/>
  <c r="H25" i="4"/>
  <c r="H5" i="19"/>
  <c r="O22" i="14" l="1"/>
  <c r="D20" i="8"/>
  <c r="H5" i="18" l="1"/>
  <c r="C12" i="19" l="1"/>
  <c r="L15" i="8" s="1"/>
  <c r="C7" i="19"/>
  <c r="C5" i="19"/>
  <c r="H4" i="19"/>
  <c r="C12" i="18"/>
  <c r="L14" i="8" s="1"/>
  <c r="C7" i="18"/>
  <c r="C5" i="18"/>
  <c r="H4" i="18"/>
  <c r="C15" i="18"/>
  <c r="C15" i="19"/>
  <c r="C15" i="16"/>
  <c r="C6" i="18" l="1"/>
  <c r="E14" i="8" s="1"/>
  <c r="C14" i="8"/>
  <c r="C9" i="18"/>
  <c r="C16" i="18" s="1"/>
  <c r="G14" i="8"/>
  <c r="J14" i="8" s="1"/>
  <c r="E15" i="8"/>
  <c r="C15" i="8"/>
  <c r="C9" i="19"/>
  <c r="C16" i="19" s="1"/>
  <c r="G15" i="8"/>
  <c r="J15" i="8" s="1"/>
  <c r="F15" i="8"/>
  <c r="F13" i="8"/>
  <c r="C10" i="18"/>
  <c r="C14" i="18" s="1"/>
  <c r="C10" i="19"/>
  <c r="C14" i="19" s="1"/>
  <c r="Q15" i="14"/>
  <c r="P21" i="14"/>
  <c r="P20" i="14"/>
  <c r="P18" i="14"/>
  <c r="P16" i="14"/>
  <c r="P17" i="14" s="1"/>
  <c r="L19" i="14"/>
  <c r="L18" i="14"/>
  <c r="O11" i="14"/>
  <c r="O10" i="14"/>
  <c r="O9" i="14"/>
  <c r="O8" i="14"/>
  <c r="O7" i="14"/>
  <c r="O6" i="14"/>
  <c r="O5" i="14"/>
  <c r="K6" i="14"/>
  <c r="K7" i="14"/>
  <c r="K8" i="14"/>
  <c r="K5" i="14"/>
  <c r="I15" i="14"/>
  <c r="H15" i="14"/>
  <c r="I12" i="14"/>
  <c r="I20" i="14"/>
  <c r="D21" i="14"/>
  <c r="H4" i="16"/>
  <c r="H27" i="2"/>
  <c r="H26" i="2"/>
  <c r="H12" i="15"/>
  <c r="H17" i="9"/>
  <c r="H22" i="1"/>
  <c r="H15" i="12"/>
  <c r="H24" i="4"/>
  <c r="H14" i="8" l="1"/>
  <c r="K14" i="8"/>
  <c r="K15" i="8"/>
  <c r="H15" i="8"/>
  <c r="Q16" i="14"/>
  <c r="Q17" i="14" s="1"/>
  <c r="Q18" i="14" s="1"/>
  <c r="Q19" i="14" s="1"/>
  <c r="Q20" i="14" s="1"/>
  <c r="Q21" i="14" s="1"/>
  <c r="H11" i="15"/>
  <c r="H21" i="1"/>
  <c r="H16" i="9"/>
  <c r="C12" i="16" l="1"/>
  <c r="L13" i="8" s="1"/>
  <c r="C7" i="16"/>
  <c r="C6" i="16"/>
  <c r="C5" i="16"/>
  <c r="C13" i="8" s="1"/>
  <c r="C9" i="16" l="1"/>
  <c r="C16" i="16" s="1"/>
  <c r="G13" i="8"/>
  <c r="J13" i="8" s="1"/>
  <c r="K13" i="8" s="1"/>
  <c r="C10" i="16"/>
  <c r="C14" i="16" s="1"/>
  <c r="H14" i="12"/>
  <c r="H23" i="4"/>
  <c r="H13" i="8" l="1"/>
  <c r="H25" i="2"/>
  <c r="H10" i="15" l="1"/>
  <c r="H15" i="9"/>
  <c r="H20" i="1"/>
  <c r="G13" i="11" l="1"/>
  <c r="H13" i="11" s="1"/>
  <c r="W5" i="14" l="1"/>
  <c r="X4" i="14"/>
  <c r="N12" i="14"/>
  <c r="O12" i="14" s="1"/>
  <c r="E18" i="14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H19" i="14"/>
  <c r="H18" i="14"/>
  <c r="I16" i="14"/>
  <c r="H16" i="14"/>
  <c r="I14" i="14"/>
  <c r="H14" i="14"/>
  <c r="I13" i="14"/>
  <c r="H13" i="14"/>
  <c r="H12" i="14"/>
  <c r="I11" i="14"/>
  <c r="H11" i="14"/>
  <c r="I10" i="14"/>
  <c r="H10" i="14"/>
  <c r="H9" i="14"/>
  <c r="J9" i="14" s="1"/>
  <c r="K9" i="14" s="1"/>
  <c r="E6" i="8"/>
  <c r="J10" i="14" l="1"/>
  <c r="H24" i="3"/>
  <c r="J11" i="14" l="1"/>
  <c r="K10" i="14"/>
  <c r="H13" i="12"/>
  <c r="H22" i="4"/>
  <c r="J12" i="14" l="1"/>
  <c r="K11" i="14"/>
  <c r="G19" i="1"/>
  <c r="H19" i="1" s="1"/>
  <c r="H9" i="15"/>
  <c r="H14" i="9"/>
  <c r="F12" i="11"/>
  <c r="H12" i="11" s="1"/>
  <c r="H24" i="2"/>
  <c r="J13" i="14" l="1"/>
  <c r="K12" i="14"/>
  <c r="H12" i="12"/>
  <c r="F9" i="12"/>
  <c r="H21" i="4"/>
  <c r="H23" i="2"/>
  <c r="J14" i="14" l="1"/>
  <c r="K13" i="14"/>
  <c r="H18" i="1"/>
  <c r="H11" i="11"/>
  <c r="J15" i="14" l="1"/>
  <c r="K14" i="14"/>
  <c r="E4" i="8"/>
  <c r="C12" i="5"/>
  <c r="H14" i="10"/>
  <c r="H23" i="3"/>
  <c r="J16" i="14" l="1"/>
  <c r="K16" i="14" s="1"/>
  <c r="K15" i="14"/>
  <c r="H8" i="15"/>
  <c r="C12" i="2"/>
  <c r="C15" i="11"/>
  <c r="H13" i="9"/>
  <c r="H11" i="12"/>
  <c r="H18" i="4"/>
  <c r="H19" i="4"/>
  <c r="H20" i="4"/>
  <c r="H22" i="2"/>
  <c r="H11" i="2"/>
  <c r="H12" i="2"/>
  <c r="H13" i="2"/>
  <c r="H14" i="2"/>
  <c r="H15" i="2"/>
  <c r="H16" i="2"/>
  <c r="H17" i="2"/>
  <c r="H18" i="2"/>
  <c r="H19" i="2"/>
  <c r="H20" i="2"/>
  <c r="H10" i="2"/>
  <c r="K17" i="14" l="1"/>
  <c r="C8" i="15"/>
  <c r="H7" i="15"/>
  <c r="H12" i="9"/>
  <c r="G17" i="1"/>
  <c r="H17" i="1" s="1"/>
  <c r="H8" i="11" l="1"/>
  <c r="H9" i="11"/>
  <c r="H10" i="11"/>
  <c r="H7" i="11"/>
  <c r="C14" i="5" l="1"/>
  <c r="H9" i="10" l="1"/>
  <c r="H10" i="10"/>
  <c r="H11" i="10"/>
  <c r="H12" i="10"/>
  <c r="H13" i="10"/>
  <c r="H8" i="10"/>
  <c r="H22" i="3"/>
  <c r="H10" i="12" l="1"/>
  <c r="H21" i="3"/>
  <c r="G14" i="1" l="1"/>
  <c r="G8" i="9"/>
  <c r="G13" i="1"/>
  <c r="G12" i="1"/>
  <c r="G11" i="1"/>
  <c r="H16" i="1" l="1"/>
  <c r="C14" i="15"/>
  <c r="L8" i="8" s="1"/>
  <c r="H6" i="15"/>
  <c r="C9" i="15"/>
  <c r="C11" i="15" s="1"/>
  <c r="C7" i="15"/>
  <c r="H11" i="9"/>
  <c r="C17" i="15"/>
  <c r="C12" i="15" l="1"/>
  <c r="C16" i="15" s="1"/>
  <c r="C8" i="8"/>
  <c r="G8" i="8"/>
  <c r="F8" i="8"/>
  <c r="E8" i="8"/>
  <c r="C18" i="15"/>
  <c r="H9" i="12"/>
  <c r="H8" i="8" l="1"/>
  <c r="H20" i="3"/>
  <c r="C18" i="11"/>
  <c r="C17" i="9"/>
  <c r="C18" i="12"/>
  <c r="C13" i="5"/>
  <c r="C20" i="1"/>
  <c r="C17" i="3"/>
  <c r="C21" i="2"/>
  <c r="C17" i="10"/>
  <c r="F10" i="8" l="1"/>
  <c r="F3" i="8"/>
  <c r="H15" i="1"/>
  <c r="H10" i="9" l="1"/>
  <c r="H8" i="12"/>
  <c r="H17" i="4"/>
  <c r="R17" i="14" l="1"/>
  <c r="D17" i="14"/>
  <c r="B17" i="14"/>
  <c r="M17" i="14"/>
  <c r="L17" i="14"/>
  <c r="I17" i="14"/>
  <c r="H17" i="14"/>
  <c r="F17" i="14"/>
  <c r="N13" i="14"/>
  <c r="G29" i="14"/>
  <c r="N14" i="14" l="1"/>
  <c r="N15" i="14" s="1"/>
  <c r="O13" i="14"/>
  <c r="N17" i="14"/>
  <c r="N18" i="14" s="1"/>
  <c r="J17" i="14"/>
  <c r="J18" i="14" s="1"/>
  <c r="H9" i="9"/>
  <c r="O14" i="14" l="1"/>
  <c r="J19" i="14"/>
  <c r="K18" i="14"/>
  <c r="N19" i="14"/>
  <c r="O18" i="14"/>
  <c r="N16" i="14"/>
  <c r="O16" i="14" s="1"/>
  <c r="O15" i="14"/>
  <c r="I5" i="8"/>
  <c r="H14" i="1"/>
  <c r="C8" i="12"/>
  <c r="H8" i="3"/>
  <c r="H9" i="3"/>
  <c r="H10" i="3"/>
  <c r="H11" i="3"/>
  <c r="H12" i="3"/>
  <c r="H13" i="3"/>
  <c r="H14" i="3"/>
  <c r="H15" i="3"/>
  <c r="H16" i="3"/>
  <c r="H17" i="3"/>
  <c r="H18" i="3"/>
  <c r="H19" i="3"/>
  <c r="H7" i="3"/>
  <c r="O19" i="14" l="1"/>
  <c r="N20" i="14"/>
  <c r="O20" i="14" s="1"/>
  <c r="J20" i="14"/>
  <c r="K19" i="14"/>
  <c r="O17" i="14"/>
  <c r="E7" i="8"/>
  <c r="E9" i="8"/>
  <c r="E10" i="8"/>
  <c r="E11" i="8"/>
  <c r="E3" i="8"/>
  <c r="F11" i="8"/>
  <c r="F9" i="8"/>
  <c r="F7" i="8"/>
  <c r="F6" i="8"/>
  <c r="F5" i="8"/>
  <c r="C5" i="8"/>
  <c r="H7" i="12"/>
  <c r="C15" i="12"/>
  <c r="L5" i="8" s="1"/>
  <c r="C10" i="12"/>
  <c r="C9" i="12"/>
  <c r="F12" i="8"/>
  <c r="L12" i="8"/>
  <c r="C10" i="11"/>
  <c r="C8" i="11"/>
  <c r="H13" i="1"/>
  <c r="H8" i="9"/>
  <c r="H16" i="4"/>
  <c r="J21" i="14" l="1"/>
  <c r="K20" i="14"/>
  <c r="C13" i="11"/>
  <c r="C17" i="11" s="1"/>
  <c r="C12" i="8"/>
  <c r="E12" i="8"/>
  <c r="E5" i="8"/>
  <c r="C12" i="11"/>
  <c r="C19" i="11" s="1"/>
  <c r="G12" i="8"/>
  <c r="J12" i="8" s="1"/>
  <c r="K12" i="8" s="1"/>
  <c r="C12" i="12"/>
  <c r="C19" i="12" s="1"/>
  <c r="G5" i="8"/>
  <c r="J5" i="8" s="1"/>
  <c r="K5" i="8" s="1"/>
  <c r="C13" i="12"/>
  <c r="C17" i="12" s="1"/>
  <c r="H15" i="4"/>
  <c r="H7" i="10"/>
  <c r="C15" i="10"/>
  <c r="L11" i="8" s="1"/>
  <c r="C10" i="10"/>
  <c r="C12" i="10" s="1"/>
  <c r="C9" i="10"/>
  <c r="C8" i="10"/>
  <c r="C15" i="3"/>
  <c r="K21" i="14" l="1"/>
  <c r="J22" i="14"/>
  <c r="C11" i="8"/>
  <c r="E20" i="8"/>
  <c r="H12" i="8"/>
  <c r="H5" i="8"/>
  <c r="G11" i="8"/>
  <c r="C13" i="10"/>
  <c r="C16" i="10" s="1"/>
  <c r="C18" i="10"/>
  <c r="H7" i="9"/>
  <c r="H12" i="1"/>
  <c r="C18" i="2"/>
  <c r="K22" i="14" l="1"/>
  <c r="J23" i="14"/>
  <c r="K23" i="14" s="1"/>
  <c r="H11" i="8"/>
  <c r="J11" i="8"/>
  <c r="K11" i="8" s="1"/>
  <c r="H14" i="4"/>
  <c r="C13" i="2"/>
  <c r="I6" i="8" l="1"/>
  <c r="I7" i="8" s="1"/>
  <c r="I8" i="8" s="1"/>
  <c r="J8" i="8" s="1"/>
  <c r="K8" i="8" s="1"/>
  <c r="C12" i="1"/>
  <c r="H6" i="9"/>
  <c r="C14" i="9"/>
  <c r="L7" i="8" s="1"/>
  <c r="C9" i="9"/>
  <c r="C11" i="9" s="1"/>
  <c r="C7" i="9"/>
  <c r="H10" i="1"/>
  <c r="H11" i="1"/>
  <c r="H9" i="1"/>
  <c r="I4" i="8"/>
  <c r="C16" i="4"/>
  <c r="H13" i="4"/>
  <c r="H10" i="4"/>
  <c r="H11" i="4"/>
  <c r="H12" i="4"/>
  <c r="H8" i="4"/>
  <c r="C8" i="9" l="1"/>
  <c r="C18" i="9"/>
  <c r="C7" i="8"/>
  <c r="G7" i="8"/>
  <c r="C14" i="1"/>
  <c r="C12" i="9"/>
  <c r="C16" i="9" s="1"/>
  <c r="J7" i="8" l="1"/>
  <c r="K7" i="8" s="1"/>
  <c r="H7" i="8"/>
  <c r="I10" i="8"/>
  <c r="I9" i="8"/>
  <c r="I3" i="8"/>
  <c r="G9" i="8"/>
  <c r="C10" i="3"/>
  <c r="G10" i="8" s="1"/>
  <c r="J9" i="8" l="1"/>
  <c r="J10" i="8"/>
  <c r="F9" i="4"/>
  <c r="C5" i="5"/>
  <c r="L9" i="8"/>
  <c r="L4" i="8"/>
  <c r="L10" i="8"/>
  <c r="L20" i="8" s="1"/>
  <c r="L3" i="8"/>
  <c r="C17" i="1"/>
  <c r="L6" i="8" s="1"/>
  <c r="C10" i="5"/>
  <c r="C12" i="3"/>
  <c r="C9" i="3"/>
  <c r="C8" i="3"/>
  <c r="C10" i="1"/>
  <c r="C19" i="4"/>
  <c r="C10" i="8" l="1"/>
  <c r="H10" i="8" s="1"/>
  <c r="C21" i="1"/>
  <c r="F4" i="8"/>
  <c r="C18" i="3"/>
  <c r="C9" i="4"/>
  <c r="H9" i="4"/>
  <c r="C15" i="1"/>
  <c r="C19" i="1" s="1"/>
  <c r="C8" i="5"/>
  <c r="C9" i="8"/>
  <c r="K9" i="8" s="1"/>
  <c r="C15" i="2"/>
  <c r="G3" i="8"/>
  <c r="J3" i="8" s="1"/>
  <c r="G6" i="8"/>
  <c r="C6" i="8"/>
  <c r="C6" i="5"/>
  <c r="C13" i="3"/>
  <c r="C16" i="3" s="1"/>
  <c r="K10" i="8" l="1"/>
  <c r="F20" i="8"/>
  <c r="B21" i="8" s="1"/>
  <c r="C4" i="8"/>
  <c r="H9" i="8"/>
  <c r="J6" i="8"/>
  <c r="K6" i="8" s="1"/>
  <c r="H6" i="8"/>
  <c r="C11" i="2"/>
  <c r="C16" i="2" l="1"/>
  <c r="C20" i="2" s="1"/>
  <c r="C22" i="2"/>
  <c r="C3" i="8"/>
  <c r="K3" i="8" s="1"/>
  <c r="C20" i="8" l="1"/>
  <c r="H3" i="8"/>
  <c r="C11" i="4"/>
  <c r="C13" i="4" s="1"/>
  <c r="C21" i="4" s="1"/>
  <c r="G4" i="8" l="1"/>
  <c r="C14" i="4"/>
  <c r="C18" i="4" s="1"/>
  <c r="H4" i="8" l="1"/>
  <c r="J4" i="8"/>
  <c r="K4" i="8" s="1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</calcChain>
</file>

<file path=xl/sharedStrings.xml><?xml version="1.0" encoding="utf-8"?>
<sst xmlns="http://schemas.openxmlformats.org/spreadsheetml/2006/main" count="462" uniqueCount="154">
  <si>
    <t>Cummulative Money To Spend</t>
  </si>
  <si>
    <t>Money Spent</t>
  </si>
  <si>
    <t>Money Left</t>
  </si>
  <si>
    <t>Points Earned</t>
  </si>
  <si>
    <t>Year - Month</t>
  </si>
  <si>
    <t>Point Value</t>
  </si>
  <si>
    <t>Money Spent To Point Ratio</t>
  </si>
  <si>
    <t>Points Value</t>
  </si>
  <si>
    <t>Expenditure Table</t>
  </si>
  <si>
    <t>Card Statement</t>
  </si>
  <si>
    <t>Do's</t>
  </si>
  <si>
    <t>Flipkart</t>
  </si>
  <si>
    <t>BMS</t>
  </si>
  <si>
    <t>Merchants</t>
  </si>
  <si>
    <t>Rewards</t>
  </si>
  <si>
    <t>*10</t>
  </si>
  <si>
    <t>*5</t>
  </si>
  <si>
    <t>Fuel</t>
  </si>
  <si>
    <t>Bill Cycle</t>
  </si>
  <si>
    <t>4th of Every Month</t>
  </si>
  <si>
    <t>No Utilities</t>
  </si>
  <si>
    <t>18th of Every Month</t>
  </si>
  <si>
    <t>Amazon</t>
  </si>
  <si>
    <t>Yatra</t>
  </si>
  <si>
    <t>Don't load the money on Amazon Pay</t>
  </si>
  <si>
    <t>5% CB</t>
  </si>
  <si>
    <t>2% CB</t>
  </si>
  <si>
    <t>Each and every spend gets 1% CB atleast</t>
  </si>
  <si>
    <t>USP</t>
  </si>
  <si>
    <t>Amazon direct payment gets 5%</t>
  </si>
  <si>
    <t>Loading Amazon Pay fetches 2%</t>
  </si>
  <si>
    <t xml:space="preserve">Fuel Surcharge Waiver at 1% </t>
  </si>
  <si>
    <t>Ask Dad to use @ More Market</t>
  </si>
  <si>
    <t>Can be alternative for Amazon Pay Card</t>
  </si>
  <si>
    <t>8th of Every Month</t>
  </si>
  <si>
    <t>Lounge Access</t>
  </si>
  <si>
    <t>21st of Every Month</t>
  </si>
  <si>
    <t>Apparel &amp; Department Stores</t>
  </si>
  <si>
    <t>Don't use for normal expenditure</t>
  </si>
  <si>
    <t>300 points if spend is &gt;30000 in a month</t>
  </si>
  <si>
    <t>Credit Limit</t>
  </si>
  <si>
    <t>Life</t>
  </si>
  <si>
    <t>Total</t>
  </si>
  <si>
    <t>Cred Award</t>
  </si>
  <si>
    <t>ICICI Amazon Pay Card</t>
  </si>
  <si>
    <t>CiTi Reward Card</t>
  </si>
  <si>
    <t>IndusInd Aura</t>
  </si>
  <si>
    <t>ICICI Coral Card</t>
  </si>
  <si>
    <t>AmEx Card</t>
  </si>
  <si>
    <t>Life Cycle</t>
  </si>
  <si>
    <t>Point Convertor</t>
  </si>
  <si>
    <t>Points Per 100</t>
  </si>
  <si>
    <t>Average Points Per 100</t>
  </si>
  <si>
    <t>5th of Every Month</t>
  </si>
  <si>
    <t>14th of Every Month</t>
  </si>
  <si>
    <t>Used to collect bundle of points + Point booster for AmEx Card</t>
  </si>
  <si>
    <t>AmEx Charge Card</t>
  </si>
  <si>
    <t>Money To Be Spent</t>
  </si>
  <si>
    <t>Money Spent This Month</t>
  </si>
  <si>
    <t>Need 10000 points for CB Redemption</t>
  </si>
  <si>
    <t>Total Profit</t>
  </si>
  <si>
    <t>Uber</t>
  </si>
  <si>
    <t>ICICI MMT Card</t>
  </si>
  <si>
    <t>22nd of Every Month</t>
  </si>
  <si>
    <t>Percentage Use</t>
  </si>
  <si>
    <t>CiTi IOC Card</t>
  </si>
  <si>
    <t>SBI Simply Save Card</t>
  </si>
  <si>
    <t>Use for Amazon Shopping</t>
  </si>
  <si>
    <t>Use for shopping in Apparels</t>
  </si>
  <si>
    <t>Use for Fuel</t>
  </si>
  <si>
    <t>Use for Points Multiplier</t>
  </si>
  <si>
    <t>No Use</t>
  </si>
  <si>
    <t>Use for bookings via MMT</t>
  </si>
  <si>
    <t>Use for Cabs, Flipkart</t>
  </si>
  <si>
    <t>Wish List</t>
  </si>
  <si>
    <t>Axis Card</t>
  </si>
  <si>
    <t>SC Card</t>
  </si>
  <si>
    <t>HSBC Card</t>
  </si>
  <si>
    <t>RBL Card</t>
  </si>
  <si>
    <t>Yes Bank Card</t>
  </si>
  <si>
    <t>Shop for Grocery, Departmental, Movie, Dining fetch 2.5% CB</t>
  </si>
  <si>
    <t>Online Shopping</t>
  </si>
  <si>
    <t>-</t>
  </si>
  <si>
    <t>2.5% CB</t>
  </si>
  <si>
    <t>Any Shopping</t>
  </si>
  <si>
    <t>IOC Fuel Card</t>
  </si>
  <si>
    <t>Fuel Card</t>
  </si>
  <si>
    <t>2.67% CB</t>
  </si>
  <si>
    <t>Grofers</t>
  </si>
  <si>
    <t>Myntra</t>
  </si>
  <si>
    <t>Swiggy</t>
  </si>
  <si>
    <t>Maximum benefit for Flipkart &amp; Uber</t>
  </si>
  <si>
    <t>LIC Policy</t>
  </si>
  <si>
    <t>FDs in HDFC Bank</t>
  </si>
  <si>
    <t>FDs in ICICI Bank</t>
  </si>
  <si>
    <t>SiPs</t>
  </si>
  <si>
    <t>Liquid Fund in ET Money (Tolani Fees)</t>
  </si>
  <si>
    <t>Liquid Fund in Groww (Emergency Funds)</t>
  </si>
  <si>
    <t>Corpus Added</t>
  </si>
  <si>
    <t>Corpus Removed</t>
  </si>
  <si>
    <t>Annual Budget'19</t>
  </si>
  <si>
    <t>Rent</t>
  </si>
  <si>
    <t>Soverign Gold Bond (30,960)</t>
  </si>
  <si>
    <t>Active Investment</t>
  </si>
  <si>
    <t>Use for Daily Transactions</t>
  </si>
  <si>
    <t>AmEx Membership Card</t>
  </si>
  <si>
    <t>Profit</t>
  </si>
  <si>
    <t>Extra Benefits</t>
  </si>
  <si>
    <t>Dont's</t>
  </si>
  <si>
    <t>Airport Lounge</t>
  </si>
  <si>
    <t>Invested Corpus</t>
  </si>
  <si>
    <t>ÉT Money</t>
  </si>
  <si>
    <t>Groww</t>
  </si>
  <si>
    <t>Interest Earned Till Date</t>
  </si>
  <si>
    <t>Interest Capitalized</t>
  </si>
  <si>
    <t>Last Updated</t>
  </si>
  <si>
    <t>AmEx</t>
  </si>
  <si>
    <t>Grocery (Online)</t>
  </si>
  <si>
    <t>Grocery (Offline)</t>
  </si>
  <si>
    <t>Cabs</t>
  </si>
  <si>
    <t>General Expenses</t>
  </si>
  <si>
    <t>ICICI Amazon Pay</t>
  </si>
  <si>
    <t>Restaurant Expenses</t>
  </si>
  <si>
    <t xml:space="preserve"> </t>
  </si>
  <si>
    <t>24th of Every Month</t>
  </si>
  <si>
    <t>HSBC Platinum Card</t>
  </si>
  <si>
    <t>Cards</t>
  </si>
  <si>
    <t>Payment Date</t>
  </si>
  <si>
    <t>Fees Waiver</t>
  </si>
  <si>
    <t>American Express Charge Card</t>
  </si>
  <si>
    <t>American Express Membership Rewards Card</t>
  </si>
  <si>
    <t>Citi PayTM First Card</t>
  </si>
  <si>
    <t>IndusInd Bank</t>
  </si>
  <si>
    <t>HDFC Moneyback Card</t>
  </si>
  <si>
    <t>SBI Prime Card</t>
  </si>
  <si>
    <t>Yes Prosperity Rewards Plus Card</t>
  </si>
  <si>
    <t>Citi Rewards Card</t>
  </si>
  <si>
    <t>American Express EveryDay Spend Card</t>
  </si>
  <si>
    <t>Citi IOC Card</t>
  </si>
  <si>
    <t>13/3/2020</t>
  </si>
  <si>
    <t>25/3/2020</t>
  </si>
  <si>
    <t>29/3/2020</t>
  </si>
  <si>
    <t>CiTi PayTM Card</t>
  </si>
  <si>
    <t>Yes Prosperity Rewards</t>
  </si>
  <si>
    <t>Passive Investment</t>
  </si>
  <si>
    <t>Mutual Funds in Groww (Future Funds)</t>
  </si>
  <si>
    <t>25th of Every Month</t>
  </si>
  <si>
    <t>SC Platinum Rewards Card</t>
  </si>
  <si>
    <t>Use for 90 Days till 20000/-</t>
  </si>
  <si>
    <t>Amazon Expenses</t>
  </si>
  <si>
    <t>Amazon Card</t>
  </si>
  <si>
    <t>CiTi IOC Fuel Card</t>
  </si>
  <si>
    <t>SBI OLA Card</t>
  </si>
  <si>
    <t>OneCard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</si>
</sst>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m\-yy;@"/>
    <numFmt numFmtId="166" formatCode="_([$$-409]* #,##0.00_);_([$$-409]* \(#,##0.00\);_([$$-409]* &quot;-&quot;??_);_(@_)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44" fontId="0" fillId="0" borderId="0" xfId="2" applyFont="1"/>
    <xf numFmtId="44" fontId="0" fillId="0" borderId="0" xfId="0" applyNumberFormat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0" fontId="0" fillId="0" borderId="1" xfId="0" applyFill="1" applyBorder="1"/>
    <xf numFmtId="44" fontId="0" fillId="0" borderId="1" xfId="2" applyFont="1" applyFill="1" applyBorder="1"/>
    <xf numFmtId="43" fontId="0" fillId="0" borderId="0" xfId="1" applyFont="1"/>
    <xf numFmtId="43" fontId="0" fillId="0" borderId="1" xfId="1" applyFont="1" applyBorder="1"/>
    <xf numFmtId="0" fontId="2" fillId="5" borderId="1" xfId="0" applyFont="1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64" fontId="0" fillId="0" borderId="0" xfId="1" applyNumberFormat="1" applyFont="1"/>
    <xf numFmtId="0" fontId="0" fillId="0" borderId="1" xfId="0" applyFont="1" applyBorder="1"/>
    <xf numFmtId="43" fontId="0" fillId="0" borderId="1" xfId="1" applyFont="1" applyFill="1" applyBorder="1"/>
    <xf numFmtId="44" fontId="0" fillId="6" borderId="1" xfId="2" applyFont="1" applyFill="1" applyBorder="1"/>
    <xf numFmtId="10" fontId="0" fillId="0" borderId="1" xfId="3" applyNumberFormat="1" applyFont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3" xfId="3" applyNumberFormat="1" applyFont="1" applyBorder="1"/>
    <xf numFmtId="44" fontId="0" fillId="0" borderId="1" xfId="2" applyNumberFormat="1" applyFont="1" applyFill="1" applyBorder="1"/>
    <xf numFmtId="0" fontId="0" fillId="0" borderId="4" xfId="0" applyBorder="1"/>
    <xf numFmtId="0" fontId="0" fillId="0" borderId="1" xfId="0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4" fontId="0" fillId="6" borderId="1" xfId="2" applyFont="1" applyFill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44" fontId="2" fillId="4" borderId="1" xfId="2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6" borderId="1" xfId="0" applyNumberFormat="1" applyFill="1" applyBorder="1"/>
    <xf numFmtId="0" fontId="0" fillId="0" borderId="0" xfId="0" applyBorder="1"/>
    <xf numFmtId="0" fontId="0" fillId="7" borderId="0" xfId="0" applyFill="1"/>
    <xf numFmtId="165" fontId="0" fillId="0" borderId="1" xfId="0" applyNumberFormat="1" applyBorder="1"/>
    <xf numFmtId="44" fontId="0" fillId="7" borderId="1" xfId="2" applyFont="1" applyFill="1" applyBorder="1"/>
    <xf numFmtId="44" fontId="0" fillId="5" borderId="1" xfId="2" applyFont="1" applyFill="1" applyBorder="1"/>
    <xf numFmtId="44" fontId="0" fillId="0" borderId="0" xfId="2" applyFont="1" applyAlignment="1">
      <alignment horizontal="right"/>
    </xf>
    <xf numFmtId="0" fontId="0" fillId="0" borderId="2" xfId="0" applyBorder="1"/>
    <xf numFmtId="44" fontId="0" fillId="7" borderId="4" xfId="2" applyFont="1" applyFill="1" applyBorder="1"/>
    <xf numFmtId="165" fontId="0" fillId="0" borderId="2" xfId="0" applyNumberFormat="1" applyBorder="1"/>
    <xf numFmtId="44" fontId="0" fillId="0" borderId="20" xfId="2" applyFont="1" applyBorder="1"/>
    <xf numFmtId="44" fontId="0" fillId="0" borderId="21" xfId="2" applyFont="1" applyBorder="1"/>
    <xf numFmtId="44" fontId="0" fillId="7" borderId="20" xfId="2" applyFont="1" applyFill="1" applyBorder="1"/>
    <xf numFmtId="44" fontId="0" fillId="5" borderId="20" xfId="2" applyFont="1" applyFill="1" applyBorder="1"/>
    <xf numFmtId="44" fontId="0" fillId="5" borderId="21" xfId="2" applyFont="1" applyFill="1" applyBorder="1"/>
    <xf numFmtId="165" fontId="0" fillId="0" borderId="20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44" fontId="0" fillId="0" borderId="9" xfId="2" applyFont="1" applyBorder="1"/>
    <xf numFmtId="44" fontId="0" fillId="6" borderId="20" xfId="2" applyFont="1" applyFill="1" applyBorder="1"/>
    <xf numFmtId="44" fontId="0" fillId="6" borderId="21" xfId="2" applyFont="1" applyFill="1" applyBorder="1"/>
    <xf numFmtId="44" fontId="0" fillId="0" borderId="12" xfId="2" applyFont="1" applyBorder="1"/>
    <xf numFmtId="0" fontId="0" fillId="0" borderId="25" xfId="0" applyBorder="1" applyAlignment="1">
      <alignment horizontal="center" vertical="center"/>
    </xf>
    <xf numFmtId="44" fontId="0" fillId="0" borderId="25" xfId="2" applyFont="1" applyBorder="1" applyAlignment="1">
      <alignment horizontal="center" vertical="center"/>
    </xf>
    <xf numFmtId="44" fontId="0" fillId="0" borderId="25" xfId="2" applyFont="1" applyBorder="1"/>
    <xf numFmtId="44" fontId="0" fillId="2" borderId="25" xfId="2" applyFont="1" applyFill="1" applyBorder="1"/>
    <xf numFmtId="44" fontId="0" fillId="5" borderId="25" xfId="2" applyFont="1" applyFill="1" applyBorder="1"/>
    <xf numFmtId="44" fontId="0" fillId="0" borderId="18" xfId="2" applyFont="1" applyBorder="1"/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44" fontId="0" fillId="0" borderId="20" xfId="2" applyFont="1" applyBorder="1" applyAlignment="1">
      <alignment horizontal="right"/>
    </xf>
    <xf numFmtId="44" fontId="0" fillId="0" borderId="10" xfId="2" applyFont="1" applyBorder="1"/>
    <xf numFmtId="44" fontId="0" fillId="0" borderId="11" xfId="2" applyFont="1" applyBorder="1"/>
    <xf numFmtId="0" fontId="2" fillId="8" borderId="6" xfId="0" applyFont="1" applyFill="1" applyBorder="1"/>
    <xf numFmtId="0" fontId="2" fillId="8" borderId="6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44" fontId="0" fillId="7" borderId="7" xfId="2" applyFont="1" applyFill="1" applyBorder="1"/>
    <xf numFmtId="0" fontId="0" fillId="0" borderId="27" xfId="0" applyBorder="1"/>
    <xf numFmtId="0" fontId="0" fillId="0" borderId="1" xfId="0" applyBorder="1" applyAlignment="1">
      <alignment horizontal="center"/>
    </xf>
    <xf numFmtId="44" fontId="0" fillId="0" borderId="1" xfId="0" applyNumberFormat="1" applyFill="1" applyBorder="1"/>
    <xf numFmtId="10" fontId="0" fillId="0" borderId="1" xfId="3" applyNumberFormat="1" applyFont="1" applyBorder="1" applyAlignment="1">
      <alignment horizontal="center"/>
    </xf>
    <xf numFmtId="10" fontId="0" fillId="0" borderId="0" xfId="3" applyNumberFormat="1" applyFont="1"/>
    <xf numFmtId="44" fontId="0" fillId="0" borderId="4" xfId="2" applyFont="1" applyBorder="1"/>
    <xf numFmtId="164" fontId="0" fillId="0" borderId="4" xfId="1" applyNumberFormat="1" applyFont="1" applyBorder="1"/>
    <xf numFmtId="43" fontId="0" fillId="0" borderId="4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66" fontId="0" fillId="0" borderId="1" xfId="1" applyNumberFormat="1" applyFont="1" applyBorder="1"/>
    <xf numFmtId="44" fontId="0" fillId="7" borderId="25" xfId="2" applyFont="1" applyFill="1" applyBorder="1"/>
    <xf numFmtId="166" fontId="0" fillId="0" borderId="20" xfId="2" applyNumberFormat="1" applyFont="1" applyBorder="1"/>
    <xf numFmtId="166" fontId="0" fillId="0" borderId="1" xfId="2" applyNumberFormat="1" applyFont="1" applyBorder="1"/>
    <xf numFmtId="166" fontId="0" fillId="0" borderId="28" xfId="2" applyNumberFormat="1" applyFont="1" applyBorder="1"/>
    <xf numFmtId="166" fontId="0" fillId="0" borderId="1" xfId="0" applyNumberFormat="1" applyBorder="1"/>
    <xf numFmtId="166" fontId="0" fillId="0" borderId="0" xfId="0" applyNumberFormat="1"/>
    <xf numFmtId="0" fontId="0" fillId="0" borderId="0" xfId="0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7" borderId="1" xfId="0" applyNumberFormat="1" applyFill="1" applyBorder="1"/>
    <xf numFmtId="44" fontId="0" fillId="7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2" applyFont="1" applyBorder="1" applyAlignment="1">
      <alignment horizontal="center"/>
    </xf>
    <xf numFmtId="44" fontId="0" fillId="0" borderId="2" xfId="2" applyFont="1" applyBorder="1"/>
    <xf numFmtId="44" fontId="2" fillId="9" borderId="6" xfId="2" applyFont="1" applyFill="1" applyBorder="1" applyAlignment="1">
      <alignment horizontal="center"/>
    </xf>
    <xf numFmtId="44" fontId="0" fillId="0" borderId="21" xfId="2" applyFont="1" applyBorder="1" applyAlignment="1">
      <alignment horizontal="center"/>
    </xf>
    <xf numFmtId="44" fontId="0" fillId="0" borderId="2" xfId="2" applyFont="1" applyBorder="1" applyAlignment="1">
      <alignment horizontal="right"/>
    </xf>
    <xf numFmtId="44" fontId="0" fillId="5" borderId="2" xfId="2" applyFont="1" applyFill="1" applyBorder="1"/>
    <xf numFmtId="44" fontId="0" fillId="0" borderId="30" xfId="2" applyFont="1" applyBorder="1" applyAlignment="1">
      <alignment horizontal="center"/>
    </xf>
    <xf numFmtId="44" fontId="0" fillId="0" borderId="0" xfId="2" applyFont="1" applyBorder="1"/>
    <xf numFmtId="44" fontId="0" fillId="0" borderId="31" xfId="2" applyFont="1" applyBorder="1"/>
    <xf numFmtId="44" fontId="2" fillId="9" borderId="32" xfId="2" applyFont="1" applyFill="1" applyBorder="1" applyAlignment="1">
      <alignment horizontal="center"/>
    </xf>
    <xf numFmtId="44" fontId="0" fillId="0" borderId="27" xfId="2" applyFont="1" applyBorder="1" applyAlignment="1">
      <alignment horizontal="center"/>
    </xf>
    <xf numFmtId="44" fontId="0" fillId="0" borderId="23" xfId="2" applyFont="1" applyBorder="1" applyAlignment="1">
      <alignment horizontal="right"/>
    </xf>
    <xf numFmtId="44" fontId="0" fillId="0" borderId="33" xfId="2" applyFont="1" applyBorder="1" applyAlignment="1">
      <alignment horizontal="right"/>
    </xf>
    <xf numFmtId="44" fontId="0" fillId="5" borderId="33" xfId="2" applyFont="1" applyFill="1" applyBorder="1" applyAlignment="1">
      <alignment horizontal="right"/>
    </xf>
    <xf numFmtId="44" fontId="0" fillId="0" borderId="1" xfId="2" applyFont="1" applyBorder="1" applyAlignment="1">
      <alignment horizontal="right"/>
    </xf>
    <xf numFmtId="44" fontId="0" fillId="0" borderId="24" xfId="2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44" fontId="2" fillId="9" borderId="38" xfId="2" applyFont="1" applyFill="1" applyBorder="1" applyAlignment="1">
      <alignment horizontal="center"/>
    </xf>
    <xf numFmtId="44" fontId="0" fillId="0" borderId="39" xfId="2" applyFont="1" applyBorder="1" applyAlignment="1">
      <alignment horizontal="center"/>
    </xf>
    <xf numFmtId="44" fontId="0" fillId="0" borderId="33" xfId="2" applyFont="1" applyBorder="1" applyAlignment="1">
      <alignment horizontal="center"/>
    </xf>
    <xf numFmtId="44" fontId="0" fillId="5" borderId="33" xfId="2" applyFont="1" applyFill="1" applyBorder="1"/>
    <xf numFmtId="44" fontId="0" fillId="0" borderId="33" xfId="2" applyFont="1" applyBorder="1"/>
    <xf numFmtId="44" fontId="0" fillId="0" borderId="24" xfId="2" applyFont="1" applyBorder="1"/>
    <xf numFmtId="166" fontId="0" fillId="3" borderId="1" xfId="1" applyNumberFormat="1" applyFont="1" applyFill="1" applyBorder="1"/>
    <xf numFmtId="0" fontId="2" fillId="5" borderId="1" xfId="0" applyFont="1" applyFill="1" applyBorder="1" applyAlignment="1">
      <alignment horizontal="center"/>
    </xf>
    <xf numFmtId="0" fontId="0" fillId="0" borderId="40" xfId="0" applyFill="1" applyBorder="1"/>
    <xf numFmtId="44" fontId="0" fillId="0" borderId="5" xfId="2" applyFont="1" applyBorder="1"/>
    <xf numFmtId="164" fontId="0" fillId="0" borderId="5" xfId="1" applyNumberFormat="1" applyFont="1" applyBorder="1"/>
    <xf numFmtId="44" fontId="0" fillId="0" borderId="5" xfId="2" applyFont="1" applyFill="1" applyBorder="1"/>
    <xf numFmtId="167" fontId="0" fillId="0" borderId="0" xfId="2" applyNumberFormat="1" applyFont="1"/>
    <xf numFmtId="167" fontId="0" fillId="0" borderId="1" xfId="2" applyNumberFormat="1" applyFont="1" applyBorder="1"/>
    <xf numFmtId="44" fontId="0" fillId="3" borderId="1" xfId="2" applyFont="1" applyFill="1" applyBorder="1"/>
    <xf numFmtId="0" fontId="0" fillId="0" borderId="1" xfId="0" applyBorder="1" applyAlignment="1">
      <alignment horizontal="center"/>
    </xf>
    <xf numFmtId="15" fontId="2" fillId="6" borderId="5" xfId="0" applyNumberFormat="1" applyFont="1" applyFill="1" applyBorder="1" applyAlignment="1">
      <alignment horizontal="center" vertical="center"/>
    </xf>
    <xf numFmtId="15" fontId="2" fillId="6" borderId="4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44" fontId="2" fillId="8" borderId="17" xfId="2" applyFont="1" applyFill="1" applyBorder="1" applyAlignment="1">
      <alignment horizontal="center" wrapText="1"/>
    </xf>
    <xf numFmtId="44" fontId="2" fillId="8" borderId="24" xfId="2" applyFont="1" applyFill="1" applyBorder="1" applyAlignment="1">
      <alignment horizontal="center" wrapText="1"/>
    </xf>
    <xf numFmtId="44" fontId="3" fillId="4" borderId="16" xfId="2" applyFont="1" applyFill="1" applyBorder="1" applyAlignment="1">
      <alignment horizontal="center" vertical="center"/>
    </xf>
    <xf numFmtId="44" fontId="3" fillId="4" borderId="19" xfId="2" applyFont="1" applyFill="1" applyBorder="1" applyAlignment="1">
      <alignment horizontal="center" vertical="center"/>
    </xf>
    <xf numFmtId="44" fontId="2" fillId="8" borderId="16" xfId="2" applyFont="1" applyFill="1" applyBorder="1" applyAlignment="1">
      <alignment horizontal="center"/>
    </xf>
    <xf numFmtId="44" fontId="2" fillId="8" borderId="19" xfId="2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M30"/>
  <sheetViews>
    <sheetView showGridLines="0" zoomScale="80" zoomScaleNormal="80" workbookViewId="0"/>
  </sheetViews>
  <sheetFormatPr defaultRowHeight="14.5" x14ac:dyDescent="0.35"/>
  <cols>
    <col min="1" max="1" width="22.7265625" bestFit="1" customWidth="1"/>
    <col min="2" max="2" width="13.7265625" style="1" bestFit="1" customWidth="1"/>
    <col min="3" max="3" width="15.26953125" style="1" bestFit="1" customWidth="1"/>
    <col min="4" max="4" width="21.453125" style="1" customWidth="1"/>
    <col min="5" max="5" width="14.26953125" style="1" bestFit="1" customWidth="1"/>
    <col min="6" max="6" width="27.1796875" style="1" customWidth="1"/>
    <col min="7" max="7" width="14.81640625" style="13" bestFit="1" customWidth="1"/>
    <col min="8" max="8" width="28.54296875" bestFit="1" customWidth="1"/>
    <col min="9" max="9" width="12.453125" bestFit="1" customWidth="1"/>
    <col min="10" max="10" width="13.54296875" customWidth="1"/>
    <col min="11" max="11" width="13.54296875" style="78" customWidth="1"/>
    <col min="12" max="12" width="11.54296875" style="8" bestFit="1" customWidth="1"/>
    <col min="13" max="13" width="35.1796875" bestFit="1" customWidth="1"/>
  </cols>
  <sheetData>
    <row r="2" spans="1:13" x14ac:dyDescent="0.35">
      <c r="A2" s="19"/>
      <c r="B2" s="24" t="s">
        <v>40</v>
      </c>
      <c r="C2" s="24" t="s">
        <v>1</v>
      </c>
      <c r="D2" s="24" t="s">
        <v>57</v>
      </c>
      <c r="E2" s="24" t="s">
        <v>2</v>
      </c>
      <c r="F2" s="24" t="s">
        <v>58</v>
      </c>
      <c r="G2" s="25" t="s">
        <v>3</v>
      </c>
      <c r="H2" s="19" t="s">
        <v>6</v>
      </c>
      <c r="I2" s="19" t="s">
        <v>5</v>
      </c>
      <c r="J2" s="19" t="s">
        <v>7</v>
      </c>
      <c r="K2" s="77" t="s">
        <v>106</v>
      </c>
      <c r="L2" s="26" t="s">
        <v>49</v>
      </c>
      <c r="M2" s="23" t="s">
        <v>28</v>
      </c>
    </row>
    <row r="3" spans="1:13" x14ac:dyDescent="0.35">
      <c r="A3" s="19" t="s">
        <v>44</v>
      </c>
      <c r="B3" s="24">
        <v>100000</v>
      </c>
      <c r="C3" s="24">
        <f>'ICICI Amazon Pay Card'!C11</f>
        <v>285415.40000000002</v>
      </c>
      <c r="D3" s="24">
        <v>0</v>
      </c>
      <c r="E3" s="24">
        <f>IF(IF(D3=0,0,(D3-C3))&lt;=0,0,(D3-C3))</f>
        <v>0</v>
      </c>
      <c r="F3" s="24">
        <f ca="1">'ICICI Amazon Pay Card'!C21</f>
        <v>23124.35</v>
      </c>
      <c r="G3" s="25">
        <f>'ICICI Amazon Pay Card'!C13</f>
        <v>6238</v>
      </c>
      <c r="H3" s="27">
        <f t="shared" ref="H3:H4" si="0">C3/G3</f>
        <v>45.754312279576794</v>
      </c>
      <c r="I3" s="27">
        <f>'ICICI Amazon Pay Card'!C14</f>
        <v>1</v>
      </c>
      <c r="J3" s="27">
        <f t="shared" ref="J3:J4" si="1">I3*G3</f>
        <v>6238</v>
      </c>
      <c r="K3" s="77">
        <f>(J3)/C3</f>
        <v>2.1855863418722324E-2</v>
      </c>
      <c r="L3" s="28">
        <f>'ICICI Amazon Pay Card'!C18</f>
        <v>24</v>
      </c>
      <c r="M3" s="19" t="s">
        <v>67</v>
      </c>
    </row>
    <row r="4" spans="1:13" x14ac:dyDescent="0.35">
      <c r="A4" s="19" t="s">
        <v>45</v>
      </c>
      <c r="B4" s="24">
        <v>55000</v>
      </c>
      <c r="C4" s="24">
        <f>'CiTi Rewards Card'!C9</f>
        <v>171202.85</v>
      </c>
      <c r="D4" s="24">
        <v>30000</v>
      </c>
      <c r="E4" s="97">
        <f>'CiTi Rewards Card'!C10</f>
        <v>0</v>
      </c>
      <c r="F4" s="29">
        <f ca="1">'CiTi Rewards Card'!C19</f>
        <v>39769.230000000003</v>
      </c>
      <c r="G4" s="25">
        <f>'CiTi Rewards Card'!C11</f>
        <v>9053</v>
      </c>
      <c r="H4" s="27">
        <f t="shared" si="0"/>
        <v>18.911173091792776</v>
      </c>
      <c r="I4" s="27">
        <f>'CiTi Rewards Card'!C12</f>
        <v>0.35</v>
      </c>
      <c r="J4" s="27">
        <f t="shared" si="1"/>
        <v>3168.5499999999997</v>
      </c>
      <c r="K4" s="77">
        <f t="shared" ref="K4:K15" si="2">(J4)/C4</f>
        <v>1.8507577414745138E-2</v>
      </c>
      <c r="L4" s="28">
        <f>'CiTi Rewards Card'!C16</f>
        <v>26</v>
      </c>
      <c r="M4" s="19" t="s">
        <v>68</v>
      </c>
    </row>
    <row r="5" spans="1:13" x14ac:dyDescent="0.35">
      <c r="A5" s="19" t="s">
        <v>65</v>
      </c>
      <c r="B5" s="24">
        <v>177000</v>
      </c>
      <c r="C5" s="24">
        <f>'CiTi IOC Card'!C8</f>
        <v>79087.459999999992</v>
      </c>
      <c r="D5" s="24">
        <v>0</v>
      </c>
      <c r="E5" s="29">
        <f t="shared" ref="E5:E11" si="3">IF(IF(D5=0,0,(D5-C5))&lt;=0,0,(D5-C5))</f>
        <v>0</v>
      </c>
      <c r="F5" s="29">
        <f ca="1">'CiTi IOC Card'!C18</f>
        <v>14968.74</v>
      </c>
      <c r="G5" s="25">
        <f>'CiTi IOC Card'!C10</f>
        <v>2643</v>
      </c>
      <c r="H5" s="27">
        <f t="shared" ref="H5" si="4">C5/G5</f>
        <v>29.923367385546722</v>
      </c>
      <c r="I5" s="27">
        <f>'CiTi IOC Card'!C11</f>
        <v>1</v>
      </c>
      <c r="J5" s="27">
        <f t="shared" ref="J5" si="5">I5*G5</f>
        <v>2643</v>
      </c>
      <c r="K5" s="77">
        <f t="shared" si="2"/>
        <v>3.3418698741873872E-2</v>
      </c>
      <c r="L5" s="28">
        <f>'CiTi IOC Card'!C15</f>
        <v>18</v>
      </c>
      <c r="M5" s="19" t="s">
        <v>69</v>
      </c>
    </row>
    <row r="6" spans="1:13" x14ac:dyDescent="0.35">
      <c r="A6" s="19" t="s">
        <v>48</v>
      </c>
      <c r="B6" s="24">
        <v>50000</v>
      </c>
      <c r="C6" s="24">
        <f>'AmEx Card'!C10</f>
        <v>112503.5</v>
      </c>
      <c r="D6" s="24">
        <v>40000</v>
      </c>
      <c r="E6" s="97">
        <f>'AmEx Card'!C11</f>
        <v>0</v>
      </c>
      <c r="F6" s="29">
        <f ca="1">'AmEx Card'!C20</f>
        <v>3015.08</v>
      </c>
      <c r="G6" s="25">
        <f>'AmEx Card'!C12</f>
        <v>11639</v>
      </c>
      <c r="H6" s="27">
        <f t="shared" ref="H6:H13" si="6">C6/G6</f>
        <v>9.6660795600996643</v>
      </c>
      <c r="I6" s="27">
        <f>'AmEx Card'!C13</f>
        <v>0.41</v>
      </c>
      <c r="J6" s="27">
        <f t="shared" ref="J6:J13" si="7">I6*G6</f>
        <v>4771.99</v>
      </c>
      <c r="K6" s="77">
        <f t="shared" si="2"/>
        <v>4.2416369268511646E-2</v>
      </c>
      <c r="L6" s="28">
        <f>'AmEx Card'!C17</f>
        <v>22</v>
      </c>
      <c r="M6" s="19" t="s">
        <v>73</v>
      </c>
    </row>
    <row r="7" spans="1:13" x14ac:dyDescent="0.35">
      <c r="A7" s="19" t="s">
        <v>56</v>
      </c>
      <c r="B7" s="24">
        <v>0</v>
      </c>
      <c r="C7" s="24">
        <f>'AmEx Charge Card'!C7</f>
        <v>134539</v>
      </c>
      <c r="D7" s="24">
        <v>0</v>
      </c>
      <c r="E7" s="29">
        <f t="shared" si="3"/>
        <v>0</v>
      </c>
      <c r="F7" s="29">
        <f ca="1">'AmEx Charge Card'!C17</f>
        <v>6000</v>
      </c>
      <c r="G7" s="25">
        <f>'AmEx Charge Card'!C9</f>
        <v>30499</v>
      </c>
      <c r="H7" s="27">
        <f t="shared" si="6"/>
        <v>4.4112593855536248</v>
      </c>
      <c r="I7" s="27">
        <f>I6</f>
        <v>0.41</v>
      </c>
      <c r="J7" s="27">
        <f t="shared" si="7"/>
        <v>12504.59</v>
      </c>
      <c r="K7" s="77">
        <f t="shared" si="2"/>
        <v>9.2943979069266158E-2</v>
      </c>
      <c r="L7" s="28">
        <f>'AmEx Charge Card'!C14</f>
        <v>20</v>
      </c>
      <c r="M7" s="19" t="s">
        <v>70</v>
      </c>
    </row>
    <row r="8" spans="1:13" x14ac:dyDescent="0.35">
      <c r="A8" s="75" t="s">
        <v>105</v>
      </c>
      <c r="B8" s="24">
        <v>150000</v>
      </c>
      <c r="C8" s="24">
        <f>'AmEx Membership Card'!C7</f>
        <v>83341.899999999994</v>
      </c>
      <c r="D8" s="24">
        <v>0</v>
      </c>
      <c r="E8" s="29">
        <f t="shared" si="3"/>
        <v>0</v>
      </c>
      <c r="F8" s="29">
        <f ca="1">'AmEx Membership Card'!C17</f>
        <v>17245</v>
      </c>
      <c r="G8" s="25">
        <f>'AmEx Membership Card'!C9</f>
        <v>34680</v>
      </c>
      <c r="H8" s="27">
        <f t="shared" si="6"/>
        <v>2.4031689734717414</v>
      </c>
      <c r="I8" s="27">
        <f>I7</f>
        <v>0.41</v>
      </c>
      <c r="J8" s="27">
        <f t="shared" si="7"/>
        <v>14218.8</v>
      </c>
      <c r="K8" s="77">
        <f t="shared" si="2"/>
        <v>0.17060806149127869</v>
      </c>
      <c r="L8" s="28">
        <f>'AmEx Membership Card'!C14</f>
        <v>15</v>
      </c>
      <c r="M8" s="75" t="s">
        <v>70</v>
      </c>
    </row>
    <row r="9" spans="1:13" x14ac:dyDescent="0.35">
      <c r="A9" s="19" t="s">
        <v>46</v>
      </c>
      <c r="B9" s="24">
        <v>50000</v>
      </c>
      <c r="C9" s="24">
        <f>'IndusInd Aura'!C5</f>
        <v>57864.409999999996</v>
      </c>
      <c r="D9" s="24">
        <v>0</v>
      </c>
      <c r="E9" s="24">
        <f t="shared" si="3"/>
        <v>0</v>
      </c>
      <c r="F9" s="29">
        <f ca="1">'IndusInd Aura'!C13</f>
        <v>0</v>
      </c>
      <c r="G9" s="25">
        <f>'IndusInd Aura'!C7</f>
        <v>269</v>
      </c>
      <c r="H9" s="27">
        <f t="shared" si="6"/>
        <v>215.10933085501858</v>
      </c>
      <c r="I9" s="27">
        <f>'IndusInd Aura'!C9</f>
        <v>0.35</v>
      </c>
      <c r="J9" s="27">
        <f t="shared" si="7"/>
        <v>94.149999999999991</v>
      </c>
      <c r="K9" s="77">
        <f t="shared" si="2"/>
        <v>1.6270795813869009E-3</v>
      </c>
      <c r="L9" s="28">
        <f>'IndusInd Aura'!C12</f>
        <v>14</v>
      </c>
      <c r="M9" s="19" t="s">
        <v>71</v>
      </c>
    </row>
    <row r="10" spans="1:13" x14ac:dyDescent="0.35">
      <c r="A10" s="19" t="s">
        <v>47</v>
      </c>
      <c r="B10" s="24">
        <v>30000</v>
      </c>
      <c r="C10" s="24">
        <f>'ICICI Coral Card'!C8</f>
        <v>54719.409999999989</v>
      </c>
      <c r="D10" s="24">
        <v>0</v>
      </c>
      <c r="E10" s="24">
        <f t="shared" si="3"/>
        <v>0</v>
      </c>
      <c r="F10" s="29">
        <f ca="1">'ICICI Coral Card'!C17</f>
        <v>0</v>
      </c>
      <c r="G10" s="25">
        <f>'ICICI Coral Card'!C10</f>
        <v>1035</v>
      </c>
      <c r="H10" s="27">
        <f t="shared" si="6"/>
        <v>52.868995169082112</v>
      </c>
      <c r="I10" s="27">
        <f>'ICICI Coral Card'!C11</f>
        <v>0.25</v>
      </c>
      <c r="J10" s="27">
        <f t="shared" si="7"/>
        <v>258.75</v>
      </c>
      <c r="K10" s="77">
        <f t="shared" si="2"/>
        <v>4.7286694063404565E-3</v>
      </c>
      <c r="L10" s="28">
        <f>'ICICI Coral Card'!C15</f>
        <v>23</v>
      </c>
      <c r="M10" s="19" t="s">
        <v>109</v>
      </c>
    </row>
    <row r="11" spans="1:13" x14ac:dyDescent="0.35">
      <c r="A11" s="19" t="s">
        <v>62</v>
      </c>
      <c r="B11" s="24">
        <v>51000</v>
      </c>
      <c r="C11" s="24">
        <f>'ICICI MMT Card'!C8</f>
        <v>16907</v>
      </c>
      <c r="D11" s="24">
        <v>0</v>
      </c>
      <c r="E11" s="24">
        <f t="shared" si="3"/>
        <v>0</v>
      </c>
      <c r="F11" s="29">
        <f ca="1">'ICICI MMT Card'!C17</f>
        <v>8836</v>
      </c>
      <c r="G11" s="25">
        <f>'ICICI MMT Card'!C10</f>
        <v>160</v>
      </c>
      <c r="H11" s="27">
        <f t="shared" si="6"/>
        <v>105.66875</v>
      </c>
      <c r="I11" s="27">
        <v>1</v>
      </c>
      <c r="J11" s="27">
        <f t="shared" si="7"/>
        <v>160</v>
      </c>
      <c r="K11" s="77">
        <f t="shared" si="2"/>
        <v>9.463535813568345E-3</v>
      </c>
      <c r="L11" s="28">
        <f>'ICICI MMT Card'!C15</f>
        <v>15</v>
      </c>
      <c r="M11" s="19" t="s">
        <v>72</v>
      </c>
    </row>
    <row r="12" spans="1:13" x14ac:dyDescent="0.35">
      <c r="A12" s="19" t="s">
        <v>66</v>
      </c>
      <c r="B12" s="24">
        <v>100000</v>
      </c>
      <c r="C12" s="24">
        <f>'SBI Simply Save'!C8</f>
        <v>193063.08000000002</v>
      </c>
      <c r="D12" s="24">
        <v>100000</v>
      </c>
      <c r="E12" s="30">
        <f>'SBI Simply Save'!C9</f>
        <v>64050.92</v>
      </c>
      <c r="F12" s="29">
        <f ca="1">'SBI Simply Save'!C18</f>
        <v>587</v>
      </c>
      <c r="G12" s="25">
        <f>'SBI Simply Save'!C10</f>
        <v>5699</v>
      </c>
      <c r="H12" s="27">
        <f t="shared" si="6"/>
        <v>33.876659062993511</v>
      </c>
      <c r="I12" s="27">
        <v>0.25</v>
      </c>
      <c r="J12" s="27">
        <f t="shared" si="7"/>
        <v>1424.75</v>
      </c>
      <c r="K12" s="77">
        <f t="shared" si="2"/>
        <v>7.3797123717284519E-3</v>
      </c>
      <c r="L12" s="28">
        <f>'SBI Simply Save'!C15</f>
        <v>17</v>
      </c>
      <c r="M12" s="19" t="s">
        <v>104</v>
      </c>
    </row>
    <row r="13" spans="1:13" x14ac:dyDescent="0.35">
      <c r="A13" s="95" t="s">
        <v>125</v>
      </c>
      <c r="B13" s="24">
        <v>143000</v>
      </c>
      <c r="C13" s="24">
        <f>'HSBC Platinum Card'!C5</f>
        <v>57530.45</v>
      </c>
      <c r="D13" s="24">
        <v>0</v>
      </c>
      <c r="E13" s="29">
        <v>0</v>
      </c>
      <c r="F13" s="29">
        <f ca="1">'HSBC Platinum Card'!C15</f>
        <v>30293.200000000001</v>
      </c>
      <c r="G13" s="25">
        <f>'HSBC Platinum Card'!C7</f>
        <v>771</v>
      </c>
      <c r="H13" s="27">
        <f t="shared" si="6"/>
        <v>74.617963683527876</v>
      </c>
      <c r="I13" s="27">
        <v>0.33</v>
      </c>
      <c r="J13" s="27">
        <f t="shared" si="7"/>
        <v>254.43</v>
      </c>
      <c r="K13" s="77">
        <f t="shared" si="2"/>
        <v>4.4225275484547754E-3</v>
      </c>
      <c r="L13" s="28">
        <f>'HSBC Platinum Card'!C12</f>
        <v>5</v>
      </c>
      <c r="M13" s="95" t="s">
        <v>148</v>
      </c>
    </row>
    <row r="14" spans="1:13" x14ac:dyDescent="0.35">
      <c r="A14" s="98" t="s">
        <v>134</v>
      </c>
      <c r="B14" s="24">
        <v>50000</v>
      </c>
      <c r="C14" s="24">
        <f>'SBI Prime Card'!C5</f>
        <v>305017.72000000003</v>
      </c>
      <c r="D14" s="24">
        <v>300000</v>
      </c>
      <c r="E14" s="30">
        <f>'SBI Prime Card'!C6</f>
        <v>-5017.7200000000303</v>
      </c>
      <c r="F14" s="29">
        <f>'SBI Prime Card'!F6</f>
        <v>30784.77</v>
      </c>
      <c r="G14" s="25">
        <f>'SBI Prime Card'!C7</f>
        <v>6820</v>
      </c>
      <c r="H14" s="27">
        <f t="shared" ref="H14:H15" si="8">C14/G14</f>
        <v>44.72400586510264</v>
      </c>
      <c r="I14" s="27">
        <v>0.25</v>
      </c>
      <c r="J14" s="27">
        <f t="shared" ref="J14:J15" si="9">I14*G14</f>
        <v>1705</v>
      </c>
      <c r="K14" s="77">
        <f t="shared" si="2"/>
        <v>5.5898391739338943E-3</v>
      </c>
      <c r="L14" s="28">
        <f>'SBI Prime Card'!C12</f>
        <v>12</v>
      </c>
      <c r="M14" s="92"/>
    </row>
    <row r="15" spans="1:13" x14ac:dyDescent="0.35">
      <c r="A15" s="98" t="s">
        <v>142</v>
      </c>
      <c r="B15" s="24">
        <v>100000</v>
      </c>
      <c r="C15" s="24">
        <f>'CiTi PayTM Card'!C5</f>
        <v>55114.39</v>
      </c>
      <c r="D15" s="24">
        <v>50000</v>
      </c>
      <c r="E15" s="97">
        <f>'CiTi PayTM Card'!C6</f>
        <v>0</v>
      </c>
      <c r="F15" s="29">
        <f ca="1">'CiTi PayTM Card'!C15</f>
        <v>10000</v>
      </c>
      <c r="G15" s="25">
        <f>'CiTi PayTM Card'!C7</f>
        <v>552</v>
      </c>
      <c r="H15" s="27">
        <f t="shared" si="8"/>
        <v>99.844909420289852</v>
      </c>
      <c r="I15" s="27">
        <v>1</v>
      </c>
      <c r="J15" s="27">
        <f t="shared" si="9"/>
        <v>552</v>
      </c>
      <c r="K15" s="77">
        <f t="shared" si="2"/>
        <v>1.0015533148420947E-2</v>
      </c>
      <c r="L15" s="28">
        <f>'CiTi PayTM Card'!C12</f>
        <v>7</v>
      </c>
      <c r="M15" s="92"/>
    </row>
    <row r="16" spans="1:13" x14ac:dyDescent="0.35">
      <c r="A16" s="98" t="s">
        <v>143</v>
      </c>
      <c r="B16" s="24">
        <v>80000</v>
      </c>
      <c r="C16" s="24">
        <v>0</v>
      </c>
      <c r="D16" s="24">
        <v>0</v>
      </c>
      <c r="E16" s="29">
        <v>0</v>
      </c>
      <c r="F16" s="29"/>
      <c r="G16" s="25"/>
      <c r="H16" s="27"/>
      <c r="I16" s="27"/>
      <c r="J16" s="27"/>
      <c r="K16" s="77"/>
      <c r="L16" s="28"/>
      <c r="M16" s="92"/>
    </row>
    <row r="17" spans="1:13" x14ac:dyDescent="0.35">
      <c r="A17" s="102" t="s">
        <v>147</v>
      </c>
      <c r="B17" s="24">
        <v>240000</v>
      </c>
      <c r="C17" s="24"/>
      <c r="D17" s="24"/>
      <c r="E17" s="29"/>
      <c r="F17" s="29"/>
      <c r="G17" s="25"/>
      <c r="H17" s="27"/>
      <c r="I17" s="27"/>
      <c r="J17" s="27"/>
      <c r="K17" s="77"/>
      <c r="L17" s="28"/>
      <c r="M17" s="92"/>
    </row>
    <row r="18" spans="1:13" x14ac:dyDescent="0.35">
      <c r="A18" s="138" t="s">
        <v>152</v>
      </c>
      <c r="B18" s="24">
        <v>100000</v>
      </c>
      <c r="C18" s="24"/>
      <c r="D18" s="24"/>
      <c r="E18" s="29"/>
      <c r="F18" s="29"/>
      <c r="G18" s="25"/>
      <c r="H18" s="27"/>
      <c r="I18" s="27"/>
      <c r="J18" s="27"/>
      <c r="K18" s="77"/>
      <c r="L18" s="28"/>
      <c r="M18" s="92"/>
    </row>
    <row r="19" spans="1:13" x14ac:dyDescent="0.35">
      <c r="A19" s="138" t="s">
        <v>153</v>
      </c>
      <c r="B19" s="24">
        <v>260000</v>
      </c>
      <c r="C19" s="24"/>
      <c r="D19" s="24"/>
      <c r="E19" s="29"/>
      <c r="F19" s="29"/>
      <c r="G19" s="25"/>
      <c r="H19" s="27"/>
      <c r="I19" s="27"/>
      <c r="J19" s="27"/>
      <c r="K19" s="77"/>
      <c r="L19" s="28"/>
      <c r="M19" s="92"/>
    </row>
    <row r="20" spans="1:13" x14ac:dyDescent="0.35">
      <c r="A20" s="23" t="s">
        <v>42</v>
      </c>
      <c r="B20" s="24">
        <f>SUM(B2:B19)</f>
        <v>1736000</v>
      </c>
      <c r="C20" s="24">
        <f>SUM(C2:C12)</f>
        <v>1188644.01</v>
      </c>
      <c r="D20" s="31">
        <f>SUM(D2:D17)</f>
        <v>520000</v>
      </c>
      <c r="E20" s="30">
        <f>SUM(E1:E17)</f>
        <v>59033.199999999968</v>
      </c>
      <c r="F20" s="30">
        <f ca="1">SUM(F2:F12)</f>
        <v>113545.40000000001</v>
      </c>
      <c r="G20" s="25"/>
      <c r="H20" s="27"/>
      <c r="I20" s="19"/>
      <c r="J20" s="19"/>
      <c r="K20" s="77"/>
      <c r="L20" s="28">
        <f>AVERAGE(L1:L17)</f>
        <v>16.76923076923077</v>
      </c>
      <c r="M20" s="32"/>
    </row>
    <row r="21" spans="1:13" x14ac:dyDescent="0.35">
      <c r="A21" s="6" t="s">
        <v>64</v>
      </c>
      <c r="B21" s="20">
        <f ca="1">F20/B20</f>
        <v>6.5406336405529952E-2</v>
      </c>
    </row>
    <row r="24" spans="1:13" x14ac:dyDescent="0.35">
      <c r="A24" t="s">
        <v>117</v>
      </c>
      <c r="B24" s="1" t="s">
        <v>116</v>
      </c>
      <c r="C24" s="1" t="s">
        <v>121</v>
      </c>
    </row>
    <row r="25" spans="1:13" x14ac:dyDescent="0.35">
      <c r="A25" t="s">
        <v>118</v>
      </c>
      <c r="B25" s="1" t="s">
        <v>116</v>
      </c>
      <c r="C25" s="1" t="s">
        <v>66</v>
      </c>
      <c r="D25" s="1" t="s">
        <v>134</v>
      </c>
    </row>
    <row r="26" spans="1:13" x14ac:dyDescent="0.35">
      <c r="A26" t="s">
        <v>119</v>
      </c>
      <c r="B26" s="1" t="s">
        <v>116</v>
      </c>
    </row>
    <row r="27" spans="1:13" x14ac:dyDescent="0.35">
      <c r="A27" t="s">
        <v>122</v>
      </c>
      <c r="B27" s="1" t="s">
        <v>66</v>
      </c>
      <c r="C27" s="1" t="s">
        <v>134</v>
      </c>
    </row>
    <row r="28" spans="1:13" x14ac:dyDescent="0.35">
      <c r="A28" t="s">
        <v>120</v>
      </c>
      <c r="B28" s="1" t="s">
        <v>142</v>
      </c>
    </row>
    <row r="29" spans="1:13" x14ac:dyDescent="0.35">
      <c r="A29" t="s">
        <v>149</v>
      </c>
      <c r="B29" s="1" t="s">
        <v>150</v>
      </c>
    </row>
    <row r="30" spans="1:13" x14ac:dyDescent="0.35">
      <c r="A30" t="s">
        <v>17</v>
      </c>
      <c r="B30" s="1" t="s">
        <v>134</v>
      </c>
      <c r="C30" s="1" t="s">
        <v>151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4"/>
  <sheetViews>
    <sheetView showGridLines="0" zoomScale="80" zoomScaleNormal="80" workbookViewId="0"/>
  </sheetViews>
  <sheetFormatPr defaultRowHeight="14.5" x14ac:dyDescent="0.35"/>
  <cols>
    <col min="2" max="2" width="31" bestFit="1" customWidth="1"/>
    <col min="3" max="3" width="20.26953125" bestFit="1" customWidth="1"/>
    <col min="5" max="5" width="11.90625" bestFit="1" customWidth="1"/>
    <col min="6" max="6" width="13.1796875" bestFit="1" customWidth="1"/>
    <col min="7" max="7" width="13.6328125" style="8" bestFit="1" customWidth="1"/>
    <col min="8" max="8" width="24.54296875" bestFit="1" customWidth="1"/>
    <col min="10" max="10" width="8" bestFit="1" customWidth="1"/>
    <col min="11" max="11" width="38.1796875" bestFit="1" customWidth="1"/>
    <col min="12" max="12" width="9.453125" bestFit="1" customWidth="1"/>
  </cols>
  <sheetData>
    <row r="1" spans="1:13" x14ac:dyDescent="0.35">
      <c r="A1" s="1"/>
    </row>
    <row r="2" spans="1:13" x14ac:dyDescent="0.35">
      <c r="E2" s="167" t="s">
        <v>28</v>
      </c>
      <c r="F2" s="167"/>
      <c r="G2" s="167"/>
      <c r="H2" s="167"/>
      <c r="I2" s="167"/>
      <c r="J2" s="167"/>
      <c r="K2" s="167"/>
      <c r="L2" s="167"/>
    </row>
    <row r="3" spans="1:13" x14ac:dyDescent="0.35">
      <c r="E3" s="168" t="s">
        <v>86</v>
      </c>
      <c r="F3" s="168"/>
      <c r="G3" s="168"/>
      <c r="H3" s="168"/>
      <c r="I3" s="168"/>
      <c r="J3" s="168"/>
      <c r="K3" s="168"/>
      <c r="L3" s="168"/>
    </row>
    <row r="5" spans="1:13" x14ac:dyDescent="0.35">
      <c r="B5" s="167" t="s">
        <v>9</v>
      </c>
      <c r="C5" s="167"/>
      <c r="E5" s="167" t="s">
        <v>8</v>
      </c>
      <c r="F5" s="167"/>
      <c r="G5" s="167"/>
      <c r="H5" s="167"/>
      <c r="J5" s="10"/>
      <c r="K5" s="18" t="s">
        <v>13</v>
      </c>
      <c r="L5" s="10" t="s">
        <v>14</v>
      </c>
    </row>
    <row r="6" spans="1:13" x14ac:dyDescent="0.35">
      <c r="B6" s="3" t="s">
        <v>40</v>
      </c>
      <c r="C6" s="4">
        <v>177000</v>
      </c>
      <c r="E6" s="22" t="s">
        <v>4</v>
      </c>
      <c r="F6" s="79" t="s">
        <v>1</v>
      </c>
      <c r="G6" s="81" t="s">
        <v>3</v>
      </c>
      <c r="H6" s="22" t="s">
        <v>6</v>
      </c>
      <c r="J6" s="82" t="s">
        <v>10</v>
      </c>
      <c r="K6" s="3" t="s">
        <v>85</v>
      </c>
      <c r="L6" s="3" t="s">
        <v>87</v>
      </c>
    </row>
    <row r="7" spans="1:13" x14ac:dyDescent="0.35">
      <c r="B7" s="3" t="s">
        <v>0</v>
      </c>
      <c r="C7" s="4">
        <v>0</v>
      </c>
      <c r="E7" s="3">
        <v>201907</v>
      </c>
      <c r="F7" s="7">
        <v>4424</v>
      </c>
      <c r="G7" s="9">
        <v>315</v>
      </c>
      <c r="H7" s="7">
        <f t="shared" ref="H7:H16" si="0">IFERROR(F7/G7,0)</f>
        <v>14.044444444444444</v>
      </c>
      <c r="J7" s="83" t="s">
        <v>108</v>
      </c>
      <c r="K7" s="3" t="s">
        <v>38</v>
      </c>
      <c r="L7" s="3"/>
    </row>
    <row r="8" spans="1:13" x14ac:dyDescent="0.35">
      <c r="B8" s="3" t="s">
        <v>1</v>
      </c>
      <c r="C8" s="5">
        <f>SUM(F:F)</f>
        <v>79087.459999999992</v>
      </c>
      <c r="E8" s="6">
        <v>201908</v>
      </c>
      <c r="F8" s="7">
        <v>7427.75</v>
      </c>
      <c r="G8" s="9">
        <v>44</v>
      </c>
      <c r="H8" s="7">
        <f t="shared" si="0"/>
        <v>168.8125</v>
      </c>
    </row>
    <row r="9" spans="1:13" x14ac:dyDescent="0.35">
      <c r="B9" s="3" t="s">
        <v>2</v>
      </c>
      <c r="C9" s="33">
        <f>IF(C7=0,0,C7-C8)</f>
        <v>0</v>
      </c>
      <c r="E9" s="3">
        <v>201909</v>
      </c>
      <c r="F9" s="5">
        <f>64594.95-62700</f>
        <v>1894.9499999999971</v>
      </c>
      <c r="G9" s="9">
        <v>42</v>
      </c>
      <c r="H9" s="7">
        <f t="shared" si="0"/>
        <v>45.117857142857076</v>
      </c>
    </row>
    <row r="10" spans="1:13" x14ac:dyDescent="0.35">
      <c r="B10" s="3" t="s">
        <v>3</v>
      </c>
      <c r="C10" s="9">
        <f>SUM(G7:G1048564)</f>
        <v>2643</v>
      </c>
      <c r="E10" s="3">
        <v>201910</v>
      </c>
      <c r="F10" s="76">
        <v>2935.53</v>
      </c>
      <c r="G10" s="9">
        <v>55</v>
      </c>
      <c r="H10" s="7">
        <f t="shared" si="0"/>
        <v>53.373272727272727</v>
      </c>
    </row>
    <row r="11" spans="1:13" x14ac:dyDescent="0.35">
      <c r="B11" s="3" t="s">
        <v>50</v>
      </c>
      <c r="C11" s="4">
        <v>1</v>
      </c>
      <c r="E11" s="6">
        <v>201911</v>
      </c>
      <c r="F11" s="76">
        <v>2119.85</v>
      </c>
      <c r="G11" s="9">
        <v>14</v>
      </c>
      <c r="H11" s="7">
        <f t="shared" si="0"/>
        <v>151.41785714285714</v>
      </c>
      <c r="K11" s="2"/>
    </row>
    <row r="12" spans="1:13" x14ac:dyDescent="0.35">
      <c r="B12" s="3" t="s">
        <v>7</v>
      </c>
      <c r="C12" s="4">
        <f>C10*C11</f>
        <v>2643</v>
      </c>
      <c r="E12" s="3">
        <v>201912</v>
      </c>
      <c r="F12" s="76">
        <v>2867.82</v>
      </c>
      <c r="G12" s="9">
        <v>34</v>
      </c>
      <c r="H12" s="7">
        <f t="shared" si="0"/>
        <v>84.34764705882354</v>
      </c>
      <c r="K12" s="2"/>
    </row>
    <row r="13" spans="1:13" x14ac:dyDescent="0.35">
      <c r="B13" s="3" t="s">
        <v>6</v>
      </c>
      <c r="C13" s="4">
        <f>C8/C10</f>
        <v>29.923367385546722</v>
      </c>
      <c r="E13" s="6">
        <v>202001</v>
      </c>
      <c r="F13" s="76">
        <v>3270.32</v>
      </c>
      <c r="G13" s="9">
        <v>21</v>
      </c>
      <c r="H13" s="7">
        <f t="shared" si="0"/>
        <v>155.72952380952381</v>
      </c>
    </row>
    <row r="14" spans="1:13" x14ac:dyDescent="0.35">
      <c r="B14" s="6" t="s">
        <v>18</v>
      </c>
      <c r="C14" s="3" t="s">
        <v>36</v>
      </c>
      <c r="E14" s="6">
        <v>202002</v>
      </c>
      <c r="F14" s="85">
        <v>8753</v>
      </c>
      <c r="G14" s="9">
        <v>76</v>
      </c>
      <c r="H14" s="7">
        <f t="shared" si="0"/>
        <v>115.17105263157895</v>
      </c>
    </row>
    <row r="15" spans="1:13" x14ac:dyDescent="0.35">
      <c r="B15" s="6" t="s">
        <v>41</v>
      </c>
      <c r="C15" s="3">
        <f>COUNTA(E6:E1048576)-1</f>
        <v>18</v>
      </c>
      <c r="E15" s="6">
        <v>202003</v>
      </c>
      <c r="F15" s="76">
        <v>2172.1</v>
      </c>
      <c r="G15" s="9">
        <v>28</v>
      </c>
      <c r="H15" s="7">
        <f t="shared" si="0"/>
        <v>77.575000000000003</v>
      </c>
    </row>
    <row r="16" spans="1:13" s="8" customFormat="1" x14ac:dyDescent="0.35">
      <c r="A16"/>
      <c r="B16" s="6" t="s">
        <v>51</v>
      </c>
      <c r="C16" s="9">
        <v>0.8</v>
      </c>
      <c r="D16"/>
      <c r="E16" s="6">
        <v>202004</v>
      </c>
      <c r="F16" s="76">
        <v>0</v>
      </c>
      <c r="G16" s="9">
        <v>0</v>
      </c>
      <c r="H16" s="7">
        <f t="shared" si="0"/>
        <v>0</v>
      </c>
      <c r="I16"/>
      <c r="J16"/>
      <c r="K16"/>
      <c r="L16"/>
      <c r="M16"/>
    </row>
    <row r="17" spans="1:13" s="8" customFormat="1" x14ac:dyDescent="0.35">
      <c r="A17"/>
      <c r="B17" s="6" t="s">
        <v>52</v>
      </c>
      <c r="C17" s="9">
        <f>(1/C13)*100</f>
        <v>3.3418698741873878</v>
      </c>
      <c r="D17"/>
      <c r="E17" s="6">
        <v>202005</v>
      </c>
      <c r="F17" s="76">
        <v>0</v>
      </c>
      <c r="G17" s="9">
        <v>0</v>
      </c>
      <c r="H17" s="7">
        <f t="shared" ref="H17:H24" si="1">IFERROR(F17/G17,0)</f>
        <v>0</v>
      </c>
      <c r="I17"/>
      <c r="J17"/>
      <c r="K17"/>
      <c r="L17"/>
      <c r="M17"/>
    </row>
    <row r="18" spans="1:13" s="8" customFormat="1" x14ac:dyDescent="0.35">
      <c r="A18"/>
      <c r="B18" s="7" t="s">
        <v>58</v>
      </c>
      <c r="C18" s="4">
        <f ca="1">INDIRECT("F"&amp;COUNTA(F:F)+5)</f>
        <v>14968.74</v>
      </c>
      <c r="D18"/>
      <c r="E18" s="6">
        <v>202006</v>
      </c>
      <c r="F18" s="76">
        <v>1481.85</v>
      </c>
      <c r="G18" s="9">
        <v>27</v>
      </c>
      <c r="H18" s="7">
        <f t="shared" si="1"/>
        <v>54.883333333333333</v>
      </c>
      <c r="I18"/>
      <c r="J18"/>
      <c r="K18"/>
      <c r="L18"/>
      <c r="M18"/>
    </row>
    <row r="19" spans="1:13" s="8" customFormat="1" x14ac:dyDescent="0.35">
      <c r="A19"/>
      <c r="B19" s="6" t="s">
        <v>60</v>
      </c>
      <c r="C19" s="17">
        <f>C12/C8</f>
        <v>3.3418698741873872E-2</v>
      </c>
      <c r="D19"/>
      <c r="E19" s="6">
        <v>202007</v>
      </c>
      <c r="F19" s="76">
        <v>2500</v>
      </c>
      <c r="G19" s="9">
        <v>15</v>
      </c>
      <c r="H19" s="7">
        <f t="shared" si="1"/>
        <v>166.66666666666666</v>
      </c>
      <c r="I19"/>
      <c r="J19"/>
      <c r="K19"/>
      <c r="L19"/>
      <c r="M19"/>
    </row>
    <row r="20" spans="1:13" x14ac:dyDescent="0.35">
      <c r="E20" s="6">
        <v>202008</v>
      </c>
      <c r="F20" s="76">
        <v>2500</v>
      </c>
      <c r="G20" s="9">
        <v>15</v>
      </c>
      <c r="H20" s="7">
        <f t="shared" si="1"/>
        <v>166.66666666666666</v>
      </c>
    </row>
    <row r="21" spans="1:13" x14ac:dyDescent="0.35">
      <c r="E21" s="6">
        <v>202009</v>
      </c>
      <c r="F21" s="76">
        <v>6688.8</v>
      </c>
      <c r="G21" s="9">
        <v>161</v>
      </c>
      <c r="H21" s="7">
        <f t="shared" si="1"/>
        <v>41.545341614906832</v>
      </c>
    </row>
    <row r="22" spans="1:13" x14ac:dyDescent="0.35">
      <c r="E22" s="6">
        <v>202010</v>
      </c>
      <c r="F22" s="76">
        <v>12506.72</v>
      </c>
      <c r="G22" s="9">
        <v>1333</v>
      </c>
      <c r="H22" s="7">
        <f t="shared" si="1"/>
        <v>9.3823855963991001</v>
      </c>
    </row>
    <row r="23" spans="1:13" x14ac:dyDescent="0.35">
      <c r="E23" s="6">
        <v>202011</v>
      </c>
      <c r="F23" s="76">
        <v>2576.0300000000002</v>
      </c>
      <c r="G23" s="9">
        <v>69</v>
      </c>
      <c r="H23" s="7">
        <f t="shared" si="1"/>
        <v>37.333768115942028</v>
      </c>
      <c r="J23" s="2"/>
      <c r="K23" s="2"/>
    </row>
    <row r="24" spans="1:13" x14ac:dyDescent="0.35">
      <c r="E24" s="6">
        <v>202012</v>
      </c>
      <c r="F24" s="76">
        <v>14968.74</v>
      </c>
      <c r="G24" s="9">
        <v>394</v>
      </c>
      <c r="H24" s="7">
        <f t="shared" si="1"/>
        <v>37.991725888324872</v>
      </c>
    </row>
  </sheetData>
  <mergeCells count="4">
    <mergeCell ref="E2:L2"/>
    <mergeCell ref="E3:L3"/>
    <mergeCell ref="B5:C5"/>
    <mergeCell ref="E5:H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30"/>
  <sheetViews>
    <sheetView showGridLines="0" topLeftCell="A2" zoomScale="80" zoomScaleNormal="80" workbookViewId="0"/>
  </sheetViews>
  <sheetFormatPr defaultRowHeight="14.5" x14ac:dyDescent="0.35"/>
  <cols>
    <col min="2" max="2" width="31" customWidth="1"/>
    <col min="3" max="3" width="19.26953125" bestFit="1" customWidth="1"/>
    <col min="5" max="5" width="11.90625" bestFit="1" customWidth="1"/>
    <col min="6" max="6" width="13.1796875" style="135" bestFit="1" customWidth="1"/>
    <col min="7" max="7" width="13.6328125" style="13" bestFit="1" customWidth="1"/>
    <col min="8" max="8" width="12.36328125" style="1" bestFit="1" customWidth="1"/>
    <col min="10" max="10" width="8" customWidth="1"/>
    <col min="11" max="11" width="8.453125" customWidth="1"/>
    <col min="12" max="12" width="8.7265625" customWidth="1"/>
    <col min="13" max="13" width="7.7265625" customWidth="1"/>
    <col min="14" max="14" width="12.453125" customWidth="1"/>
    <col min="15" max="15" width="8.81640625" customWidth="1"/>
    <col min="17" max="17" width="41.54296875" bestFit="1" customWidth="1"/>
  </cols>
  <sheetData>
    <row r="1" spans="1:15" x14ac:dyDescent="0.35">
      <c r="A1" s="2"/>
    </row>
    <row r="2" spans="1:15" x14ac:dyDescent="0.35">
      <c r="E2" s="167" t="s">
        <v>28</v>
      </c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x14ac:dyDescent="0.35">
      <c r="E3" s="168" t="s">
        <v>91</v>
      </c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x14ac:dyDescent="0.35">
      <c r="E4" s="168" t="s">
        <v>33</v>
      </c>
      <c r="F4" s="168"/>
      <c r="G4" s="168"/>
      <c r="H4" s="168"/>
      <c r="I4" s="168"/>
      <c r="J4" s="168"/>
      <c r="K4" s="168"/>
      <c r="L4" s="168"/>
      <c r="M4" s="168"/>
      <c r="N4" s="168"/>
      <c r="O4" s="168"/>
    </row>
    <row r="5" spans="1:15" x14ac:dyDescent="0.35">
      <c r="E5" s="168" t="s">
        <v>32</v>
      </c>
      <c r="F5" s="168"/>
      <c r="G5" s="168"/>
      <c r="H5" s="168"/>
      <c r="I5" s="168"/>
      <c r="J5" s="168"/>
      <c r="K5" s="168"/>
      <c r="L5" s="168"/>
      <c r="M5" s="168"/>
      <c r="N5" s="168"/>
      <c r="O5" s="168"/>
    </row>
    <row r="7" spans="1:15" x14ac:dyDescent="0.35">
      <c r="B7" s="167" t="s">
        <v>9</v>
      </c>
      <c r="C7" s="167"/>
      <c r="E7" s="167" t="s">
        <v>8</v>
      </c>
      <c r="F7" s="167"/>
      <c r="G7" s="167"/>
      <c r="H7" s="167"/>
      <c r="J7" s="10"/>
      <c r="K7" s="167" t="s">
        <v>13</v>
      </c>
      <c r="L7" s="167"/>
      <c r="M7" s="167"/>
      <c r="N7" s="167"/>
      <c r="O7" s="10" t="s">
        <v>14</v>
      </c>
    </row>
    <row r="8" spans="1:15" x14ac:dyDescent="0.35">
      <c r="B8" s="3" t="s">
        <v>40</v>
      </c>
      <c r="C8" s="4">
        <v>50000</v>
      </c>
      <c r="E8" s="3" t="s">
        <v>4</v>
      </c>
      <c r="F8" s="136" t="s">
        <v>1</v>
      </c>
      <c r="G8" s="11" t="s">
        <v>3</v>
      </c>
      <c r="H8" s="4" t="s">
        <v>7</v>
      </c>
      <c r="J8" s="169" t="s">
        <v>10</v>
      </c>
      <c r="K8" s="3" t="s">
        <v>61</v>
      </c>
      <c r="L8" s="3" t="s">
        <v>11</v>
      </c>
      <c r="M8" s="34"/>
      <c r="O8" s="3" t="s">
        <v>15</v>
      </c>
    </row>
    <row r="9" spans="1:15" x14ac:dyDescent="0.35">
      <c r="B9" s="3" t="s">
        <v>0</v>
      </c>
      <c r="C9" s="4">
        <v>40000</v>
      </c>
      <c r="E9" s="3">
        <v>201903</v>
      </c>
      <c r="F9" s="136">
        <v>17038.490000000002</v>
      </c>
      <c r="G9" s="11">
        <v>307</v>
      </c>
      <c r="H9" s="4">
        <f>IFERROR(F9/G9,0)</f>
        <v>55.4999674267101</v>
      </c>
      <c r="J9" s="169"/>
      <c r="K9" s="3" t="s">
        <v>88</v>
      </c>
      <c r="L9" s="3" t="s">
        <v>89</v>
      </c>
      <c r="M9" s="3" t="s">
        <v>90</v>
      </c>
      <c r="N9" s="3" t="s">
        <v>22</v>
      </c>
      <c r="O9" s="3" t="s">
        <v>16</v>
      </c>
    </row>
    <row r="10" spans="1:15" x14ac:dyDescent="0.35">
      <c r="B10" s="3" t="s">
        <v>1</v>
      </c>
      <c r="C10" s="5">
        <f>SUM(F:F)</f>
        <v>112503.5</v>
      </c>
      <c r="E10" s="3">
        <v>201904</v>
      </c>
      <c r="F10" s="136">
        <v>576</v>
      </c>
      <c r="G10" s="11">
        <v>42</v>
      </c>
      <c r="H10" s="4">
        <f t="shared" ref="H10:H30" si="0">IFERROR(F10/G10,0)</f>
        <v>13.714285714285714</v>
      </c>
      <c r="J10" s="83" t="s">
        <v>108</v>
      </c>
      <c r="K10" s="3" t="s">
        <v>17</v>
      </c>
      <c r="L10" s="3"/>
      <c r="M10" s="3"/>
      <c r="N10" s="3" t="s">
        <v>20</v>
      </c>
      <c r="O10" s="3"/>
    </row>
    <row r="11" spans="1:15" x14ac:dyDescent="0.35">
      <c r="B11" s="3" t="s">
        <v>2</v>
      </c>
      <c r="C11" s="96">
        <f>IF(C9-SUM(F21:F32)&lt;0,0,C9-SUM(F21:F32))</f>
        <v>0</v>
      </c>
      <c r="E11" s="3">
        <v>201905</v>
      </c>
      <c r="F11" s="136">
        <v>8402.4</v>
      </c>
      <c r="G11" s="11">
        <f>450+138</f>
        <v>588</v>
      </c>
      <c r="H11" s="4">
        <f t="shared" si="0"/>
        <v>14.289795918367346</v>
      </c>
    </row>
    <row r="12" spans="1:15" x14ac:dyDescent="0.35">
      <c r="B12" s="3" t="s">
        <v>3</v>
      </c>
      <c r="C12" s="9">
        <f>SUM(G9:G1048576)</f>
        <v>11639</v>
      </c>
      <c r="E12" s="3">
        <v>201906</v>
      </c>
      <c r="F12" s="136">
        <v>436</v>
      </c>
      <c r="G12" s="11">
        <f>40+71</f>
        <v>111</v>
      </c>
      <c r="H12" s="4">
        <f t="shared" si="0"/>
        <v>3.9279279279279278</v>
      </c>
    </row>
    <row r="13" spans="1:15" x14ac:dyDescent="0.35">
      <c r="B13" s="3" t="s">
        <v>50</v>
      </c>
      <c r="C13" s="4">
        <v>0.41</v>
      </c>
      <c r="E13" s="3">
        <v>201907</v>
      </c>
      <c r="F13" s="136">
        <v>1260.5</v>
      </c>
      <c r="G13" s="11">
        <f>4000+44+14</f>
        <v>4058</v>
      </c>
      <c r="H13" s="4">
        <f t="shared" si="0"/>
        <v>0.31062099556431738</v>
      </c>
    </row>
    <row r="14" spans="1:15" x14ac:dyDescent="0.35">
      <c r="B14" s="3" t="s">
        <v>7</v>
      </c>
      <c r="C14" s="4">
        <f>C12*C13</f>
        <v>4771.99</v>
      </c>
      <c r="E14" s="3">
        <v>201908</v>
      </c>
      <c r="F14" s="136">
        <v>1217.99</v>
      </c>
      <c r="G14" s="11">
        <f>61+66+131+144+1</f>
        <v>403</v>
      </c>
      <c r="H14" s="4">
        <f t="shared" si="0"/>
        <v>3.0223076923076921</v>
      </c>
    </row>
    <row r="15" spans="1:15" x14ac:dyDescent="0.35">
      <c r="B15" s="3" t="s">
        <v>6</v>
      </c>
      <c r="C15" s="4">
        <f>C10/C12</f>
        <v>9.6660795600996643</v>
      </c>
      <c r="E15" s="3">
        <v>201909</v>
      </c>
      <c r="F15" s="136">
        <v>6691.82</v>
      </c>
      <c r="G15" s="11">
        <v>767</v>
      </c>
      <c r="H15" s="4">
        <f t="shared" si="0"/>
        <v>8.7246675358539765</v>
      </c>
    </row>
    <row r="16" spans="1:15" x14ac:dyDescent="0.35">
      <c r="B16" s="6" t="s">
        <v>18</v>
      </c>
      <c r="C16" s="3" t="s">
        <v>19</v>
      </c>
      <c r="E16" s="6">
        <v>201910</v>
      </c>
      <c r="F16" s="136">
        <v>7051.39</v>
      </c>
      <c r="G16" s="11">
        <v>446</v>
      </c>
      <c r="H16" s="4">
        <f t="shared" si="0"/>
        <v>15.810291479820629</v>
      </c>
    </row>
    <row r="17" spans="2:10" x14ac:dyDescent="0.35">
      <c r="B17" s="6" t="s">
        <v>41</v>
      </c>
      <c r="C17" s="3">
        <f>COUNTA(E9:E1048576)</f>
        <v>22</v>
      </c>
      <c r="E17" s="6">
        <v>201911</v>
      </c>
      <c r="F17" s="136">
        <v>2235.27</v>
      </c>
      <c r="G17" s="11">
        <f>104+45+32</f>
        <v>181</v>
      </c>
      <c r="H17" s="4">
        <f t="shared" si="0"/>
        <v>12.349558011049723</v>
      </c>
    </row>
    <row r="18" spans="2:10" x14ac:dyDescent="0.35">
      <c r="B18" s="6" t="s">
        <v>51</v>
      </c>
      <c r="C18" s="11">
        <v>2</v>
      </c>
      <c r="E18" s="6">
        <v>201912</v>
      </c>
      <c r="F18" s="136">
        <v>9692.4</v>
      </c>
      <c r="G18" s="11">
        <v>720</v>
      </c>
      <c r="H18" s="4">
        <f t="shared" si="0"/>
        <v>13.461666666666666</v>
      </c>
    </row>
    <row r="19" spans="2:10" x14ac:dyDescent="0.35">
      <c r="B19" s="6" t="s">
        <v>52</v>
      </c>
      <c r="C19" s="9">
        <f>(1/C15)*100</f>
        <v>10.345455919149183</v>
      </c>
      <c r="E19" s="6">
        <v>202001</v>
      </c>
      <c r="F19" s="136">
        <v>6779.45</v>
      </c>
      <c r="G19" s="11">
        <f>45+98</f>
        <v>143</v>
      </c>
      <c r="H19" s="4">
        <f t="shared" si="0"/>
        <v>47.408741258741259</v>
      </c>
    </row>
    <row r="20" spans="2:10" x14ac:dyDescent="0.35">
      <c r="B20" s="7" t="s">
        <v>58</v>
      </c>
      <c r="C20" s="4">
        <f ca="1">INDIRECT("F"&amp;COUNTA(F:F)+7)</f>
        <v>3015.08</v>
      </c>
      <c r="E20" s="6">
        <v>202002</v>
      </c>
      <c r="F20" s="136">
        <v>2799.07</v>
      </c>
      <c r="G20" s="11">
        <v>315</v>
      </c>
      <c r="H20" s="4">
        <f t="shared" si="0"/>
        <v>8.885936507936508</v>
      </c>
    </row>
    <row r="21" spans="2:10" x14ac:dyDescent="0.35">
      <c r="B21" s="6" t="s">
        <v>60</v>
      </c>
      <c r="C21" s="17">
        <f>C14/C10</f>
        <v>4.2416369268511646E-2</v>
      </c>
      <c r="E21" s="6">
        <v>202003</v>
      </c>
      <c r="F21" s="136">
        <v>7017.67</v>
      </c>
      <c r="G21" s="11">
        <v>493</v>
      </c>
      <c r="H21" s="4">
        <f t="shared" si="0"/>
        <v>14.234624746450304</v>
      </c>
    </row>
    <row r="22" spans="2:10" x14ac:dyDescent="0.35">
      <c r="E22" s="3">
        <v>202004</v>
      </c>
      <c r="F22" s="136">
        <v>11618</v>
      </c>
      <c r="G22" s="11">
        <v>915</v>
      </c>
      <c r="H22" s="4">
        <f t="shared" si="0"/>
        <v>12.697267759562841</v>
      </c>
    </row>
    <row r="23" spans="2:10" x14ac:dyDescent="0.35">
      <c r="E23" s="6">
        <v>202005</v>
      </c>
      <c r="F23" s="136">
        <v>4899.92</v>
      </c>
      <c r="G23" s="11">
        <v>280</v>
      </c>
      <c r="H23" s="4">
        <f t="shared" si="0"/>
        <v>17.499714285714287</v>
      </c>
    </row>
    <row r="24" spans="2:10" x14ac:dyDescent="0.35">
      <c r="E24" s="6">
        <v>202006</v>
      </c>
      <c r="F24" s="136">
        <v>1497.38</v>
      </c>
      <c r="G24" s="11">
        <f>188+48</f>
        <v>236</v>
      </c>
      <c r="H24" s="4">
        <f t="shared" si="0"/>
        <v>6.3448305084745771</v>
      </c>
    </row>
    <row r="25" spans="2:10" x14ac:dyDescent="0.35">
      <c r="E25" s="6">
        <v>202007</v>
      </c>
      <c r="F25" s="136">
        <v>1403</v>
      </c>
      <c r="G25" s="11">
        <f>31+112+27</f>
        <v>170</v>
      </c>
      <c r="H25" s="4">
        <f t="shared" si="0"/>
        <v>8.2529411764705891</v>
      </c>
    </row>
    <row r="26" spans="2:10" x14ac:dyDescent="0.35">
      <c r="E26" s="6">
        <v>202008</v>
      </c>
      <c r="F26" s="136">
        <v>880</v>
      </c>
      <c r="G26" s="11">
        <f>40-27</f>
        <v>13</v>
      </c>
      <c r="H26" s="4">
        <f t="shared" si="0"/>
        <v>67.692307692307693</v>
      </c>
    </row>
    <row r="27" spans="2:10" x14ac:dyDescent="0.35">
      <c r="E27" s="6">
        <v>202009</v>
      </c>
      <c r="F27" s="136">
        <v>11945.53</v>
      </c>
      <c r="G27" s="11">
        <v>235</v>
      </c>
      <c r="H27" s="4">
        <f t="shared" si="0"/>
        <v>50.832042553191492</v>
      </c>
    </row>
    <row r="28" spans="2:10" x14ac:dyDescent="0.35">
      <c r="E28" s="6">
        <v>202010</v>
      </c>
      <c r="F28" s="136">
        <v>4864.1400000000003</v>
      </c>
      <c r="G28" s="11">
        <f>170+135+400</f>
        <v>705</v>
      </c>
      <c r="H28" s="4">
        <f t="shared" si="0"/>
        <v>6.8994893617021278</v>
      </c>
    </row>
    <row r="29" spans="2:10" x14ac:dyDescent="0.35">
      <c r="E29" s="6">
        <v>202011</v>
      </c>
      <c r="F29" s="136">
        <v>1182</v>
      </c>
      <c r="G29" s="11">
        <v>250</v>
      </c>
      <c r="H29" s="4">
        <f t="shared" si="0"/>
        <v>4.7279999999999998</v>
      </c>
    </row>
    <row r="30" spans="2:10" x14ac:dyDescent="0.35">
      <c r="E30" s="6">
        <v>202012</v>
      </c>
      <c r="F30" s="136">
        <v>3015.08</v>
      </c>
      <c r="G30" s="11">
        <v>261</v>
      </c>
      <c r="H30" s="4">
        <f t="shared" si="0"/>
        <v>11.552030651340996</v>
      </c>
      <c r="J30" s="78"/>
    </row>
  </sheetData>
  <mergeCells count="8">
    <mergeCell ref="B7:C7"/>
    <mergeCell ref="J8:J9"/>
    <mergeCell ref="K7:N7"/>
    <mergeCell ref="E2:O2"/>
    <mergeCell ref="E3:O3"/>
    <mergeCell ref="E4:O4"/>
    <mergeCell ref="E5:O5"/>
    <mergeCell ref="E7:H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H25"/>
  <sheetViews>
    <sheetView showGridLines="0" zoomScale="80" zoomScaleNormal="80" workbookViewId="0">
      <selection activeCell="C17" sqref="C17"/>
    </sheetView>
  </sheetViews>
  <sheetFormatPr defaultRowHeight="14.5" x14ac:dyDescent="0.35"/>
  <cols>
    <col min="2" max="2" width="31" bestFit="1" customWidth="1"/>
    <col min="3" max="3" width="21.7265625" bestFit="1" customWidth="1"/>
    <col min="5" max="5" width="11.90625" bestFit="1" customWidth="1"/>
    <col min="6" max="6" width="13.1796875" style="1" bestFit="1" customWidth="1"/>
    <col min="7" max="7" width="13.6328125" style="13" bestFit="1" customWidth="1"/>
    <col min="8" max="8" width="12.36328125" style="1" bestFit="1" customWidth="1"/>
  </cols>
  <sheetData>
    <row r="2" spans="2:8" x14ac:dyDescent="0.35">
      <c r="B2" s="170" t="s">
        <v>55</v>
      </c>
      <c r="C2" s="170"/>
      <c r="D2" s="170"/>
    </row>
    <row r="4" spans="2:8" x14ac:dyDescent="0.35">
      <c r="B4" s="167" t="s">
        <v>9</v>
      </c>
      <c r="C4" s="167"/>
      <c r="E4" s="167" t="s">
        <v>8</v>
      </c>
      <c r="F4" s="167"/>
      <c r="G4" s="167"/>
      <c r="H4" s="167"/>
    </row>
    <row r="5" spans="2:8" x14ac:dyDescent="0.35">
      <c r="B5" s="3" t="s">
        <v>40</v>
      </c>
      <c r="C5" s="4">
        <v>0</v>
      </c>
      <c r="E5" s="3" t="s">
        <v>4</v>
      </c>
      <c r="F5" s="4" t="s">
        <v>1</v>
      </c>
      <c r="G5" s="11" t="s">
        <v>3</v>
      </c>
      <c r="H5" s="4" t="s">
        <v>7</v>
      </c>
    </row>
    <row r="6" spans="2:8" x14ac:dyDescent="0.35">
      <c r="B6" s="3" t="s">
        <v>0</v>
      </c>
      <c r="C6" s="16">
        <v>0</v>
      </c>
      <c r="E6" s="3">
        <v>201905</v>
      </c>
      <c r="F6" s="4">
        <v>7180</v>
      </c>
      <c r="G6" s="11">
        <v>5060</v>
      </c>
      <c r="H6" s="4">
        <f t="shared" ref="H6:H25" si="0">IFERROR(F6/G6,0)</f>
        <v>1.4189723320158103</v>
      </c>
    </row>
    <row r="7" spans="2:8" x14ac:dyDescent="0.35">
      <c r="B7" s="3" t="s">
        <v>1</v>
      </c>
      <c r="C7" s="4">
        <f>SUM(F:F)</f>
        <v>134539</v>
      </c>
      <c r="E7" s="3">
        <v>201906</v>
      </c>
      <c r="F7" s="4">
        <v>6000</v>
      </c>
      <c r="G7" s="11">
        <v>120</v>
      </c>
      <c r="H7" s="4">
        <f t="shared" si="0"/>
        <v>50</v>
      </c>
    </row>
    <row r="8" spans="2:8" x14ac:dyDescent="0.35">
      <c r="B8" s="3" t="s">
        <v>2</v>
      </c>
      <c r="C8" s="16">
        <f>IF(C6=0,0,C6-C7)</f>
        <v>0</v>
      </c>
      <c r="E8" s="3">
        <v>201907</v>
      </c>
      <c r="F8" s="4">
        <v>6325</v>
      </c>
      <c r="G8" s="11">
        <f>1000+128</f>
        <v>1128</v>
      </c>
      <c r="H8" s="4">
        <f t="shared" si="0"/>
        <v>5.6072695035460995</v>
      </c>
    </row>
    <row r="9" spans="2:8" x14ac:dyDescent="0.35">
      <c r="B9" s="3" t="s">
        <v>3</v>
      </c>
      <c r="C9" s="9">
        <f>SUM(G6:G1048576)</f>
        <v>30499</v>
      </c>
      <c r="E9" s="3">
        <v>201908</v>
      </c>
      <c r="F9" s="4">
        <v>6174</v>
      </c>
      <c r="G9" s="11">
        <v>1120</v>
      </c>
      <c r="H9" s="4">
        <f t="shared" si="0"/>
        <v>5.5125000000000002</v>
      </c>
    </row>
    <row r="10" spans="2:8" x14ac:dyDescent="0.35">
      <c r="B10" s="3" t="s">
        <v>50</v>
      </c>
      <c r="C10" s="4">
        <v>0.41</v>
      </c>
      <c r="E10" s="3">
        <v>201909</v>
      </c>
      <c r="F10" s="4">
        <v>6000</v>
      </c>
      <c r="G10" s="11">
        <v>1120</v>
      </c>
      <c r="H10" s="4">
        <f t="shared" si="0"/>
        <v>5.3571428571428568</v>
      </c>
    </row>
    <row r="11" spans="2:8" x14ac:dyDescent="0.35">
      <c r="B11" s="3" t="s">
        <v>7</v>
      </c>
      <c r="C11" s="4">
        <f>C9*C10</f>
        <v>12504.59</v>
      </c>
      <c r="E11" s="6">
        <v>201910</v>
      </c>
      <c r="F11" s="4">
        <v>7550</v>
      </c>
      <c r="G11" s="11">
        <v>1151</v>
      </c>
      <c r="H11" s="4">
        <f t="shared" si="0"/>
        <v>6.5595134665508255</v>
      </c>
    </row>
    <row r="12" spans="2:8" x14ac:dyDescent="0.35">
      <c r="B12" s="3" t="s">
        <v>6</v>
      </c>
      <c r="C12" s="4">
        <f>C7/C9</f>
        <v>4.4112593855536248</v>
      </c>
      <c r="E12" s="6">
        <v>201911</v>
      </c>
      <c r="F12" s="4">
        <v>6000</v>
      </c>
      <c r="G12" s="11">
        <v>1120</v>
      </c>
      <c r="H12" s="4">
        <f t="shared" si="0"/>
        <v>5.3571428571428568</v>
      </c>
    </row>
    <row r="13" spans="2:8" x14ac:dyDescent="0.35">
      <c r="B13" s="6" t="s">
        <v>18</v>
      </c>
      <c r="C13" s="9" t="s">
        <v>54</v>
      </c>
      <c r="E13" s="6">
        <v>201912</v>
      </c>
      <c r="F13" s="4">
        <v>6000</v>
      </c>
      <c r="G13" s="11">
        <v>1120</v>
      </c>
      <c r="H13" s="4">
        <f t="shared" si="0"/>
        <v>5.3571428571428568</v>
      </c>
    </row>
    <row r="14" spans="2:8" x14ac:dyDescent="0.35">
      <c r="B14" s="6" t="s">
        <v>41</v>
      </c>
      <c r="C14" s="11">
        <f>COUNTA(E6:E1048576)</f>
        <v>20</v>
      </c>
      <c r="E14" s="6">
        <v>202001</v>
      </c>
      <c r="F14" s="4">
        <v>6000</v>
      </c>
      <c r="G14" s="11">
        <v>1120</v>
      </c>
      <c r="H14" s="4">
        <f t="shared" si="0"/>
        <v>5.3571428571428568</v>
      </c>
    </row>
    <row r="15" spans="2:8" x14ac:dyDescent="0.35">
      <c r="B15" s="6" t="s">
        <v>51</v>
      </c>
      <c r="C15" s="9">
        <v>2</v>
      </c>
      <c r="E15" s="6">
        <v>202002</v>
      </c>
      <c r="F15" s="4">
        <v>6000</v>
      </c>
      <c r="G15" s="11">
        <v>1120</v>
      </c>
      <c r="H15" s="4">
        <f t="shared" si="0"/>
        <v>5.3571428571428568</v>
      </c>
    </row>
    <row r="16" spans="2:8" x14ac:dyDescent="0.35">
      <c r="B16" s="6" t="s">
        <v>52</v>
      </c>
      <c r="C16" s="9">
        <f>(1/C12)*100</f>
        <v>22.669263187625894</v>
      </c>
      <c r="E16" s="6">
        <v>202003</v>
      </c>
      <c r="F16" s="4">
        <v>6000</v>
      </c>
      <c r="G16" s="11">
        <v>1120</v>
      </c>
      <c r="H16" s="4">
        <f t="shared" si="0"/>
        <v>5.3571428571428568</v>
      </c>
    </row>
    <row r="17" spans="2:8" x14ac:dyDescent="0.35">
      <c r="B17" s="7" t="s">
        <v>58</v>
      </c>
      <c r="C17" s="4">
        <f ca="1">INDIRECT("F"&amp;COUNTA(F:F)+4)</f>
        <v>6000</v>
      </c>
      <c r="E17" s="6">
        <v>202004</v>
      </c>
      <c r="F17" s="4">
        <v>6000</v>
      </c>
      <c r="G17" s="11">
        <v>1120</v>
      </c>
      <c r="H17" s="4">
        <f t="shared" si="0"/>
        <v>5.3571428571428568</v>
      </c>
    </row>
    <row r="18" spans="2:8" x14ac:dyDescent="0.35">
      <c r="B18" s="6" t="s">
        <v>60</v>
      </c>
      <c r="C18" s="17">
        <f>C11/C7</f>
        <v>9.2943979069266158E-2</v>
      </c>
      <c r="E18" s="6">
        <v>202005</v>
      </c>
      <c r="F18" s="4">
        <v>11310</v>
      </c>
      <c r="G18" s="11">
        <v>1120</v>
      </c>
      <c r="H18" s="4">
        <f t="shared" si="0"/>
        <v>10.098214285714286</v>
      </c>
    </row>
    <row r="19" spans="2:8" x14ac:dyDescent="0.35">
      <c r="E19" s="6">
        <v>202006</v>
      </c>
      <c r="F19" s="4">
        <v>6000</v>
      </c>
      <c r="G19" s="11">
        <v>1120</v>
      </c>
      <c r="H19" s="4">
        <f t="shared" si="0"/>
        <v>5.3571428571428568</v>
      </c>
    </row>
    <row r="20" spans="2:8" x14ac:dyDescent="0.35">
      <c r="E20" s="6">
        <v>202007</v>
      </c>
      <c r="F20" s="4">
        <v>12000</v>
      </c>
      <c r="G20" s="11">
        <v>2240</v>
      </c>
      <c r="H20" s="4">
        <f t="shared" si="0"/>
        <v>5.3571428571428568</v>
      </c>
    </row>
    <row r="21" spans="2:8" x14ac:dyDescent="0.35">
      <c r="E21" s="6">
        <v>202008</v>
      </c>
      <c r="F21" s="4">
        <v>6000</v>
      </c>
      <c r="G21" s="11">
        <v>6120</v>
      </c>
      <c r="H21" s="4">
        <f t="shared" si="0"/>
        <v>0.98039215686274506</v>
      </c>
    </row>
    <row r="22" spans="2:8" x14ac:dyDescent="0.35">
      <c r="E22" s="6">
        <v>202009</v>
      </c>
      <c r="F22" s="4">
        <v>0</v>
      </c>
      <c r="G22" s="11">
        <v>0</v>
      </c>
      <c r="H22" s="4">
        <f t="shared" si="0"/>
        <v>0</v>
      </c>
    </row>
    <row r="23" spans="2:8" x14ac:dyDescent="0.35">
      <c r="E23" s="6">
        <v>202010</v>
      </c>
      <c r="F23" s="4">
        <v>6000</v>
      </c>
      <c r="G23" s="11">
        <v>1120</v>
      </c>
      <c r="H23" s="4">
        <f t="shared" si="0"/>
        <v>5.3571428571428568</v>
      </c>
    </row>
    <row r="24" spans="2:8" x14ac:dyDescent="0.35">
      <c r="E24" s="6">
        <v>202011</v>
      </c>
      <c r="F24" s="4">
        <v>12000</v>
      </c>
      <c r="G24" s="11">
        <v>1240</v>
      </c>
      <c r="H24" s="4">
        <f t="shared" si="0"/>
        <v>9.67741935483871</v>
      </c>
    </row>
    <row r="25" spans="2:8" x14ac:dyDescent="0.35">
      <c r="E25" s="6">
        <v>202012</v>
      </c>
      <c r="F25" s="4">
        <v>6000</v>
      </c>
      <c r="G25" s="11">
        <v>1120</v>
      </c>
      <c r="H25" s="4">
        <f t="shared" si="0"/>
        <v>5.3571428571428568</v>
      </c>
    </row>
  </sheetData>
  <mergeCells count="3">
    <mergeCell ref="B4:C4"/>
    <mergeCell ref="B2:D2"/>
    <mergeCell ref="E4:H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61BA-9297-4A51-AA8B-5699420B129D}">
  <sheetPr codeName="Sheet9"/>
  <dimension ref="B2:H20"/>
  <sheetViews>
    <sheetView showGridLines="0" zoomScale="80" zoomScaleNormal="80" workbookViewId="0">
      <selection activeCell="F6" sqref="F6:F20"/>
    </sheetView>
  </sheetViews>
  <sheetFormatPr defaultRowHeight="14.5" x14ac:dyDescent="0.35"/>
  <cols>
    <col min="2" max="2" width="31" bestFit="1" customWidth="1"/>
    <col min="3" max="3" width="21.7265625" bestFit="1" customWidth="1"/>
    <col min="5" max="5" width="11.90625" bestFit="1" customWidth="1"/>
    <col min="6" max="6" width="15" style="1" bestFit="1" customWidth="1"/>
    <col min="7" max="7" width="13.6328125" style="13" bestFit="1" customWidth="1"/>
    <col min="8" max="8" width="12.36328125" style="1" bestFit="1" customWidth="1"/>
  </cols>
  <sheetData>
    <row r="2" spans="2:8" x14ac:dyDescent="0.35">
      <c r="B2" s="170" t="s">
        <v>55</v>
      </c>
      <c r="C2" s="170"/>
      <c r="D2" s="170"/>
    </row>
    <row r="4" spans="2:8" x14ac:dyDescent="0.35">
      <c r="B4" s="167" t="s">
        <v>9</v>
      </c>
      <c r="C4" s="167"/>
      <c r="E4" s="167" t="s">
        <v>8</v>
      </c>
      <c r="F4" s="167"/>
      <c r="G4" s="167"/>
      <c r="H4" s="167"/>
    </row>
    <row r="5" spans="2:8" x14ac:dyDescent="0.35">
      <c r="B5" s="3" t="s">
        <v>40</v>
      </c>
      <c r="C5" s="4">
        <v>150000</v>
      </c>
      <c r="E5" s="3" t="s">
        <v>4</v>
      </c>
      <c r="F5" s="4" t="s">
        <v>1</v>
      </c>
      <c r="G5" s="11" t="s">
        <v>3</v>
      </c>
      <c r="H5" s="4" t="s">
        <v>7</v>
      </c>
    </row>
    <row r="6" spans="2:8" x14ac:dyDescent="0.35">
      <c r="B6" s="3" t="s">
        <v>0</v>
      </c>
      <c r="C6" s="16">
        <v>0</v>
      </c>
      <c r="E6" s="6">
        <v>201910</v>
      </c>
      <c r="F6" s="4">
        <v>5752</v>
      </c>
      <c r="G6" s="11">
        <v>5091</v>
      </c>
      <c r="H6" s="4">
        <f t="shared" ref="H6" si="0">IFERROR(F6/G6,0)</f>
        <v>1.1298369671970143</v>
      </c>
    </row>
    <row r="7" spans="2:8" x14ac:dyDescent="0.35">
      <c r="B7" s="3" t="s">
        <v>1</v>
      </c>
      <c r="C7" s="4">
        <f>SUM(F:F)</f>
        <v>83341.899999999994</v>
      </c>
      <c r="E7" s="3">
        <v>201911</v>
      </c>
      <c r="F7" s="4">
        <v>5727.98</v>
      </c>
      <c r="G7" s="11">
        <v>1140</v>
      </c>
      <c r="H7" s="4">
        <f t="shared" ref="H7:H20" si="1">IFERROR(F7/G7,0)</f>
        <v>5.0245438596491221</v>
      </c>
    </row>
    <row r="8" spans="2:8" x14ac:dyDescent="0.35">
      <c r="B8" s="3" t="s">
        <v>2</v>
      </c>
      <c r="C8" s="16">
        <f>IF(C6=0,0,C6-C7)</f>
        <v>0</v>
      </c>
      <c r="E8" s="3">
        <v>201912</v>
      </c>
      <c r="F8" s="4">
        <v>4798.9799999999996</v>
      </c>
      <c r="G8" s="11">
        <v>3096</v>
      </c>
      <c r="H8" s="4">
        <f t="shared" si="1"/>
        <v>1.5500581395348836</v>
      </c>
    </row>
    <row r="9" spans="2:8" x14ac:dyDescent="0.35">
      <c r="B9" s="3" t="s">
        <v>3</v>
      </c>
      <c r="C9" s="9">
        <f>SUM(G6:G1048576)</f>
        <v>34680</v>
      </c>
      <c r="E9" s="6">
        <v>202001</v>
      </c>
      <c r="F9" s="4">
        <v>4539.9799999999996</v>
      </c>
      <c r="G9" s="11">
        <v>1096</v>
      </c>
      <c r="H9" s="4">
        <f t="shared" si="1"/>
        <v>4.1423175182481744</v>
      </c>
    </row>
    <row r="10" spans="2:8" x14ac:dyDescent="0.35">
      <c r="B10" s="3" t="s">
        <v>50</v>
      </c>
      <c r="C10" s="4">
        <v>0.41</v>
      </c>
      <c r="E10" s="6">
        <v>202002</v>
      </c>
      <c r="F10" s="4">
        <v>4763.9799999999996</v>
      </c>
      <c r="G10" s="11">
        <v>13096</v>
      </c>
      <c r="H10" s="4">
        <f t="shared" si="1"/>
        <v>0.36377367135003053</v>
      </c>
    </row>
    <row r="11" spans="2:8" x14ac:dyDescent="0.35">
      <c r="B11" s="3" t="s">
        <v>7</v>
      </c>
      <c r="C11" s="4">
        <f>C9*C10</f>
        <v>14218.8</v>
      </c>
      <c r="E11" s="6">
        <v>202003</v>
      </c>
      <c r="F11" s="4">
        <v>4513.9799999999996</v>
      </c>
      <c r="G11" s="11">
        <v>1096</v>
      </c>
      <c r="H11" s="4">
        <f t="shared" si="1"/>
        <v>4.1185948905109484</v>
      </c>
    </row>
    <row r="12" spans="2:8" x14ac:dyDescent="0.35">
      <c r="B12" s="3" t="s">
        <v>6</v>
      </c>
      <c r="C12" s="4">
        <f>C7/C9</f>
        <v>2.4031689734717414</v>
      </c>
      <c r="E12" s="6">
        <v>202004</v>
      </c>
      <c r="F12" s="4">
        <v>4000</v>
      </c>
      <c r="G12" s="11">
        <v>1080</v>
      </c>
      <c r="H12" s="4">
        <f t="shared" si="1"/>
        <v>3.7037037037037037</v>
      </c>
    </row>
    <row r="13" spans="2:8" x14ac:dyDescent="0.35">
      <c r="B13" s="6" t="s">
        <v>18</v>
      </c>
      <c r="C13" s="9" t="s">
        <v>54</v>
      </c>
      <c r="E13" s="6">
        <v>202005</v>
      </c>
      <c r="F13" s="4">
        <v>4000</v>
      </c>
      <c r="G13" s="11">
        <v>1080</v>
      </c>
      <c r="H13" s="4">
        <f t="shared" si="1"/>
        <v>3.7037037037037037</v>
      </c>
    </row>
    <row r="14" spans="2:8" x14ac:dyDescent="0.35">
      <c r="B14" s="6" t="s">
        <v>41</v>
      </c>
      <c r="C14" s="11">
        <f>COUNTA(E6:E1048576)</f>
        <v>15</v>
      </c>
      <c r="E14" s="6">
        <v>202006</v>
      </c>
      <c r="F14" s="4">
        <v>4000</v>
      </c>
      <c r="G14" s="11">
        <v>1080</v>
      </c>
      <c r="H14" s="4">
        <f t="shared" si="1"/>
        <v>3.7037037037037037</v>
      </c>
    </row>
    <row r="15" spans="2:8" x14ac:dyDescent="0.35">
      <c r="B15" s="6" t="s">
        <v>51</v>
      </c>
      <c r="C15" s="9">
        <v>2</v>
      </c>
      <c r="E15" s="6">
        <v>202007</v>
      </c>
      <c r="F15" s="4">
        <v>8000</v>
      </c>
      <c r="G15" s="11">
        <v>2160</v>
      </c>
      <c r="H15" s="4">
        <f t="shared" si="1"/>
        <v>3.7037037037037037</v>
      </c>
    </row>
    <row r="16" spans="2:8" x14ac:dyDescent="0.35">
      <c r="B16" s="6" t="s">
        <v>52</v>
      </c>
      <c r="C16" s="9">
        <f>(1/C12)*100</f>
        <v>41.611722314946029</v>
      </c>
      <c r="E16" s="6">
        <v>202008</v>
      </c>
      <c r="F16" s="4">
        <v>4000</v>
      </c>
      <c r="G16" s="11">
        <v>1080</v>
      </c>
      <c r="H16" s="4">
        <f t="shared" si="1"/>
        <v>3.7037037037037037</v>
      </c>
    </row>
    <row r="17" spans="2:8" x14ac:dyDescent="0.35">
      <c r="B17" s="7" t="s">
        <v>58</v>
      </c>
      <c r="C17" s="4">
        <f ca="1">INDIRECT("F"&amp;COUNTA(F:F)+4)</f>
        <v>17245</v>
      </c>
      <c r="E17" s="6">
        <v>202009</v>
      </c>
      <c r="F17" s="4">
        <v>0</v>
      </c>
      <c r="G17" s="11">
        <v>0</v>
      </c>
      <c r="H17" s="4">
        <f t="shared" si="1"/>
        <v>0</v>
      </c>
    </row>
    <row r="18" spans="2:8" x14ac:dyDescent="0.35">
      <c r="B18" s="6" t="s">
        <v>60</v>
      </c>
      <c r="C18" s="17">
        <f>C11/C7</f>
        <v>0.17060806149127869</v>
      </c>
      <c r="E18" s="6">
        <v>202010</v>
      </c>
      <c r="F18" s="4">
        <v>4000</v>
      </c>
      <c r="G18" s="11">
        <v>1080</v>
      </c>
      <c r="H18" s="4">
        <f t="shared" si="1"/>
        <v>3.7037037037037037</v>
      </c>
    </row>
    <row r="19" spans="2:8" x14ac:dyDescent="0.35">
      <c r="E19" s="6">
        <v>202011</v>
      </c>
      <c r="F19" s="4">
        <v>8000</v>
      </c>
      <c r="G19" s="11">
        <v>1160</v>
      </c>
      <c r="H19" s="4">
        <f t="shared" si="1"/>
        <v>6.8965517241379306</v>
      </c>
    </row>
    <row r="20" spans="2:8" x14ac:dyDescent="0.35">
      <c r="E20" s="6">
        <v>202012</v>
      </c>
      <c r="F20" s="4">
        <v>17245</v>
      </c>
      <c r="G20" s="11">
        <v>1345</v>
      </c>
      <c r="H20" s="4">
        <f t="shared" si="1"/>
        <v>12.821561338289962</v>
      </c>
    </row>
  </sheetData>
  <mergeCells count="3">
    <mergeCell ref="B2:D2"/>
    <mergeCell ref="B4:C4"/>
    <mergeCell ref="E4:H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2:H29"/>
  <sheetViews>
    <sheetView showGridLines="0" zoomScale="80" zoomScaleNormal="80" workbookViewId="0"/>
  </sheetViews>
  <sheetFormatPr defaultRowHeight="14.5" x14ac:dyDescent="0.35"/>
  <cols>
    <col min="1" max="1" width="8.453125" customWidth="1"/>
    <col min="2" max="2" width="31" bestFit="1" customWidth="1"/>
    <col min="3" max="3" width="19.26953125" customWidth="1"/>
    <col min="5" max="5" width="13.54296875" bestFit="1" customWidth="1"/>
    <col min="6" max="6" width="15.26953125" bestFit="1" customWidth="1"/>
    <col min="7" max="7" width="16.26953125" bestFit="1" customWidth="1"/>
    <col min="8" max="8" width="15.1796875" style="1" bestFit="1" customWidth="1"/>
  </cols>
  <sheetData>
    <row r="2" spans="2:8" x14ac:dyDescent="0.35">
      <c r="E2" s="167" t="s">
        <v>28</v>
      </c>
      <c r="F2" s="167"/>
      <c r="G2" s="167"/>
    </row>
    <row r="3" spans="2:8" x14ac:dyDescent="0.35">
      <c r="E3" s="168" t="s">
        <v>35</v>
      </c>
      <c r="F3" s="168"/>
      <c r="G3" s="168"/>
    </row>
    <row r="5" spans="2:8" x14ac:dyDescent="0.35">
      <c r="B5" s="167" t="s">
        <v>9</v>
      </c>
      <c r="C5" s="167"/>
      <c r="E5" s="167" t="s">
        <v>8</v>
      </c>
      <c r="F5" s="167"/>
      <c r="G5" s="167"/>
      <c r="H5" s="167"/>
    </row>
    <row r="6" spans="2:8" x14ac:dyDescent="0.35">
      <c r="B6" s="3" t="s">
        <v>40</v>
      </c>
      <c r="C6" s="4">
        <v>30000</v>
      </c>
      <c r="E6" s="3" t="s">
        <v>4</v>
      </c>
      <c r="F6" s="4" t="s">
        <v>1</v>
      </c>
      <c r="G6" s="11" t="s">
        <v>3</v>
      </c>
      <c r="H6" s="4" t="s">
        <v>7</v>
      </c>
    </row>
    <row r="7" spans="2:8" x14ac:dyDescent="0.35">
      <c r="B7" s="3" t="s">
        <v>0</v>
      </c>
      <c r="C7" s="4">
        <v>0</v>
      </c>
      <c r="E7" s="3">
        <v>201808</v>
      </c>
      <c r="F7" s="4">
        <v>5793.4</v>
      </c>
      <c r="G7" s="6">
        <v>109</v>
      </c>
      <c r="H7" s="4">
        <f>IFERROR(F7/G7,0)</f>
        <v>53.150458715596329</v>
      </c>
    </row>
    <row r="8" spans="2:8" x14ac:dyDescent="0.35">
      <c r="B8" s="3" t="s">
        <v>1</v>
      </c>
      <c r="C8" s="5">
        <f>SUM(F:F)</f>
        <v>54719.409999999989</v>
      </c>
      <c r="E8" s="3">
        <v>201809</v>
      </c>
      <c r="F8" s="4">
        <v>10066.15</v>
      </c>
      <c r="G8" s="3">
        <v>123</v>
      </c>
      <c r="H8" s="4">
        <f t="shared" ref="H8:H25" si="0">IFERROR(F8/G8,0)</f>
        <v>81.838617886178852</v>
      </c>
    </row>
    <row r="9" spans="2:8" x14ac:dyDescent="0.35">
      <c r="B9" s="3" t="s">
        <v>2</v>
      </c>
      <c r="C9" s="5">
        <f>IF(C7=0,0,C7-C8)</f>
        <v>0</v>
      </c>
      <c r="E9" s="3">
        <v>201810</v>
      </c>
      <c r="F9" s="4">
        <v>5311.81</v>
      </c>
      <c r="G9" s="3">
        <v>105</v>
      </c>
      <c r="H9" s="4">
        <f t="shared" si="0"/>
        <v>50.588666666666668</v>
      </c>
    </row>
    <row r="10" spans="2:8" x14ac:dyDescent="0.35">
      <c r="B10" s="3" t="s">
        <v>3</v>
      </c>
      <c r="C10" s="14">
        <f>SUM(G7:G1048576)</f>
        <v>1035</v>
      </c>
      <c r="E10" s="3">
        <v>201811</v>
      </c>
      <c r="F10" s="4">
        <v>14382.6</v>
      </c>
      <c r="G10" s="3">
        <v>280</v>
      </c>
      <c r="H10" s="4">
        <f t="shared" si="0"/>
        <v>51.366428571428571</v>
      </c>
    </row>
    <row r="11" spans="2:8" x14ac:dyDescent="0.35">
      <c r="B11" s="3" t="s">
        <v>50</v>
      </c>
      <c r="C11" s="5">
        <v>0.25</v>
      </c>
      <c r="E11" s="3">
        <v>201812</v>
      </c>
      <c r="F11" s="4">
        <v>1730</v>
      </c>
      <c r="G11" s="3">
        <v>35</v>
      </c>
      <c r="H11" s="4">
        <f t="shared" si="0"/>
        <v>49.428571428571431</v>
      </c>
    </row>
    <row r="12" spans="2:8" x14ac:dyDescent="0.35">
      <c r="B12" s="3" t="s">
        <v>7</v>
      </c>
      <c r="C12" s="4">
        <f>C10*C11</f>
        <v>258.75</v>
      </c>
      <c r="E12" s="6">
        <v>201901</v>
      </c>
      <c r="F12" s="4">
        <v>267</v>
      </c>
      <c r="G12" s="6">
        <v>42</v>
      </c>
      <c r="H12" s="4">
        <f t="shared" si="0"/>
        <v>6.3571428571428568</v>
      </c>
    </row>
    <row r="13" spans="2:8" x14ac:dyDescent="0.35">
      <c r="B13" s="3" t="s">
        <v>6</v>
      </c>
      <c r="C13" s="5">
        <f>C8/C10</f>
        <v>52.868995169082112</v>
      </c>
      <c r="E13" s="6">
        <v>201902</v>
      </c>
      <c r="F13" s="4">
        <v>805</v>
      </c>
      <c r="G13" s="6">
        <v>16</v>
      </c>
      <c r="H13" s="4">
        <f t="shared" si="0"/>
        <v>50.3125</v>
      </c>
    </row>
    <row r="14" spans="2:8" x14ac:dyDescent="0.35">
      <c r="B14" s="6" t="s">
        <v>18</v>
      </c>
      <c r="C14" s="3" t="s">
        <v>34</v>
      </c>
      <c r="E14" s="6">
        <v>201903</v>
      </c>
      <c r="F14" s="7">
        <v>1775</v>
      </c>
      <c r="G14" s="6">
        <v>35</v>
      </c>
      <c r="H14" s="4">
        <f t="shared" si="0"/>
        <v>50.714285714285715</v>
      </c>
    </row>
    <row r="15" spans="2:8" x14ac:dyDescent="0.35">
      <c r="B15" s="6" t="s">
        <v>41</v>
      </c>
      <c r="C15" s="3">
        <f>COUNTA(E6:E1048576)-1</f>
        <v>23</v>
      </c>
      <c r="E15" s="6">
        <v>201904</v>
      </c>
      <c r="F15" s="7">
        <v>480</v>
      </c>
      <c r="G15" s="3">
        <v>10</v>
      </c>
      <c r="H15" s="4">
        <f t="shared" si="0"/>
        <v>48</v>
      </c>
    </row>
    <row r="16" spans="2:8" x14ac:dyDescent="0.35">
      <c r="B16" s="6" t="s">
        <v>52</v>
      </c>
      <c r="C16" s="9">
        <f>(1/C13)*100</f>
        <v>1.8914677625361829</v>
      </c>
      <c r="E16" s="6">
        <v>201905</v>
      </c>
      <c r="F16" s="7">
        <v>423.2</v>
      </c>
      <c r="G16" s="6">
        <v>9</v>
      </c>
      <c r="H16" s="4">
        <f t="shared" si="0"/>
        <v>47.022222222222219</v>
      </c>
    </row>
    <row r="17" spans="2:8" x14ac:dyDescent="0.35">
      <c r="B17" s="7" t="s">
        <v>58</v>
      </c>
      <c r="C17" s="4">
        <f ca="1">INDIRECT("F"&amp;COUNTA(F:F)+5)</f>
        <v>0</v>
      </c>
      <c r="E17" s="6">
        <v>201906</v>
      </c>
      <c r="F17" s="7">
        <v>1867.02</v>
      </c>
      <c r="G17" s="6">
        <v>38</v>
      </c>
      <c r="H17" s="4">
        <f t="shared" si="0"/>
        <v>49.132105263157897</v>
      </c>
    </row>
    <row r="18" spans="2:8" x14ac:dyDescent="0.35">
      <c r="B18" s="6" t="s">
        <v>60</v>
      </c>
      <c r="C18" s="17">
        <f>C12/C8</f>
        <v>4.7286694063404565E-3</v>
      </c>
      <c r="E18" s="6">
        <v>201907</v>
      </c>
      <c r="F18" s="7">
        <v>4830.84</v>
      </c>
      <c r="G18" s="6">
        <v>100</v>
      </c>
      <c r="H18" s="4">
        <f t="shared" si="0"/>
        <v>48.308399999999999</v>
      </c>
    </row>
    <row r="19" spans="2:8" x14ac:dyDescent="0.35">
      <c r="E19" s="6">
        <v>201908</v>
      </c>
      <c r="F19" s="7">
        <v>383.84</v>
      </c>
      <c r="G19" s="6">
        <v>0</v>
      </c>
      <c r="H19" s="4">
        <f t="shared" si="0"/>
        <v>0</v>
      </c>
    </row>
    <row r="20" spans="2:8" x14ac:dyDescent="0.35">
      <c r="E20" s="6">
        <v>201909</v>
      </c>
      <c r="F20" s="7">
        <v>1176</v>
      </c>
      <c r="G20" s="6">
        <v>24</v>
      </c>
      <c r="H20" s="4">
        <f t="shared" si="0"/>
        <v>49</v>
      </c>
    </row>
    <row r="21" spans="2:8" x14ac:dyDescent="0.35">
      <c r="E21" s="6">
        <v>201910</v>
      </c>
      <c r="F21" s="7">
        <v>3427.55</v>
      </c>
      <c r="G21" s="6">
        <v>69</v>
      </c>
      <c r="H21" s="4">
        <f t="shared" si="0"/>
        <v>49.674637681159425</v>
      </c>
    </row>
    <row r="22" spans="2:8" x14ac:dyDescent="0.35">
      <c r="E22" s="6">
        <v>201911</v>
      </c>
      <c r="F22" s="7">
        <v>0</v>
      </c>
      <c r="G22" s="6">
        <v>0</v>
      </c>
      <c r="H22" s="4">
        <f t="shared" si="0"/>
        <v>0</v>
      </c>
    </row>
    <row r="23" spans="2:8" x14ac:dyDescent="0.35">
      <c r="E23" s="6">
        <v>201912</v>
      </c>
      <c r="F23" s="7">
        <v>0</v>
      </c>
      <c r="G23" s="6">
        <v>0</v>
      </c>
      <c r="H23" s="4">
        <f t="shared" si="0"/>
        <v>0</v>
      </c>
    </row>
    <row r="24" spans="2:8" x14ac:dyDescent="0.35">
      <c r="E24" s="6">
        <v>202001</v>
      </c>
      <c r="F24" s="7">
        <v>2000</v>
      </c>
      <c r="G24" s="6">
        <v>40</v>
      </c>
      <c r="H24" s="4">
        <f t="shared" si="0"/>
        <v>50</v>
      </c>
    </row>
    <row r="25" spans="2:8" x14ac:dyDescent="0.35">
      <c r="E25" s="6">
        <v>202002</v>
      </c>
      <c r="F25" s="7">
        <v>0</v>
      </c>
      <c r="G25" s="6">
        <v>0</v>
      </c>
      <c r="H25" s="4">
        <f t="shared" si="0"/>
        <v>0</v>
      </c>
    </row>
    <row r="26" spans="2:8" x14ac:dyDescent="0.35">
      <c r="E26" s="6">
        <v>202003</v>
      </c>
      <c r="F26" s="7">
        <v>0</v>
      </c>
      <c r="G26" s="6">
        <v>0</v>
      </c>
      <c r="H26" s="4">
        <f>IFERROR(F26/G26,0)</f>
        <v>0</v>
      </c>
    </row>
    <row r="27" spans="2:8" x14ac:dyDescent="0.35">
      <c r="E27" s="6">
        <v>202004</v>
      </c>
      <c r="F27" s="7">
        <v>0</v>
      </c>
      <c r="G27" s="6">
        <v>0</v>
      </c>
      <c r="H27" s="4">
        <f>IFERROR(F27/G27,0)</f>
        <v>0</v>
      </c>
    </row>
    <row r="28" spans="2:8" x14ac:dyDescent="0.35">
      <c r="E28" s="6">
        <v>202005</v>
      </c>
      <c r="F28" s="7">
        <v>0</v>
      </c>
      <c r="G28" s="6">
        <v>0</v>
      </c>
      <c r="H28" s="4">
        <f>IFERROR(F28/G28,0)</f>
        <v>0</v>
      </c>
    </row>
    <row r="29" spans="2:8" x14ac:dyDescent="0.35">
      <c r="E29" s="6">
        <v>202006</v>
      </c>
      <c r="F29" s="7">
        <v>0</v>
      </c>
      <c r="G29" s="6">
        <v>0</v>
      </c>
      <c r="H29" s="4">
        <f>IFERROR(F29/G29,0)</f>
        <v>0</v>
      </c>
    </row>
  </sheetData>
  <mergeCells count="4">
    <mergeCell ref="B5:C5"/>
    <mergeCell ref="E2:G2"/>
    <mergeCell ref="E3:G3"/>
    <mergeCell ref="E5:H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B2:H21"/>
  <sheetViews>
    <sheetView showGridLines="0" zoomScale="80" zoomScaleNormal="80" workbookViewId="0"/>
  </sheetViews>
  <sheetFormatPr defaultRowHeight="14.5" x14ac:dyDescent="0.35"/>
  <cols>
    <col min="1" max="1" width="8.453125" customWidth="1"/>
    <col min="2" max="2" width="31" bestFit="1" customWidth="1"/>
    <col min="3" max="3" width="20.81640625" customWidth="1"/>
    <col min="5" max="5" width="11.90625" bestFit="1" customWidth="1"/>
    <col min="6" max="6" width="13.1796875" style="1" bestFit="1" customWidth="1"/>
    <col min="7" max="7" width="13.6328125" bestFit="1" customWidth="1"/>
    <col min="8" max="8" width="12.36328125" style="1" bestFit="1" customWidth="1"/>
  </cols>
  <sheetData>
    <row r="2" spans="2:8" x14ac:dyDescent="0.35">
      <c r="E2" s="167" t="s">
        <v>28</v>
      </c>
      <c r="F2" s="167"/>
      <c r="G2" s="167"/>
    </row>
    <row r="3" spans="2:8" x14ac:dyDescent="0.35">
      <c r="E3" s="168" t="s">
        <v>35</v>
      </c>
      <c r="F3" s="168"/>
      <c r="G3" s="168"/>
    </row>
    <row r="5" spans="2:8" x14ac:dyDescent="0.35">
      <c r="B5" s="167" t="s">
        <v>9</v>
      </c>
      <c r="C5" s="167"/>
      <c r="E5" s="167" t="s">
        <v>8</v>
      </c>
      <c r="F5" s="167"/>
      <c r="G5" s="167"/>
      <c r="H5" s="167"/>
    </row>
    <row r="6" spans="2:8" x14ac:dyDescent="0.35">
      <c r="B6" s="3" t="s">
        <v>40</v>
      </c>
      <c r="C6" s="4">
        <v>51000</v>
      </c>
      <c r="E6" s="3" t="s">
        <v>4</v>
      </c>
      <c r="F6" s="4" t="s">
        <v>1</v>
      </c>
      <c r="G6" s="11" t="s">
        <v>3</v>
      </c>
      <c r="H6" s="4" t="s">
        <v>7</v>
      </c>
    </row>
    <row r="7" spans="2:8" x14ac:dyDescent="0.35">
      <c r="B7" s="3" t="s">
        <v>0</v>
      </c>
      <c r="C7" s="4">
        <v>0</v>
      </c>
      <c r="E7" s="6">
        <v>201905</v>
      </c>
      <c r="F7" s="7">
        <v>1291</v>
      </c>
      <c r="G7" s="6">
        <v>4</v>
      </c>
      <c r="H7" s="4">
        <f t="shared" ref="H7" si="0">F7/G7</f>
        <v>322.75</v>
      </c>
    </row>
    <row r="8" spans="2:8" x14ac:dyDescent="0.35">
      <c r="B8" s="3" t="s">
        <v>1</v>
      </c>
      <c r="C8" s="5">
        <f>SUM(F:F)</f>
        <v>16907</v>
      </c>
      <c r="E8" s="6">
        <v>201906</v>
      </c>
      <c r="F8" s="7">
        <v>0</v>
      </c>
      <c r="G8" s="6">
        <v>0</v>
      </c>
      <c r="H8" s="4">
        <f>IFERROR(F8/G8,0)</f>
        <v>0</v>
      </c>
    </row>
    <row r="9" spans="2:8" x14ac:dyDescent="0.35">
      <c r="B9" s="3" t="s">
        <v>2</v>
      </c>
      <c r="C9" s="5">
        <f>IF(C7=0,0,C7-C8)</f>
        <v>0</v>
      </c>
      <c r="E9" s="6">
        <v>201907</v>
      </c>
      <c r="F9" s="4">
        <v>6776</v>
      </c>
      <c r="G9" s="3">
        <v>68</v>
      </c>
      <c r="H9" s="4">
        <f t="shared" ref="H9:H20" si="1">IFERROR(F9/G9,0)</f>
        <v>99.647058823529406</v>
      </c>
    </row>
    <row r="10" spans="2:8" x14ac:dyDescent="0.35">
      <c r="B10" s="3" t="s">
        <v>3</v>
      </c>
      <c r="C10" s="14">
        <f>SUM(G7:G1048576)</f>
        <v>160</v>
      </c>
      <c r="E10" s="6">
        <v>201908</v>
      </c>
      <c r="F10" s="4">
        <v>0</v>
      </c>
      <c r="G10" s="6">
        <v>0</v>
      </c>
      <c r="H10" s="4">
        <f t="shared" si="1"/>
        <v>0</v>
      </c>
    </row>
    <row r="11" spans="2:8" x14ac:dyDescent="0.35">
      <c r="B11" s="3" t="s">
        <v>50</v>
      </c>
      <c r="C11" s="5">
        <v>1</v>
      </c>
      <c r="E11" s="6">
        <v>201909</v>
      </c>
      <c r="F11" s="4">
        <v>2</v>
      </c>
      <c r="G11" s="6">
        <v>0</v>
      </c>
      <c r="H11" s="4">
        <f t="shared" si="1"/>
        <v>0</v>
      </c>
    </row>
    <row r="12" spans="2:8" x14ac:dyDescent="0.35">
      <c r="B12" s="3" t="s">
        <v>7</v>
      </c>
      <c r="C12" s="4">
        <f>C10*C11</f>
        <v>160</v>
      </c>
      <c r="E12" s="6">
        <v>201910</v>
      </c>
      <c r="F12" s="4">
        <v>0</v>
      </c>
      <c r="G12" s="6">
        <v>0</v>
      </c>
      <c r="H12" s="4">
        <f t="shared" si="1"/>
        <v>0</v>
      </c>
    </row>
    <row r="13" spans="2:8" x14ac:dyDescent="0.35">
      <c r="B13" s="3" t="s">
        <v>6</v>
      </c>
      <c r="C13" s="5">
        <f>C8/C10</f>
        <v>105.66875</v>
      </c>
      <c r="E13" s="6">
        <v>201911</v>
      </c>
      <c r="F13" s="4">
        <v>0</v>
      </c>
      <c r="G13" s="6">
        <v>0</v>
      </c>
      <c r="H13" s="4">
        <f t="shared" si="1"/>
        <v>0</v>
      </c>
    </row>
    <row r="14" spans="2:8" x14ac:dyDescent="0.35">
      <c r="B14" s="6" t="s">
        <v>18</v>
      </c>
      <c r="C14" s="3" t="s">
        <v>63</v>
      </c>
      <c r="E14" s="6">
        <v>201912</v>
      </c>
      <c r="F14" s="4">
        <v>2</v>
      </c>
      <c r="G14" s="6">
        <v>0</v>
      </c>
      <c r="H14" s="4">
        <f t="shared" si="1"/>
        <v>0</v>
      </c>
    </row>
    <row r="15" spans="2:8" x14ac:dyDescent="0.35">
      <c r="B15" s="6" t="s">
        <v>41</v>
      </c>
      <c r="C15" s="3">
        <f>COUNTA(E6:E1048576)-1</f>
        <v>15</v>
      </c>
      <c r="E15" s="6">
        <v>202001</v>
      </c>
      <c r="F15" s="7">
        <v>0</v>
      </c>
      <c r="G15" s="6">
        <v>0</v>
      </c>
      <c r="H15" s="4">
        <f t="shared" si="1"/>
        <v>0</v>
      </c>
    </row>
    <row r="16" spans="2:8" x14ac:dyDescent="0.35">
      <c r="B16" s="6" t="s">
        <v>52</v>
      </c>
      <c r="C16" s="9">
        <f>(1/C13)*100</f>
        <v>0.94635358135683445</v>
      </c>
      <c r="E16" s="6">
        <v>202002</v>
      </c>
      <c r="F16" s="7">
        <v>0</v>
      </c>
      <c r="G16" s="6">
        <v>0</v>
      </c>
      <c r="H16" s="4">
        <f t="shared" si="1"/>
        <v>0</v>
      </c>
    </row>
    <row r="17" spans="2:8" x14ac:dyDescent="0.35">
      <c r="B17" s="7" t="s">
        <v>58</v>
      </c>
      <c r="C17" s="4">
        <f ca="1">INDIRECT("F"&amp;COUNTA(F:F)+5)</f>
        <v>8836</v>
      </c>
      <c r="E17" s="6">
        <v>202003</v>
      </c>
      <c r="F17" s="7">
        <v>0</v>
      </c>
      <c r="G17" s="6">
        <v>0</v>
      </c>
      <c r="H17" s="4">
        <f t="shared" si="1"/>
        <v>0</v>
      </c>
    </row>
    <row r="18" spans="2:8" x14ac:dyDescent="0.35">
      <c r="B18" s="6" t="s">
        <v>60</v>
      </c>
      <c r="C18" s="17">
        <f>C12/C8</f>
        <v>9.463535813568345E-3</v>
      </c>
      <c r="E18" s="6">
        <v>202004</v>
      </c>
      <c r="F18" s="7">
        <v>0</v>
      </c>
      <c r="G18" s="6">
        <v>0</v>
      </c>
      <c r="H18" s="4">
        <f t="shared" si="1"/>
        <v>0</v>
      </c>
    </row>
    <row r="19" spans="2:8" x14ac:dyDescent="0.35">
      <c r="E19" s="6">
        <v>202005</v>
      </c>
      <c r="F19" s="7">
        <v>0</v>
      </c>
      <c r="G19" s="6">
        <v>0</v>
      </c>
      <c r="H19" s="4">
        <f t="shared" si="1"/>
        <v>0</v>
      </c>
    </row>
    <row r="20" spans="2:8" x14ac:dyDescent="0.35">
      <c r="E20" s="6">
        <v>202006</v>
      </c>
      <c r="F20" s="7">
        <v>0</v>
      </c>
      <c r="G20" s="6">
        <v>0</v>
      </c>
      <c r="H20" s="4">
        <f t="shared" si="1"/>
        <v>0</v>
      </c>
    </row>
    <row r="21" spans="2:8" x14ac:dyDescent="0.35">
      <c r="E21" s="6">
        <v>202007</v>
      </c>
      <c r="F21" s="7">
        <v>8836</v>
      </c>
      <c r="G21" s="6">
        <v>88</v>
      </c>
      <c r="H21" s="4">
        <f>IFERROR(F21/G21,0)</f>
        <v>100.40909090909091</v>
      </c>
    </row>
  </sheetData>
  <mergeCells count="4">
    <mergeCell ref="E2:G2"/>
    <mergeCell ref="E3:G3"/>
    <mergeCell ref="B5:C5"/>
    <mergeCell ref="E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B2:J17"/>
  <sheetViews>
    <sheetView showGridLines="0" zoomScale="80" zoomScaleNormal="80" workbookViewId="0"/>
  </sheetViews>
  <sheetFormatPr defaultRowHeight="14.5" x14ac:dyDescent="0.35"/>
  <cols>
    <col min="2" max="2" width="31" bestFit="1" customWidth="1"/>
    <col min="3" max="3" width="20.1796875" bestFit="1" customWidth="1"/>
    <col min="5" max="5" width="11.90625" bestFit="1" customWidth="1"/>
    <col min="6" max="6" width="13.1796875" style="1" bestFit="1" customWidth="1"/>
    <col min="7" max="7" width="13.6328125" style="8" bestFit="1" customWidth="1"/>
    <col min="8" max="8" width="11.90625" bestFit="1" customWidth="1"/>
    <col min="9" max="9" width="12.36328125" style="8" bestFit="1" customWidth="1"/>
    <col min="10" max="10" width="12.6328125" bestFit="1" customWidth="1"/>
  </cols>
  <sheetData>
    <row r="2" spans="2:10" x14ac:dyDescent="0.35">
      <c r="B2" s="167" t="s">
        <v>9</v>
      </c>
      <c r="C2" s="167"/>
      <c r="E2" s="167" t="s">
        <v>8</v>
      </c>
      <c r="F2" s="167"/>
      <c r="G2" s="167"/>
      <c r="H2" s="167"/>
      <c r="I2" s="167"/>
      <c r="J2" s="167"/>
    </row>
    <row r="3" spans="2:10" x14ac:dyDescent="0.35">
      <c r="B3" s="3" t="s">
        <v>40</v>
      </c>
      <c r="C3" s="4">
        <v>50000</v>
      </c>
      <c r="E3" s="3" t="s">
        <v>4</v>
      </c>
      <c r="F3" s="4" t="s">
        <v>1</v>
      </c>
      <c r="G3" s="9" t="s">
        <v>3</v>
      </c>
      <c r="H3" s="4" t="s">
        <v>43</v>
      </c>
      <c r="I3" s="9" t="s">
        <v>7</v>
      </c>
      <c r="J3" s="3" t="s">
        <v>107</v>
      </c>
    </row>
    <row r="4" spans="2:10" x14ac:dyDescent="0.35">
      <c r="B4" s="3" t="s">
        <v>0</v>
      </c>
      <c r="C4" s="4">
        <v>0</v>
      </c>
      <c r="E4" s="3">
        <v>201811</v>
      </c>
      <c r="F4" s="4">
        <v>4726</v>
      </c>
      <c r="G4" s="15">
        <v>0</v>
      </c>
      <c r="H4" s="4">
        <v>0</v>
      </c>
      <c r="I4" s="9">
        <v>0</v>
      </c>
      <c r="J4" s="3"/>
    </row>
    <row r="5" spans="2:10" x14ac:dyDescent="0.35">
      <c r="B5" s="3" t="s">
        <v>1</v>
      </c>
      <c r="C5" s="5">
        <f>SUM(F:F)</f>
        <v>57864.409999999996</v>
      </c>
      <c r="E5" s="3">
        <v>201812</v>
      </c>
      <c r="F5" s="4">
        <v>2711</v>
      </c>
      <c r="G5" s="15">
        <v>0</v>
      </c>
      <c r="H5" s="4">
        <v>0</v>
      </c>
      <c r="I5" s="9">
        <v>0</v>
      </c>
      <c r="J5" s="3"/>
    </row>
    <row r="6" spans="2:10" x14ac:dyDescent="0.35">
      <c r="B6" s="3" t="s">
        <v>2</v>
      </c>
      <c r="C6" s="5">
        <f>IF(C4=0,0,C4-C5)</f>
        <v>0</v>
      </c>
      <c r="E6" s="6">
        <v>201901</v>
      </c>
      <c r="F6" s="4">
        <v>2280.0700000000002</v>
      </c>
      <c r="G6" s="15">
        <v>0</v>
      </c>
      <c r="H6" s="4">
        <v>0</v>
      </c>
      <c r="I6" s="9">
        <v>0</v>
      </c>
      <c r="J6" s="3"/>
    </row>
    <row r="7" spans="2:10" x14ac:dyDescent="0.35">
      <c r="B7" s="3" t="s">
        <v>3</v>
      </c>
      <c r="C7" s="3">
        <v>269</v>
      </c>
      <c r="E7" s="6">
        <v>201902</v>
      </c>
      <c r="F7" s="4">
        <v>2933.07</v>
      </c>
      <c r="G7" s="15">
        <v>0</v>
      </c>
      <c r="H7" s="4">
        <v>0</v>
      </c>
      <c r="I7" s="9">
        <v>0</v>
      </c>
      <c r="J7" s="3"/>
    </row>
    <row r="8" spans="2:10" x14ac:dyDescent="0.35">
      <c r="B8" s="3" t="s">
        <v>6</v>
      </c>
      <c r="C8" s="5">
        <f>C5/C7</f>
        <v>215.10933085501858</v>
      </c>
      <c r="E8" s="6">
        <v>201903</v>
      </c>
      <c r="F8" s="4">
        <v>45126.07</v>
      </c>
      <c r="G8" s="15">
        <v>0</v>
      </c>
      <c r="H8" s="4">
        <v>0</v>
      </c>
      <c r="I8" s="9">
        <v>0</v>
      </c>
      <c r="J8" s="3"/>
    </row>
    <row r="9" spans="2:10" x14ac:dyDescent="0.35">
      <c r="B9" s="3" t="s">
        <v>5</v>
      </c>
      <c r="C9" s="5">
        <v>0.35</v>
      </c>
      <c r="E9" s="6">
        <v>201904</v>
      </c>
      <c r="F9" s="4">
        <v>88.2</v>
      </c>
      <c r="G9" s="15">
        <v>0</v>
      </c>
      <c r="H9" s="4">
        <v>0</v>
      </c>
      <c r="I9" s="9">
        <v>0</v>
      </c>
      <c r="J9" s="3"/>
    </row>
    <row r="10" spans="2:10" x14ac:dyDescent="0.35">
      <c r="B10" s="3" t="s">
        <v>7</v>
      </c>
      <c r="C10" s="4">
        <f>C7*C9</f>
        <v>94.149999999999991</v>
      </c>
      <c r="E10" s="6">
        <v>201905</v>
      </c>
      <c r="F10" s="4">
        <v>0</v>
      </c>
      <c r="G10" s="15">
        <v>0</v>
      </c>
      <c r="H10" s="4">
        <v>0</v>
      </c>
      <c r="I10" s="9">
        <v>0</v>
      </c>
      <c r="J10" s="3"/>
    </row>
    <row r="11" spans="2:10" x14ac:dyDescent="0.35">
      <c r="B11" s="6" t="s">
        <v>18</v>
      </c>
      <c r="C11" s="3" t="s">
        <v>53</v>
      </c>
      <c r="E11" s="6">
        <v>201906</v>
      </c>
      <c r="F11" s="4">
        <v>0</v>
      </c>
      <c r="G11" s="15">
        <v>0</v>
      </c>
      <c r="H11" s="4">
        <v>0</v>
      </c>
      <c r="I11" s="9">
        <v>0</v>
      </c>
      <c r="J11" s="3"/>
    </row>
    <row r="12" spans="2:10" x14ac:dyDescent="0.35">
      <c r="B12" s="6" t="s">
        <v>41</v>
      </c>
      <c r="C12" s="3">
        <f>COUNTA(E3:E1048575)-1</f>
        <v>14</v>
      </c>
      <c r="E12" s="6">
        <v>201907</v>
      </c>
      <c r="F12" s="4">
        <v>0</v>
      </c>
      <c r="G12" s="15">
        <v>0</v>
      </c>
      <c r="H12" s="4">
        <v>0</v>
      </c>
      <c r="I12" s="9">
        <v>0</v>
      </c>
      <c r="J12" s="3"/>
    </row>
    <row r="13" spans="2:10" x14ac:dyDescent="0.35">
      <c r="B13" s="7" t="s">
        <v>58</v>
      </c>
      <c r="C13" s="4">
        <f ca="1">INDIRECT("F"&amp;COUNTA(F:F)+2)</f>
        <v>0</v>
      </c>
      <c r="E13" s="6">
        <v>201908</v>
      </c>
      <c r="F13" s="4">
        <v>0</v>
      </c>
      <c r="G13" s="15">
        <v>0</v>
      </c>
      <c r="H13" s="4">
        <v>0</v>
      </c>
      <c r="I13" s="9">
        <v>0</v>
      </c>
      <c r="J13" s="3"/>
    </row>
    <row r="14" spans="2:10" x14ac:dyDescent="0.35">
      <c r="B14" s="6" t="s">
        <v>107</v>
      </c>
      <c r="C14" s="9">
        <f>SUM(J:J)</f>
        <v>0</v>
      </c>
      <c r="E14" s="6">
        <v>201909</v>
      </c>
      <c r="F14" s="4">
        <v>0</v>
      </c>
      <c r="G14" s="15">
        <v>0</v>
      </c>
      <c r="H14" s="4">
        <v>0</v>
      </c>
      <c r="I14" s="9">
        <v>0</v>
      </c>
      <c r="J14" s="3"/>
    </row>
    <row r="15" spans="2:10" x14ac:dyDescent="0.35">
      <c r="E15" s="6">
        <v>201910</v>
      </c>
      <c r="F15" s="4">
        <v>0</v>
      </c>
      <c r="G15" s="15">
        <v>0</v>
      </c>
      <c r="H15" s="4">
        <v>0</v>
      </c>
      <c r="I15" s="9">
        <v>0</v>
      </c>
      <c r="J15" s="3"/>
    </row>
    <row r="16" spans="2:10" x14ac:dyDescent="0.35">
      <c r="E16" s="6">
        <v>201911</v>
      </c>
      <c r="F16" s="4">
        <v>0</v>
      </c>
      <c r="G16" s="9">
        <v>0</v>
      </c>
      <c r="H16" s="7">
        <v>0</v>
      </c>
      <c r="I16" s="9">
        <v>0</v>
      </c>
      <c r="J16" s="3"/>
    </row>
    <row r="17" spans="5:10" x14ac:dyDescent="0.35">
      <c r="E17" s="6">
        <v>201912</v>
      </c>
      <c r="F17" s="4">
        <v>0</v>
      </c>
      <c r="G17" s="9">
        <v>0</v>
      </c>
      <c r="H17" s="7">
        <v>0</v>
      </c>
      <c r="I17" s="9">
        <v>0</v>
      </c>
      <c r="J17" s="3"/>
    </row>
  </sheetData>
  <mergeCells count="2">
    <mergeCell ref="B2:C2"/>
    <mergeCell ref="E2:J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B2:B7"/>
  <sheetViews>
    <sheetView showGridLines="0" zoomScale="80" zoomScaleNormal="80" workbookViewId="0"/>
  </sheetViews>
  <sheetFormatPr defaultRowHeight="14.5" x14ac:dyDescent="0.35"/>
  <cols>
    <col min="2" max="2" width="15" bestFit="1" customWidth="1"/>
  </cols>
  <sheetData>
    <row r="2" spans="2:2" x14ac:dyDescent="0.35">
      <c r="B2" t="s">
        <v>74</v>
      </c>
    </row>
    <row r="3" spans="2:2" x14ac:dyDescent="0.35">
      <c r="B3" t="s">
        <v>75</v>
      </c>
    </row>
    <row r="4" spans="2:2" x14ac:dyDescent="0.35">
      <c r="B4" s="35" t="s">
        <v>76</v>
      </c>
    </row>
    <row r="5" spans="2:2" x14ac:dyDescent="0.35">
      <c r="B5" s="35" t="s">
        <v>77</v>
      </c>
    </row>
    <row r="6" spans="2:2" x14ac:dyDescent="0.35">
      <c r="B6" s="35" t="s">
        <v>79</v>
      </c>
    </row>
    <row r="7" spans="2:2" x14ac:dyDescent="0.35">
      <c r="B7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BF4-C0FF-48F6-9C3B-5DF90B9C27BE}">
  <dimension ref="B2:E17"/>
  <sheetViews>
    <sheetView showGridLines="0" zoomScale="80" zoomScaleNormal="80" workbookViewId="0"/>
  </sheetViews>
  <sheetFormatPr defaultRowHeight="14.5" x14ac:dyDescent="0.35"/>
  <cols>
    <col min="2" max="2" width="39.26953125" bestFit="1" customWidth="1"/>
    <col min="3" max="3" width="22.81640625" style="99" bestFit="1" customWidth="1"/>
    <col min="4" max="4" width="12.36328125" bestFit="1" customWidth="1"/>
    <col min="5" max="5" width="10.453125" bestFit="1" customWidth="1"/>
  </cols>
  <sheetData>
    <row r="2" spans="2:5" x14ac:dyDescent="0.35">
      <c r="B2" t="s">
        <v>126</v>
      </c>
      <c r="C2" s="99" t="s">
        <v>127</v>
      </c>
      <c r="D2" t="s">
        <v>128</v>
      </c>
      <c r="E2" t="s">
        <v>5</v>
      </c>
    </row>
    <row r="3" spans="2:5" x14ac:dyDescent="0.35">
      <c r="B3" t="s">
        <v>129</v>
      </c>
      <c r="C3" s="100">
        <v>43954</v>
      </c>
      <c r="D3" s="91">
        <v>0</v>
      </c>
      <c r="E3" s="91">
        <v>0.8</v>
      </c>
    </row>
    <row r="4" spans="2:5" x14ac:dyDescent="0.35">
      <c r="B4" t="s">
        <v>130</v>
      </c>
      <c r="C4" s="100">
        <v>43954</v>
      </c>
      <c r="D4" s="91">
        <v>0</v>
      </c>
      <c r="E4" s="91">
        <v>0.8</v>
      </c>
    </row>
    <row r="5" spans="2:5" x14ac:dyDescent="0.35">
      <c r="B5" t="s">
        <v>44</v>
      </c>
      <c r="C5" s="100">
        <v>44046</v>
      </c>
      <c r="D5" s="91">
        <v>0</v>
      </c>
      <c r="E5" s="91">
        <v>1</v>
      </c>
    </row>
    <row r="6" spans="2:5" x14ac:dyDescent="0.35">
      <c r="B6" t="s">
        <v>62</v>
      </c>
      <c r="C6" s="100">
        <v>44107</v>
      </c>
      <c r="D6" s="91">
        <v>0</v>
      </c>
      <c r="E6" s="91">
        <v>0.5</v>
      </c>
    </row>
    <row r="7" spans="2:5" x14ac:dyDescent="0.35">
      <c r="B7" t="s">
        <v>138</v>
      </c>
      <c r="C7" s="100" t="s">
        <v>139</v>
      </c>
      <c r="D7" s="91">
        <v>0</v>
      </c>
      <c r="E7" s="91">
        <v>1</v>
      </c>
    </row>
    <row r="8" spans="2:5" x14ac:dyDescent="0.35">
      <c r="B8" t="s">
        <v>136</v>
      </c>
      <c r="C8" s="100" t="s">
        <v>139</v>
      </c>
      <c r="D8" s="91">
        <v>30000</v>
      </c>
      <c r="E8" s="91">
        <v>0.35</v>
      </c>
    </row>
    <row r="9" spans="2:5" x14ac:dyDescent="0.35">
      <c r="B9" t="s">
        <v>137</v>
      </c>
      <c r="C9" s="100" t="s">
        <v>140</v>
      </c>
      <c r="D9" s="91">
        <v>40000</v>
      </c>
      <c r="E9" s="91">
        <v>0.8</v>
      </c>
    </row>
    <row r="10" spans="2:5" x14ac:dyDescent="0.35">
      <c r="B10" t="s">
        <v>47</v>
      </c>
      <c r="C10" s="100" t="s">
        <v>140</v>
      </c>
      <c r="D10" s="91">
        <v>100000</v>
      </c>
      <c r="E10" s="91">
        <v>0.5</v>
      </c>
    </row>
    <row r="11" spans="2:5" x14ac:dyDescent="0.35">
      <c r="B11" t="s">
        <v>66</v>
      </c>
      <c r="C11" s="100" t="s">
        <v>141</v>
      </c>
      <c r="D11" s="91">
        <v>100000</v>
      </c>
      <c r="E11" s="91">
        <v>0.25</v>
      </c>
    </row>
    <row r="12" spans="2:5" x14ac:dyDescent="0.35">
      <c r="B12" t="s">
        <v>131</v>
      </c>
      <c r="C12" s="100"/>
      <c r="D12" s="91">
        <v>50000</v>
      </c>
      <c r="E12" s="91">
        <v>1</v>
      </c>
    </row>
    <row r="13" spans="2:5" x14ac:dyDescent="0.35">
      <c r="B13" t="s">
        <v>133</v>
      </c>
      <c r="C13" s="100"/>
      <c r="D13" s="91"/>
      <c r="E13" s="91"/>
    </row>
    <row r="14" spans="2:5" x14ac:dyDescent="0.35">
      <c r="B14" t="s">
        <v>125</v>
      </c>
      <c r="C14" s="100"/>
      <c r="D14" s="91"/>
      <c r="E14" s="91"/>
    </row>
    <row r="15" spans="2:5" x14ac:dyDescent="0.35">
      <c r="B15" t="s">
        <v>132</v>
      </c>
      <c r="D15" s="91"/>
      <c r="E15" s="91"/>
    </row>
    <row r="16" spans="2:5" x14ac:dyDescent="0.35">
      <c r="B16" t="s">
        <v>134</v>
      </c>
      <c r="D16" s="91"/>
      <c r="E16" s="91"/>
    </row>
    <row r="17" spans="2:5" x14ac:dyDescent="0.35">
      <c r="B17" t="s">
        <v>135</v>
      </c>
      <c r="D17" s="91"/>
      <c r="E17" s="91"/>
    </row>
  </sheetData>
  <sortState xmlns:xlrd2="http://schemas.microsoft.com/office/spreadsheetml/2017/richdata2" ref="B3:E17">
    <sortCondition ref="C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5"/>
  <sheetViews>
    <sheetView showGridLines="0" zoomScale="80" zoomScaleNormal="80" workbookViewId="0">
      <pane xSplit="1" topLeftCell="B1" activePane="topRight" state="frozen"/>
      <selection pane="topRight" activeCell="B1" sqref="B1"/>
    </sheetView>
  </sheetViews>
  <sheetFormatPr defaultColWidth="9.1796875" defaultRowHeight="14.5" x14ac:dyDescent="0.35"/>
  <cols>
    <col min="1" max="1" width="18.453125" bestFit="1" customWidth="1"/>
    <col min="2" max="2" width="13" customWidth="1"/>
    <col min="3" max="3" width="11.36328125" bestFit="1" customWidth="1"/>
    <col min="4" max="4" width="24.54296875" customWidth="1"/>
    <col min="5" max="5" width="20" style="1" bestFit="1" customWidth="1"/>
    <col min="6" max="6" width="18.453125" style="1" bestFit="1" customWidth="1"/>
    <col min="7" max="7" width="17.7265625" style="1" bestFit="1" customWidth="1"/>
    <col min="8" max="8" width="14.81640625" style="1" customWidth="1"/>
    <col min="9" max="10" width="17.453125" style="1" customWidth="1"/>
    <col min="11" max="11" width="15.54296875" style="1" customWidth="1"/>
    <col min="12" max="12" width="14.81640625" style="1" customWidth="1"/>
    <col min="13" max="14" width="17.453125" style="1" customWidth="1"/>
    <col min="15" max="15" width="15.54296875" style="1" bestFit="1" customWidth="1"/>
    <col min="16" max="16" width="15.54296875" style="1" customWidth="1"/>
    <col min="17" max="17" width="18.81640625" style="1" customWidth="1"/>
    <col min="18" max="18" width="20.54296875" style="39" bestFit="1" customWidth="1"/>
    <col min="19" max="19" width="9.1796875" style="1"/>
    <col min="20" max="20" width="10.36328125" style="1" bestFit="1" customWidth="1"/>
    <col min="21" max="22" width="12.36328125" style="1" bestFit="1" customWidth="1"/>
    <col min="23" max="23" width="21.54296875" style="1" bestFit="1" customWidth="1"/>
    <col min="24" max="24" width="17.6328125" style="1" bestFit="1" customWidth="1"/>
    <col min="25" max="16384" width="9.1796875" style="1"/>
  </cols>
  <sheetData>
    <row r="1" spans="1:24" customFormat="1" ht="15" thickBot="1" x14ac:dyDescent="0.4">
      <c r="A1" s="34"/>
      <c r="K1" s="1"/>
      <c r="R1" s="39"/>
    </row>
    <row r="2" spans="1:24" customFormat="1" ht="15" thickBot="1" x14ac:dyDescent="0.4">
      <c r="A2" s="74"/>
      <c r="B2" s="141"/>
      <c r="C2" s="141"/>
      <c r="D2" s="157" t="s">
        <v>103</v>
      </c>
      <c r="E2" s="158"/>
      <c r="F2" s="151" t="s">
        <v>144</v>
      </c>
      <c r="G2" s="152"/>
      <c r="H2" s="152"/>
      <c r="I2" s="152"/>
      <c r="J2" s="152"/>
      <c r="K2" s="152"/>
      <c r="L2" s="152"/>
      <c r="M2" s="152"/>
      <c r="N2" s="152"/>
      <c r="O2" s="152"/>
      <c r="P2" s="153"/>
      <c r="Q2" s="153"/>
      <c r="R2" s="154"/>
    </row>
    <row r="3" spans="1:24" customFormat="1" ht="15" thickBot="1" x14ac:dyDescent="0.4">
      <c r="A3" s="40"/>
      <c r="B3" s="142"/>
      <c r="C3" s="142"/>
      <c r="D3" s="159" t="s">
        <v>95</v>
      </c>
      <c r="E3" s="160"/>
      <c r="F3" s="143" t="s">
        <v>93</v>
      </c>
      <c r="G3" s="145" t="s">
        <v>94</v>
      </c>
      <c r="H3" s="161" t="s">
        <v>96</v>
      </c>
      <c r="I3" s="162"/>
      <c r="J3" s="163"/>
      <c r="K3" s="164"/>
      <c r="L3" s="147" t="s">
        <v>97</v>
      </c>
      <c r="M3" s="148"/>
      <c r="N3" s="149"/>
      <c r="O3" s="150"/>
      <c r="P3" s="165" t="s">
        <v>145</v>
      </c>
      <c r="Q3" s="166"/>
      <c r="R3" s="155" t="s">
        <v>102</v>
      </c>
      <c r="U3" s="3"/>
      <c r="V3" s="93" t="s">
        <v>115</v>
      </c>
      <c r="W3" s="93" t="s">
        <v>113</v>
      </c>
      <c r="X3" s="93" t="s">
        <v>114</v>
      </c>
    </row>
    <row r="4" spans="1:24" customFormat="1" ht="15" thickBot="1" x14ac:dyDescent="0.4">
      <c r="A4" s="40"/>
      <c r="B4" s="70" t="s">
        <v>101</v>
      </c>
      <c r="C4" s="69" t="s">
        <v>92</v>
      </c>
      <c r="D4" s="71" t="s">
        <v>98</v>
      </c>
      <c r="E4" s="72" t="s">
        <v>110</v>
      </c>
      <c r="F4" s="144"/>
      <c r="G4" s="146"/>
      <c r="H4" s="72" t="s">
        <v>98</v>
      </c>
      <c r="I4" s="72" t="s">
        <v>99</v>
      </c>
      <c r="J4" s="72" t="s">
        <v>110</v>
      </c>
      <c r="K4" s="114" t="s">
        <v>106</v>
      </c>
      <c r="L4" s="72" t="s">
        <v>98</v>
      </c>
      <c r="M4" s="72" t="s">
        <v>99</v>
      </c>
      <c r="N4" s="72" t="s">
        <v>110</v>
      </c>
      <c r="O4" s="107" t="s">
        <v>106</v>
      </c>
      <c r="P4" s="123" t="s">
        <v>98</v>
      </c>
      <c r="Q4" s="123" t="s">
        <v>110</v>
      </c>
      <c r="R4" s="156"/>
      <c r="U4" s="94" t="s">
        <v>111</v>
      </c>
      <c r="V4" s="139">
        <v>43873</v>
      </c>
      <c r="W4" s="90">
        <v>5699</v>
      </c>
      <c r="X4" s="90">
        <f>W4-999</f>
        <v>4700</v>
      </c>
    </row>
    <row r="5" spans="1:24" customFormat="1" x14ac:dyDescent="0.35">
      <c r="A5" s="42">
        <v>43484</v>
      </c>
      <c r="B5" s="41">
        <v>-10000</v>
      </c>
      <c r="C5" s="22"/>
      <c r="D5" s="73">
        <v>12500</v>
      </c>
      <c r="E5" s="51">
        <f>E18-SUM(D5:D16)</f>
        <v>157000</v>
      </c>
      <c r="F5" s="61"/>
      <c r="G5" s="62"/>
      <c r="H5" s="63"/>
      <c r="I5" s="64"/>
      <c r="J5" s="103"/>
      <c r="K5" s="115">
        <f>IF(J5&lt;0,ABS(J5),0)</f>
        <v>0</v>
      </c>
      <c r="L5" s="121"/>
      <c r="M5" s="122"/>
      <c r="N5" s="122"/>
      <c r="O5" s="111">
        <f>IF(N5&lt;0,ABS(N5),0)</f>
        <v>0</v>
      </c>
      <c r="P5" s="124"/>
      <c r="Q5" s="124"/>
      <c r="R5" s="116">
        <v>34170</v>
      </c>
      <c r="U5" s="94" t="s">
        <v>112</v>
      </c>
      <c r="V5" s="140"/>
      <c r="W5" s="90">
        <f>2356+60</f>
        <v>2416</v>
      </c>
      <c r="X5" s="90">
        <v>60</v>
      </c>
    </row>
    <row r="6" spans="1:24" customFormat="1" x14ac:dyDescent="0.35">
      <c r="A6" s="42">
        <v>43515</v>
      </c>
      <c r="B6" s="37">
        <v>-10000</v>
      </c>
      <c r="C6" s="3"/>
      <c r="D6" s="45">
        <v>12500</v>
      </c>
      <c r="E6" s="53">
        <f>E5+D6</f>
        <v>169500</v>
      </c>
      <c r="F6" s="55"/>
      <c r="G6" s="55"/>
      <c r="H6" s="65"/>
      <c r="I6" s="101"/>
      <c r="J6" s="104"/>
      <c r="K6" s="105">
        <f t="shared" ref="K6:K23" si="0">IF(J6&lt;0,ABS(J6),0)</f>
        <v>0</v>
      </c>
      <c r="L6" s="65"/>
      <c r="M6" s="101"/>
      <c r="N6" s="101"/>
      <c r="O6" s="108">
        <f t="shared" ref="O6:O23" si="1">IF(N6&lt;0,ABS(N6),0)</f>
        <v>0</v>
      </c>
      <c r="P6" s="125"/>
      <c r="Q6" s="125"/>
      <c r="R6" s="117">
        <v>34300</v>
      </c>
    </row>
    <row r="7" spans="1:24" customFormat="1" x14ac:dyDescent="0.35">
      <c r="A7" s="42">
        <v>43543</v>
      </c>
      <c r="B7" s="37">
        <v>-10000</v>
      </c>
      <c r="C7" s="3"/>
      <c r="D7" s="45">
        <v>12500</v>
      </c>
      <c r="E7" s="53">
        <f t="shared" ref="E7:E15" si="2">E6+D7</f>
        <v>182000</v>
      </c>
      <c r="F7" s="55"/>
      <c r="G7" s="55"/>
      <c r="H7" s="65"/>
      <c r="I7" s="101"/>
      <c r="J7" s="104"/>
      <c r="K7" s="105">
        <f t="shared" si="0"/>
        <v>0</v>
      </c>
      <c r="L7" s="65"/>
      <c r="M7" s="101"/>
      <c r="N7" s="101"/>
      <c r="O7" s="108">
        <f t="shared" si="1"/>
        <v>0</v>
      </c>
      <c r="P7" s="125"/>
      <c r="Q7" s="125"/>
      <c r="R7" s="117">
        <v>32830</v>
      </c>
    </row>
    <row r="8" spans="1:24" x14ac:dyDescent="0.35">
      <c r="A8" s="42">
        <v>43574</v>
      </c>
      <c r="B8" s="37">
        <v>-10000</v>
      </c>
      <c r="C8" s="4"/>
      <c r="D8" s="45">
        <v>12500</v>
      </c>
      <c r="E8" s="53">
        <f t="shared" si="2"/>
        <v>194500</v>
      </c>
      <c r="F8" s="56"/>
      <c r="G8" s="56"/>
      <c r="H8" s="66">
        <v>1000</v>
      </c>
      <c r="I8" s="24"/>
      <c r="J8" s="109">
        <v>1000</v>
      </c>
      <c r="K8" s="105">
        <f t="shared" si="0"/>
        <v>0</v>
      </c>
      <c r="L8" s="43"/>
      <c r="M8" s="4"/>
      <c r="N8" s="119"/>
      <c r="O8" s="108">
        <f t="shared" si="1"/>
        <v>0</v>
      </c>
      <c r="P8" s="125"/>
      <c r="Q8" s="125"/>
      <c r="R8" s="117">
        <v>32825</v>
      </c>
    </row>
    <row r="9" spans="1:24" x14ac:dyDescent="0.35">
      <c r="A9" s="42">
        <v>43586</v>
      </c>
      <c r="B9" s="37">
        <v>-10000</v>
      </c>
      <c r="C9" s="4"/>
      <c r="D9" s="45">
        <v>12500</v>
      </c>
      <c r="E9" s="53">
        <f t="shared" si="2"/>
        <v>207000</v>
      </c>
      <c r="F9" s="57"/>
      <c r="G9" s="57"/>
      <c r="H9" s="43">
        <f>1000+20000+19814+1290+15558</f>
        <v>57662</v>
      </c>
      <c r="I9" s="4">
        <v>2029</v>
      </c>
      <c r="J9" s="106">
        <f t="shared" ref="J9:J16" si="3">J8+H9-I9</f>
        <v>56633</v>
      </c>
      <c r="K9" s="105">
        <f t="shared" si="0"/>
        <v>0</v>
      </c>
      <c r="L9" s="43"/>
      <c r="M9" s="4"/>
      <c r="N9" s="4"/>
      <c r="O9" s="108">
        <f t="shared" si="1"/>
        <v>0</v>
      </c>
      <c r="P9" s="125"/>
      <c r="Q9" s="125"/>
      <c r="R9" s="117">
        <v>33085</v>
      </c>
    </row>
    <row r="10" spans="1:24" x14ac:dyDescent="0.35">
      <c r="A10" s="42">
        <v>43617</v>
      </c>
      <c r="B10" s="37">
        <v>-10000</v>
      </c>
      <c r="C10" s="4"/>
      <c r="D10" s="45">
        <v>12500</v>
      </c>
      <c r="E10" s="53">
        <f t="shared" si="2"/>
        <v>219500</v>
      </c>
      <c r="F10" s="57"/>
      <c r="G10" s="57"/>
      <c r="H10" s="43">
        <f>17707+1000+18139+3733+15000+12276+27000+37624+30968+13219</f>
        <v>176666</v>
      </c>
      <c r="I10" s="4">
        <f>32500+33000+35000</f>
        <v>100500</v>
      </c>
      <c r="J10" s="106">
        <f t="shared" si="3"/>
        <v>132799</v>
      </c>
      <c r="K10" s="105">
        <f t="shared" si="0"/>
        <v>0</v>
      </c>
      <c r="L10" s="43"/>
      <c r="M10" s="4"/>
      <c r="N10" s="4"/>
      <c r="O10" s="108">
        <f t="shared" si="1"/>
        <v>0</v>
      </c>
      <c r="P10" s="125"/>
      <c r="Q10" s="125"/>
      <c r="R10" s="117">
        <v>35020</v>
      </c>
    </row>
    <row r="11" spans="1:24" x14ac:dyDescent="0.35">
      <c r="A11" s="42">
        <v>43647</v>
      </c>
      <c r="B11" s="37">
        <v>-10000</v>
      </c>
      <c r="C11" s="4"/>
      <c r="D11" s="45">
        <v>12500</v>
      </c>
      <c r="E11" s="53">
        <f t="shared" si="2"/>
        <v>232000</v>
      </c>
      <c r="F11" s="57"/>
      <c r="G11" s="57"/>
      <c r="H11" s="43">
        <f>1000+100000+100000+48039+42000+15000+43346</f>
        <v>349385</v>
      </c>
      <c r="I11" s="4">
        <f>20000+50000+7000+10000+35000</f>
        <v>122000</v>
      </c>
      <c r="J11" s="106">
        <f t="shared" si="3"/>
        <v>360184</v>
      </c>
      <c r="K11" s="105">
        <f t="shared" si="0"/>
        <v>0</v>
      </c>
      <c r="L11" s="43"/>
      <c r="M11" s="4"/>
      <c r="N11" s="4"/>
      <c r="O11" s="108">
        <f t="shared" si="1"/>
        <v>0</v>
      </c>
      <c r="P11" s="125"/>
      <c r="Q11" s="125"/>
      <c r="R11" s="117">
        <v>36000</v>
      </c>
    </row>
    <row r="12" spans="1:24" x14ac:dyDescent="0.35">
      <c r="A12" s="42">
        <v>43678</v>
      </c>
      <c r="B12" s="37">
        <v>-10000</v>
      </c>
      <c r="C12" s="4"/>
      <c r="D12" s="45">
        <v>12500</v>
      </c>
      <c r="E12" s="53">
        <f t="shared" si="2"/>
        <v>244500</v>
      </c>
      <c r="F12" s="57"/>
      <c r="G12" s="57"/>
      <c r="H12" s="43">
        <f>1000+32767+30000</f>
        <v>63767</v>
      </c>
      <c r="I12" s="4">
        <f>1000+10000+10000+4000+50000+50000+50000+50000+50000+50000+25000+25000+193</f>
        <v>375193</v>
      </c>
      <c r="J12" s="106">
        <f t="shared" si="3"/>
        <v>48758</v>
      </c>
      <c r="K12" s="105">
        <f t="shared" si="0"/>
        <v>0</v>
      </c>
      <c r="L12" s="43">
        <v>5000</v>
      </c>
      <c r="M12" s="4">
        <v>0</v>
      </c>
      <c r="N12" s="4">
        <f>L12-M12</f>
        <v>5000</v>
      </c>
      <c r="O12" s="108">
        <f t="shared" si="1"/>
        <v>0</v>
      </c>
      <c r="P12" s="125"/>
      <c r="Q12" s="125"/>
      <c r="R12" s="117">
        <v>38650</v>
      </c>
    </row>
    <row r="13" spans="1:24" x14ac:dyDescent="0.35">
      <c r="A13" s="42">
        <v>43709</v>
      </c>
      <c r="B13" s="37">
        <v>-10000</v>
      </c>
      <c r="C13" s="37">
        <v>26365</v>
      </c>
      <c r="D13" s="45">
        <v>12500</v>
      </c>
      <c r="E13" s="53">
        <f t="shared" si="2"/>
        <v>257000</v>
      </c>
      <c r="F13" s="57"/>
      <c r="G13" s="57"/>
      <c r="H13" s="89">
        <f>1000+13197+30000</f>
        <v>44197</v>
      </c>
      <c r="I13" s="88">
        <f>20000+2485</f>
        <v>22485</v>
      </c>
      <c r="J13" s="106">
        <f t="shared" si="3"/>
        <v>70470</v>
      </c>
      <c r="K13" s="105">
        <f t="shared" si="0"/>
        <v>0</v>
      </c>
      <c r="L13" s="43">
        <v>0</v>
      </c>
      <c r="M13" s="4">
        <v>0</v>
      </c>
      <c r="N13" s="4">
        <f>N12+L13-M13</f>
        <v>5000</v>
      </c>
      <c r="O13" s="108">
        <f t="shared" si="1"/>
        <v>0</v>
      </c>
      <c r="P13" s="125"/>
      <c r="Q13" s="125"/>
      <c r="R13" s="117">
        <v>40145</v>
      </c>
    </row>
    <row r="14" spans="1:24" x14ac:dyDescent="0.35">
      <c r="A14" s="42">
        <v>43739</v>
      </c>
      <c r="B14" s="37">
        <v>-10000</v>
      </c>
      <c r="C14" s="4"/>
      <c r="D14" s="45">
        <v>12500</v>
      </c>
      <c r="E14" s="53">
        <f t="shared" si="2"/>
        <v>269500</v>
      </c>
      <c r="F14" s="86">
        <v>10779</v>
      </c>
      <c r="G14" s="57"/>
      <c r="H14" s="89">
        <f>1000+80000</f>
        <v>81000</v>
      </c>
      <c r="I14" s="88">
        <f>12000+5000+20000+50000+12500+180</f>
        <v>99680</v>
      </c>
      <c r="J14" s="106">
        <f t="shared" si="3"/>
        <v>51790</v>
      </c>
      <c r="K14" s="105">
        <f t="shared" si="0"/>
        <v>0</v>
      </c>
      <c r="L14" s="43">
        <v>0</v>
      </c>
      <c r="M14" s="4">
        <v>0</v>
      </c>
      <c r="N14" s="4">
        <f>N13+L14-M14</f>
        <v>5000</v>
      </c>
      <c r="O14" s="108">
        <f t="shared" si="1"/>
        <v>0</v>
      </c>
      <c r="P14" s="125"/>
      <c r="Q14" s="125"/>
      <c r="R14" s="117">
        <v>37250</v>
      </c>
    </row>
    <row r="15" spans="1:24" x14ac:dyDescent="0.35">
      <c r="A15" s="42">
        <v>43770</v>
      </c>
      <c r="B15" s="37">
        <v>-10000</v>
      </c>
      <c r="C15" s="4"/>
      <c r="D15" s="45">
        <v>12500</v>
      </c>
      <c r="E15" s="53">
        <f t="shared" si="2"/>
        <v>282000</v>
      </c>
      <c r="F15" s="86">
        <v>10747</v>
      </c>
      <c r="G15" s="57"/>
      <c r="H15" s="89">
        <f>1000+74439+30000+1490+9791</f>
        <v>116720</v>
      </c>
      <c r="I15" s="88">
        <f>5728+15000</f>
        <v>20728</v>
      </c>
      <c r="J15" s="106">
        <f t="shared" si="3"/>
        <v>147782</v>
      </c>
      <c r="K15" s="105">
        <f t="shared" si="0"/>
        <v>0</v>
      </c>
      <c r="L15" s="43">
        <v>2186</v>
      </c>
      <c r="M15" s="4">
        <v>5060.3</v>
      </c>
      <c r="N15" s="4">
        <f>N14+L15-M15</f>
        <v>2125.6999999999998</v>
      </c>
      <c r="O15" s="108">
        <f t="shared" si="1"/>
        <v>0</v>
      </c>
      <c r="P15" s="125">
        <v>5000</v>
      </c>
      <c r="Q15" s="125">
        <f>P15</f>
        <v>5000</v>
      </c>
      <c r="R15" s="117">
        <v>38000</v>
      </c>
    </row>
    <row r="16" spans="1:24" x14ac:dyDescent="0.35">
      <c r="A16" s="42">
        <v>43800</v>
      </c>
      <c r="B16" s="37">
        <v>-10000</v>
      </c>
      <c r="C16" s="4"/>
      <c r="D16" s="45">
        <v>12500</v>
      </c>
      <c r="E16" s="53">
        <f>E15+D16</f>
        <v>294500</v>
      </c>
      <c r="F16" s="57"/>
      <c r="G16" s="57"/>
      <c r="H16" s="87">
        <f>1000</f>
        <v>1000</v>
      </c>
      <c r="I16" s="4">
        <f>50000+50000+2160</f>
        <v>102160</v>
      </c>
      <c r="J16" s="106">
        <f t="shared" si="3"/>
        <v>46622</v>
      </c>
      <c r="K16" s="105">
        <f t="shared" si="0"/>
        <v>0</v>
      </c>
      <c r="L16" s="43">
        <v>20000</v>
      </c>
      <c r="M16" s="4">
        <v>0</v>
      </c>
      <c r="N16" s="4">
        <f>N15+L16-M16</f>
        <v>22125.7</v>
      </c>
      <c r="O16" s="108">
        <f t="shared" si="1"/>
        <v>0</v>
      </c>
      <c r="P16" s="125">
        <f>5000+5000+5000</f>
        <v>15000</v>
      </c>
      <c r="Q16" s="125">
        <f>Q15+P16</f>
        <v>20000</v>
      </c>
      <c r="R16" s="117">
        <v>37700</v>
      </c>
    </row>
    <row r="17" spans="1:18" x14ac:dyDescent="0.35">
      <c r="A17" s="42" t="s">
        <v>100</v>
      </c>
      <c r="B17" s="38">
        <f>SUM(B9:B16)</f>
        <v>-80000</v>
      </c>
      <c r="C17" s="38"/>
      <c r="D17" s="46">
        <f>SUM(D5:D16)</f>
        <v>150000</v>
      </c>
      <c r="E17" s="47">
        <v>294500</v>
      </c>
      <c r="F17" s="59">
        <f>SUM(F14:F15)</f>
        <v>21526</v>
      </c>
      <c r="G17" s="59"/>
      <c r="H17" s="46">
        <f>SUM(H8:H16)</f>
        <v>891397</v>
      </c>
      <c r="I17" s="38">
        <f>SUM(I9:I16)</f>
        <v>844775</v>
      </c>
      <c r="J17" s="110">
        <f>H17-I17</f>
        <v>46622</v>
      </c>
      <c r="K17" s="110">
        <f>SUM(K4:K16)</f>
        <v>0</v>
      </c>
      <c r="L17" s="46">
        <f>SUM(L12:L16)</f>
        <v>27186</v>
      </c>
      <c r="M17" s="38">
        <f>SUM(M12:M16)</f>
        <v>5060.3</v>
      </c>
      <c r="N17" s="38">
        <f>L17-M17</f>
        <v>22125.7</v>
      </c>
      <c r="O17" s="47">
        <f>SUM(O4:O16)</f>
        <v>0</v>
      </c>
      <c r="P17" s="126">
        <f>SUM(P15:P16)</f>
        <v>20000</v>
      </c>
      <c r="Q17" s="126">
        <f>SUM(Q15:Q16)</f>
        <v>25000</v>
      </c>
      <c r="R17" s="118">
        <f>AVERAGE(R5:R16)</f>
        <v>35831.25</v>
      </c>
    </row>
    <row r="18" spans="1:18" x14ac:dyDescent="0.35">
      <c r="A18" s="42">
        <v>43831</v>
      </c>
      <c r="B18" s="37">
        <v>10000</v>
      </c>
      <c r="C18" s="4"/>
      <c r="D18" s="45">
        <v>12500</v>
      </c>
      <c r="E18" s="53">
        <f>E17+D18</f>
        <v>307000</v>
      </c>
      <c r="F18" s="57"/>
      <c r="G18" s="57"/>
      <c r="H18" s="43">
        <f>1000+50000+16697</f>
        <v>67697</v>
      </c>
      <c r="I18" s="4">
        <v>0</v>
      </c>
      <c r="J18" s="106">
        <f>J17+H18-I18</f>
        <v>114319</v>
      </c>
      <c r="K18" s="105">
        <f t="shared" si="0"/>
        <v>0</v>
      </c>
      <c r="L18" s="43">
        <f>8000+15149</f>
        <v>23149</v>
      </c>
      <c r="M18" s="4">
        <v>0</v>
      </c>
      <c r="N18" s="4">
        <f>N17+L18-M18</f>
        <v>45274.7</v>
      </c>
      <c r="O18" s="108">
        <f t="shared" si="1"/>
        <v>0</v>
      </c>
      <c r="P18" s="125">
        <f>10000+10000+8000</f>
        <v>28000</v>
      </c>
      <c r="Q18" s="125">
        <f>Q17+P18</f>
        <v>53000</v>
      </c>
      <c r="R18" s="117">
        <v>40190</v>
      </c>
    </row>
    <row r="19" spans="1:18" x14ac:dyDescent="0.35">
      <c r="A19" s="42">
        <v>43862</v>
      </c>
      <c r="B19" s="37">
        <v>10000</v>
      </c>
      <c r="C19" s="4"/>
      <c r="D19" s="45">
        <v>12500</v>
      </c>
      <c r="E19" s="53">
        <f t="shared" ref="E19:E29" si="4">E18+D19</f>
        <v>319500</v>
      </c>
      <c r="F19" s="57"/>
      <c r="G19" s="57"/>
      <c r="H19" s="43">
        <f>1000+22315</f>
        <v>23315</v>
      </c>
      <c r="I19" s="4">
        <v>20000</v>
      </c>
      <c r="J19" s="106">
        <f>J18+H19-I19</f>
        <v>117634</v>
      </c>
      <c r="K19" s="105">
        <f t="shared" si="0"/>
        <v>0</v>
      </c>
      <c r="L19" s="43">
        <f>30000+25000</f>
        <v>55000</v>
      </c>
      <c r="M19" s="4">
        <v>0</v>
      </c>
      <c r="N19" s="4">
        <f>N18+L19-M19</f>
        <v>100274.7</v>
      </c>
      <c r="O19" s="108">
        <f t="shared" si="1"/>
        <v>0</v>
      </c>
      <c r="P19" s="125">
        <v>67000</v>
      </c>
      <c r="Q19" s="125">
        <f t="shared" ref="Q19:Q21" si="5">Q18+P19</f>
        <v>120000</v>
      </c>
      <c r="R19" s="117">
        <v>42760</v>
      </c>
    </row>
    <row r="20" spans="1:18" x14ac:dyDescent="0.35">
      <c r="A20" s="42">
        <v>43891</v>
      </c>
      <c r="B20" s="37">
        <v>10000</v>
      </c>
      <c r="C20" s="4"/>
      <c r="D20" s="45">
        <v>12500</v>
      </c>
      <c r="E20" s="53">
        <f t="shared" si="4"/>
        <v>332000</v>
      </c>
      <c r="F20" s="86">
        <v>10667</v>
      </c>
      <c r="G20" s="57"/>
      <c r="H20" s="43">
        <v>1000</v>
      </c>
      <c r="I20" s="4">
        <f>24775+50000+40140+9924</f>
        <v>124839</v>
      </c>
      <c r="J20" s="106">
        <f>J19+H20-I20</f>
        <v>-6205</v>
      </c>
      <c r="K20" s="105">
        <f t="shared" si="0"/>
        <v>6205</v>
      </c>
      <c r="L20" s="43">
        <v>0</v>
      </c>
      <c r="M20" s="4">
        <v>101026.2</v>
      </c>
      <c r="N20" s="4">
        <f>N19+L20-M20</f>
        <v>-751.5</v>
      </c>
      <c r="O20" s="108">
        <f t="shared" si="1"/>
        <v>751.5</v>
      </c>
      <c r="P20" s="125">
        <f>10000+15000+4000+4000</f>
        <v>33000</v>
      </c>
      <c r="Q20" s="125">
        <f t="shared" si="5"/>
        <v>153000</v>
      </c>
      <c r="R20" s="117">
        <v>40560</v>
      </c>
    </row>
    <row r="21" spans="1:18" x14ac:dyDescent="0.35">
      <c r="A21" s="42">
        <v>43922</v>
      </c>
      <c r="B21" s="37">
        <v>10000</v>
      </c>
      <c r="C21" s="4"/>
      <c r="D21" s="45">
        <f>12500+15000</f>
        <v>27500</v>
      </c>
      <c r="E21" s="53">
        <f t="shared" si="4"/>
        <v>359500</v>
      </c>
      <c r="F21" s="57"/>
      <c r="G21" s="57"/>
      <c r="H21" s="43">
        <v>1000</v>
      </c>
      <c r="I21" s="112">
        <v>0</v>
      </c>
      <c r="J21" s="106">
        <f>IF(J20&lt;0,H21-I21,J20+H21-I21)</f>
        <v>1000</v>
      </c>
      <c r="K21" s="105">
        <f t="shared" si="0"/>
        <v>0</v>
      </c>
      <c r="L21" s="43">
        <v>0</v>
      </c>
      <c r="M21" s="4">
        <v>0</v>
      </c>
      <c r="N21" s="4">
        <v>0</v>
      </c>
      <c r="O21" s="108">
        <f t="shared" si="1"/>
        <v>0</v>
      </c>
      <c r="P21" s="125">
        <f>4000+4000+4000+20000+20000+10000+5000</f>
        <v>67000</v>
      </c>
      <c r="Q21" s="125">
        <f t="shared" si="5"/>
        <v>220000</v>
      </c>
      <c r="R21" s="117"/>
    </row>
    <row r="22" spans="1:18" x14ac:dyDescent="0.35">
      <c r="A22" s="42">
        <v>43952</v>
      </c>
      <c r="B22" s="37">
        <v>10000</v>
      </c>
      <c r="C22" s="4"/>
      <c r="D22" s="45">
        <v>12500</v>
      </c>
      <c r="E22" s="53">
        <f t="shared" si="4"/>
        <v>372000</v>
      </c>
      <c r="F22" s="57"/>
      <c r="G22" s="57"/>
      <c r="H22" s="43">
        <v>0</v>
      </c>
      <c r="I22" s="4">
        <v>0</v>
      </c>
      <c r="J22" s="106">
        <f>IF(J21&lt;0,H22-I22,J21+H22-I22)</f>
        <v>1000</v>
      </c>
      <c r="K22" s="105">
        <f t="shared" si="0"/>
        <v>0</v>
      </c>
      <c r="L22" s="43">
        <v>0</v>
      </c>
      <c r="M22" s="4">
        <v>0</v>
      </c>
      <c r="N22" s="4">
        <f t="shared" ref="N22:N23" si="6">N21+L22-M22</f>
        <v>0</v>
      </c>
      <c r="O22" s="108">
        <f t="shared" si="1"/>
        <v>0</v>
      </c>
      <c r="P22" s="127"/>
      <c r="Q22" s="127"/>
      <c r="R22" s="117"/>
    </row>
    <row r="23" spans="1:18" x14ac:dyDescent="0.35">
      <c r="A23" s="42">
        <v>43983</v>
      </c>
      <c r="B23" s="37">
        <v>10000</v>
      </c>
      <c r="C23" s="4"/>
      <c r="D23" s="45">
        <v>12500</v>
      </c>
      <c r="E23" s="53">
        <f t="shared" si="4"/>
        <v>384500</v>
      </c>
      <c r="F23" s="57"/>
      <c r="G23" s="57"/>
      <c r="H23" s="43">
        <v>0</v>
      </c>
      <c r="I23" s="4">
        <v>0</v>
      </c>
      <c r="J23" s="106">
        <f>IF(J22&lt;0,H23-I23,J22+H23-I23)</f>
        <v>1000</v>
      </c>
      <c r="K23" s="105">
        <f t="shared" si="0"/>
        <v>0</v>
      </c>
      <c r="L23" s="43">
        <v>0</v>
      </c>
      <c r="M23" s="4">
        <v>0</v>
      </c>
      <c r="N23" s="4">
        <f t="shared" si="6"/>
        <v>0</v>
      </c>
      <c r="O23" s="108">
        <f t="shared" si="1"/>
        <v>0</v>
      </c>
      <c r="P23" s="127"/>
      <c r="Q23" s="127"/>
      <c r="R23" s="117"/>
    </row>
    <row r="24" spans="1:18" x14ac:dyDescent="0.35">
      <c r="A24" s="42">
        <v>44013</v>
      </c>
      <c r="B24" s="37">
        <v>10000</v>
      </c>
      <c r="C24" s="4"/>
      <c r="D24" s="45">
        <v>12500</v>
      </c>
      <c r="E24" s="53">
        <f t="shared" si="4"/>
        <v>397000</v>
      </c>
      <c r="F24" s="57"/>
      <c r="G24" s="57"/>
      <c r="H24" s="43"/>
      <c r="I24" s="4"/>
      <c r="J24" s="106"/>
      <c r="K24" s="106"/>
      <c r="L24" s="43"/>
      <c r="M24" s="4"/>
      <c r="N24" s="106"/>
      <c r="O24" s="44"/>
      <c r="P24" s="127"/>
      <c r="Q24" s="127"/>
      <c r="R24" s="117"/>
    </row>
    <row r="25" spans="1:18" x14ac:dyDescent="0.35">
      <c r="A25" s="42">
        <v>44044</v>
      </c>
      <c r="B25" s="37">
        <v>10000</v>
      </c>
      <c r="C25" s="36"/>
      <c r="D25" s="45">
        <v>12500</v>
      </c>
      <c r="E25" s="53">
        <f t="shared" si="4"/>
        <v>409500</v>
      </c>
      <c r="F25" s="57"/>
      <c r="G25" s="58">
        <v>11491</v>
      </c>
      <c r="H25" s="43"/>
      <c r="I25" s="4"/>
      <c r="J25" s="106"/>
      <c r="K25" s="106"/>
      <c r="L25" s="43"/>
      <c r="M25" s="4"/>
      <c r="N25" s="106"/>
      <c r="O25" s="44"/>
      <c r="P25" s="127"/>
      <c r="Q25" s="127"/>
      <c r="R25" s="117"/>
    </row>
    <row r="26" spans="1:18" x14ac:dyDescent="0.35">
      <c r="A26" s="42">
        <v>44075</v>
      </c>
      <c r="B26" s="37">
        <v>7500</v>
      </c>
      <c r="C26" s="36"/>
      <c r="D26" s="45">
        <v>12500</v>
      </c>
      <c r="E26" s="53">
        <f t="shared" si="4"/>
        <v>422000</v>
      </c>
      <c r="F26" s="57"/>
      <c r="G26" s="58">
        <v>11548</v>
      </c>
      <c r="H26" s="43"/>
      <c r="I26" s="4"/>
      <c r="J26" s="106"/>
      <c r="K26" s="106"/>
      <c r="L26" s="43"/>
      <c r="M26" s="4"/>
      <c r="N26" s="106"/>
      <c r="O26" s="44"/>
      <c r="P26" s="127"/>
      <c r="Q26" s="127"/>
      <c r="R26" s="117"/>
    </row>
    <row r="27" spans="1:18" x14ac:dyDescent="0.35">
      <c r="A27" s="42">
        <v>44105</v>
      </c>
      <c r="B27" s="37">
        <v>7500</v>
      </c>
      <c r="C27" s="36"/>
      <c r="D27" s="52">
        <v>15000</v>
      </c>
      <c r="E27" s="53">
        <f t="shared" si="4"/>
        <v>437000</v>
      </c>
      <c r="F27" s="57"/>
      <c r="G27" s="58">
        <v>11548</v>
      </c>
      <c r="H27" s="43"/>
      <c r="I27" s="4"/>
      <c r="J27" s="106"/>
      <c r="K27" s="106"/>
      <c r="L27" s="43"/>
      <c r="M27" s="4"/>
      <c r="N27" s="106"/>
      <c r="O27" s="44"/>
      <c r="P27" s="127"/>
      <c r="Q27" s="127"/>
      <c r="R27" s="117"/>
    </row>
    <row r="28" spans="1:18" x14ac:dyDescent="0.35">
      <c r="A28" s="42">
        <v>44136</v>
      </c>
      <c r="B28" s="37">
        <v>7500</v>
      </c>
      <c r="C28" s="36"/>
      <c r="D28" s="52">
        <v>15000</v>
      </c>
      <c r="E28" s="53">
        <f t="shared" si="4"/>
        <v>452000</v>
      </c>
      <c r="F28" s="57"/>
      <c r="G28" s="57"/>
      <c r="H28" s="43"/>
      <c r="I28" s="4"/>
      <c r="J28" s="106"/>
      <c r="K28" s="106"/>
      <c r="L28" s="43"/>
      <c r="M28" s="4"/>
      <c r="N28" s="106"/>
      <c r="O28" s="44"/>
      <c r="P28" s="127"/>
      <c r="Q28" s="127"/>
      <c r="R28" s="117"/>
    </row>
    <row r="29" spans="1:18" x14ac:dyDescent="0.35">
      <c r="A29" s="42">
        <v>44166</v>
      </c>
      <c r="B29" s="37">
        <v>7500</v>
      </c>
      <c r="C29" s="36"/>
      <c r="D29" s="52">
        <v>15000</v>
      </c>
      <c r="E29" s="53">
        <f t="shared" si="4"/>
        <v>467000</v>
      </c>
      <c r="F29" s="58">
        <v>11581</v>
      </c>
      <c r="G29" s="58">
        <f>11605+17407</f>
        <v>29012</v>
      </c>
      <c r="H29" s="43"/>
      <c r="I29" s="4"/>
      <c r="J29" s="106"/>
      <c r="K29" s="106"/>
      <c r="L29" s="43"/>
      <c r="M29" s="4"/>
      <c r="N29" s="106"/>
      <c r="O29" s="44"/>
      <c r="P29" s="127"/>
      <c r="Q29" s="127"/>
      <c r="R29" s="117"/>
    </row>
    <row r="30" spans="1:18" x14ac:dyDescent="0.35">
      <c r="A30" s="42">
        <v>44197</v>
      </c>
      <c r="B30" s="36"/>
      <c r="C30" s="36"/>
      <c r="D30" s="48"/>
      <c r="E30" s="44"/>
      <c r="F30" s="58">
        <v>11581</v>
      </c>
      <c r="G30" s="58">
        <v>11605</v>
      </c>
      <c r="H30" s="43"/>
      <c r="I30" s="4"/>
      <c r="J30" s="106"/>
      <c r="K30" s="106"/>
      <c r="L30" s="43"/>
      <c r="M30" s="4"/>
      <c r="N30" s="106"/>
      <c r="O30" s="44"/>
      <c r="P30" s="127"/>
      <c r="Q30" s="127"/>
      <c r="R30" s="117"/>
    </row>
    <row r="31" spans="1:18" x14ac:dyDescent="0.35">
      <c r="A31" s="42">
        <v>44228</v>
      </c>
      <c r="B31" s="36"/>
      <c r="C31" s="36"/>
      <c r="D31" s="48"/>
      <c r="E31" s="44"/>
      <c r="F31" s="57"/>
      <c r="G31" s="58">
        <v>11605</v>
      </c>
      <c r="H31" s="43"/>
      <c r="I31" s="4"/>
      <c r="J31" s="106"/>
      <c r="K31" s="106"/>
      <c r="L31" s="43"/>
      <c r="M31" s="4"/>
      <c r="N31" s="106"/>
      <c r="O31" s="44"/>
      <c r="P31" s="127"/>
      <c r="Q31" s="127"/>
      <c r="R31" s="117"/>
    </row>
    <row r="32" spans="1:18" x14ac:dyDescent="0.35">
      <c r="A32" s="42">
        <v>44256</v>
      </c>
      <c r="B32" s="36"/>
      <c r="C32" s="36"/>
      <c r="D32" s="48"/>
      <c r="E32" s="44"/>
      <c r="F32" s="57"/>
      <c r="G32" s="58">
        <v>11605</v>
      </c>
      <c r="H32" s="43"/>
      <c r="I32" s="4"/>
      <c r="J32" s="106"/>
      <c r="K32" s="106"/>
      <c r="L32" s="43"/>
      <c r="M32" s="4"/>
      <c r="N32" s="106"/>
      <c r="O32" s="44"/>
      <c r="P32" s="127"/>
      <c r="Q32" s="127"/>
      <c r="R32" s="117"/>
    </row>
    <row r="33" spans="1:18" x14ac:dyDescent="0.35">
      <c r="A33" s="42">
        <v>44287</v>
      </c>
      <c r="B33" s="36"/>
      <c r="C33" s="36"/>
      <c r="D33" s="48"/>
      <c r="E33" s="44"/>
      <c r="F33" s="57"/>
      <c r="G33" s="57"/>
      <c r="H33" s="43"/>
      <c r="I33" s="4"/>
      <c r="J33" s="106"/>
      <c r="K33" s="106"/>
      <c r="L33" s="43"/>
      <c r="M33" s="4"/>
      <c r="N33" s="106"/>
      <c r="O33" s="44"/>
      <c r="P33" s="127"/>
      <c r="Q33" s="127"/>
      <c r="R33" s="117"/>
    </row>
    <row r="34" spans="1:18" x14ac:dyDescent="0.35">
      <c r="A34" s="42">
        <v>44317</v>
      </c>
      <c r="B34" s="36"/>
      <c r="C34" s="36"/>
      <c r="D34" s="48"/>
      <c r="E34" s="44"/>
      <c r="F34" s="57"/>
      <c r="G34" s="57"/>
      <c r="H34" s="43"/>
      <c r="I34" s="4"/>
      <c r="J34" s="106"/>
      <c r="K34" s="106"/>
      <c r="L34" s="43"/>
      <c r="M34" s="4"/>
      <c r="N34" s="106"/>
      <c r="O34" s="44"/>
      <c r="P34" s="127"/>
      <c r="Q34" s="127"/>
      <c r="R34" s="117"/>
    </row>
    <row r="35" spans="1:18" ht="15" thickBot="1" x14ac:dyDescent="0.4">
      <c r="A35" s="42">
        <v>44348</v>
      </c>
      <c r="B35" s="50"/>
      <c r="C35" s="50"/>
      <c r="D35" s="49"/>
      <c r="E35" s="54"/>
      <c r="F35" s="60"/>
      <c r="G35" s="60"/>
      <c r="H35" s="67"/>
      <c r="I35" s="68"/>
      <c r="J35" s="113"/>
      <c r="K35" s="113"/>
      <c r="L35" s="67"/>
      <c r="M35" s="68"/>
      <c r="N35" s="113"/>
      <c r="O35" s="54"/>
      <c r="P35" s="128"/>
      <c r="Q35" s="128"/>
      <c r="R35" s="120"/>
    </row>
  </sheetData>
  <mergeCells count="11">
    <mergeCell ref="V4:V5"/>
    <mergeCell ref="B2:C3"/>
    <mergeCell ref="F3:F4"/>
    <mergeCell ref="G3:G4"/>
    <mergeCell ref="L3:O3"/>
    <mergeCell ref="F2:R2"/>
    <mergeCell ref="R3:R4"/>
    <mergeCell ref="D2:E2"/>
    <mergeCell ref="D3:E3"/>
    <mergeCell ref="H3:K3"/>
    <mergeCell ref="P3: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5D1C-97DC-465E-B46D-0D2F2BE519AA}">
  <dimension ref="B2:H16"/>
  <sheetViews>
    <sheetView showGridLines="0" zoomScale="80" zoomScaleNormal="80" workbookViewId="0">
      <selection activeCell="F15" sqref="F15"/>
    </sheetView>
  </sheetViews>
  <sheetFormatPr defaultRowHeight="14.5" x14ac:dyDescent="0.35"/>
  <cols>
    <col min="2" max="2" width="26.7265625" bestFit="1" customWidth="1"/>
    <col min="3" max="3" width="19.453125" bestFit="1" customWidth="1"/>
    <col min="5" max="5" width="11.90625" bestFit="1" customWidth="1"/>
    <col min="6" max="6" width="13.1796875" style="1" bestFit="1" customWidth="1"/>
    <col min="7" max="7" width="13.6328125" bestFit="1" customWidth="1"/>
    <col min="8" max="8" width="24.54296875" bestFit="1" customWidth="1"/>
    <col min="10" max="10" width="6.36328125" bestFit="1" customWidth="1"/>
    <col min="11" max="11" width="32.7265625" bestFit="1" customWidth="1"/>
    <col min="12" max="12" width="4.7265625" bestFit="1" customWidth="1"/>
    <col min="13" max="13" width="8.26953125" bestFit="1" customWidth="1"/>
  </cols>
  <sheetData>
    <row r="2" spans="2:8" x14ac:dyDescent="0.35">
      <c r="B2" s="167" t="s">
        <v>9</v>
      </c>
      <c r="C2" s="167"/>
      <c r="E2" s="167" t="s">
        <v>8</v>
      </c>
      <c r="F2" s="167"/>
      <c r="G2" s="167"/>
      <c r="H2" s="167"/>
    </row>
    <row r="3" spans="2:8" x14ac:dyDescent="0.35">
      <c r="B3" s="3" t="s">
        <v>40</v>
      </c>
      <c r="C3" s="4">
        <v>50000</v>
      </c>
      <c r="E3" s="3" t="s">
        <v>4</v>
      </c>
      <c r="F3" s="4" t="s">
        <v>1</v>
      </c>
      <c r="G3" s="11" t="s">
        <v>3</v>
      </c>
      <c r="H3" s="3" t="s">
        <v>6</v>
      </c>
    </row>
    <row r="4" spans="2:8" x14ac:dyDescent="0.35">
      <c r="B4" s="3" t="s">
        <v>0</v>
      </c>
      <c r="C4" s="9">
        <v>300000</v>
      </c>
      <c r="E4" s="3">
        <v>202003</v>
      </c>
      <c r="F4" s="4">
        <f>5660-2999-540</f>
        <v>2121</v>
      </c>
      <c r="G4" s="3">
        <v>64</v>
      </c>
      <c r="H4" s="5">
        <f t="shared" ref="H4:H14" si="0">IFERROR(F4/G4,0)</f>
        <v>33.140625</v>
      </c>
    </row>
    <row r="5" spans="2:8" x14ac:dyDescent="0.35">
      <c r="B5" s="3" t="s">
        <v>1</v>
      </c>
      <c r="C5" s="4">
        <f>SUM(F:F)</f>
        <v>305017.72000000003</v>
      </c>
      <c r="E5" s="3">
        <v>202004</v>
      </c>
      <c r="F5" s="4">
        <v>39268.910000000003</v>
      </c>
      <c r="G5" s="3">
        <v>1462</v>
      </c>
      <c r="H5" s="5">
        <f t="shared" si="0"/>
        <v>26.859719562243505</v>
      </c>
    </row>
    <row r="6" spans="2:8" x14ac:dyDescent="0.35">
      <c r="B6" s="3" t="s">
        <v>2</v>
      </c>
      <c r="C6" s="129">
        <f>IF(C4=0,0,C4-C5)</f>
        <v>-5017.7200000000303</v>
      </c>
      <c r="E6" s="3">
        <v>202005</v>
      </c>
      <c r="F6" s="4">
        <v>30784.77</v>
      </c>
      <c r="G6" s="3">
        <v>840</v>
      </c>
      <c r="H6" s="5">
        <f t="shared" si="0"/>
        <v>36.648535714285714</v>
      </c>
    </row>
    <row r="7" spans="2:8" x14ac:dyDescent="0.35">
      <c r="B7" s="3" t="s">
        <v>3</v>
      </c>
      <c r="C7" s="9">
        <f>SUM(G:G)</f>
        <v>6820</v>
      </c>
      <c r="E7" s="6">
        <v>202006</v>
      </c>
      <c r="F7" s="4">
        <v>51308.78</v>
      </c>
      <c r="G7" s="6">
        <v>1114</v>
      </c>
      <c r="H7" s="5">
        <f t="shared" si="0"/>
        <v>46.058150807899459</v>
      </c>
    </row>
    <row r="8" spans="2:8" x14ac:dyDescent="0.35">
      <c r="B8" s="3" t="s">
        <v>50</v>
      </c>
      <c r="C8" s="4">
        <v>0.25</v>
      </c>
      <c r="E8" s="6">
        <v>202007</v>
      </c>
      <c r="F8" s="4">
        <v>16595.900000000001</v>
      </c>
      <c r="G8" s="6">
        <v>242</v>
      </c>
      <c r="H8" s="76">
        <f t="shared" si="0"/>
        <v>68.578099173553724</v>
      </c>
    </row>
    <row r="9" spans="2:8" x14ac:dyDescent="0.35">
      <c r="B9" s="3" t="s">
        <v>7</v>
      </c>
      <c r="C9" s="4">
        <f>C7*C8</f>
        <v>1705</v>
      </c>
      <c r="E9" s="6">
        <v>202008</v>
      </c>
      <c r="F9" s="4">
        <f>20176.8</f>
        <v>20176.8</v>
      </c>
      <c r="G9" s="6">
        <v>180</v>
      </c>
      <c r="H9" s="76">
        <f t="shared" si="0"/>
        <v>112.09333333333333</v>
      </c>
    </row>
    <row r="10" spans="2:8" x14ac:dyDescent="0.35">
      <c r="B10" s="3" t="s">
        <v>6</v>
      </c>
      <c r="C10" s="4">
        <f>C5/C7</f>
        <v>44.72400586510264</v>
      </c>
      <c r="E10" s="6">
        <v>202009</v>
      </c>
      <c r="F10" s="4">
        <f>35776.15</f>
        <v>35776.15</v>
      </c>
      <c r="G10" s="6">
        <v>524</v>
      </c>
      <c r="H10" s="76">
        <f t="shared" si="0"/>
        <v>68.275095419847332</v>
      </c>
    </row>
    <row r="11" spans="2:8" x14ac:dyDescent="0.35">
      <c r="B11" s="6" t="s">
        <v>18</v>
      </c>
      <c r="C11" s="9" t="s">
        <v>124</v>
      </c>
      <c r="E11" s="6">
        <v>202010</v>
      </c>
      <c r="F11" s="4">
        <f>17743.56</f>
        <v>17743.560000000001</v>
      </c>
      <c r="G11" s="6">
        <v>102</v>
      </c>
      <c r="H11" s="76">
        <f t="shared" si="0"/>
        <v>173.95647058823531</v>
      </c>
    </row>
    <row r="12" spans="2:8" x14ac:dyDescent="0.35">
      <c r="B12" s="6" t="s">
        <v>41</v>
      </c>
      <c r="C12" s="9">
        <f>COUNTA(E4:E1048576)</f>
        <v>12</v>
      </c>
      <c r="E12" s="6">
        <v>202011</v>
      </c>
      <c r="F12" s="4">
        <f>13413</f>
        <v>13413</v>
      </c>
      <c r="G12" s="6">
        <v>214</v>
      </c>
      <c r="H12" s="76">
        <f t="shared" si="0"/>
        <v>62.677570093457945</v>
      </c>
    </row>
    <row r="13" spans="2:8" x14ac:dyDescent="0.35">
      <c r="B13" s="6" t="s">
        <v>51</v>
      </c>
      <c r="C13" s="9">
        <v>2</v>
      </c>
      <c r="E13" s="6">
        <v>202012</v>
      </c>
      <c r="F13" s="4">
        <v>28048.95</v>
      </c>
      <c r="G13" s="6">
        <v>1002</v>
      </c>
      <c r="H13" s="76">
        <f t="shared" si="0"/>
        <v>27.992964071856289</v>
      </c>
    </row>
    <row r="14" spans="2:8" x14ac:dyDescent="0.35">
      <c r="B14" s="6" t="s">
        <v>52</v>
      </c>
      <c r="C14" s="9">
        <f>(1/C10)*100</f>
        <v>2.2359356695735579</v>
      </c>
      <c r="E14" s="6">
        <v>202101</v>
      </c>
      <c r="F14" s="4">
        <v>49779.9</v>
      </c>
      <c r="G14" s="3">
        <v>1076</v>
      </c>
      <c r="H14" s="76">
        <f t="shared" si="0"/>
        <v>46.263847583643127</v>
      </c>
    </row>
    <row r="15" spans="2:8" x14ac:dyDescent="0.35">
      <c r="B15" s="7" t="s">
        <v>58</v>
      </c>
      <c r="C15" s="4">
        <f ca="1">INDIRECT("F"&amp;COUNTA(F:F)+2)</f>
        <v>49779.9</v>
      </c>
      <c r="E15" s="131">
        <v>202102</v>
      </c>
    </row>
    <row r="16" spans="2:8" x14ac:dyDescent="0.35">
      <c r="B16" s="6" t="s">
        <v>60</v>
      </c>
      <c r="C16" s="17">
        <f>C9/C5</f>
        <v>5.5898391739338943E-3</v>
      </c>
    </row>
  </sheetData>
  <mergeCells count="2">
    <mergeCell ref="B2:C2"/>
    <mergeCell ref="E2:H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L23"/>
  <sheetViews>
    <sheetView showGridLines="0" tabSelected="1" zoomScale="80" zoomScaleNormal="80" workbookViewId="0">
      <selection activeCell="F19" sqref="F19:F23"/>
    </sheetView>
  </sheetViews>
  <sheetFormatPr defaultRowHeight="14.5" x14ac:dyDescent="0.35"/>
  <cols>
    <col min="2" max="2" width="31" bestFit="1" customWidth="1"/>
    <col min="3" max="3" width="21.7265625" style="8" bestFit="1" customWidth="1"/>
    <col min="5" max="5" width="12.36328125" bestFit="1" customWidth="1"/>
    <col min="6" max="6" width="13.1796875" style="1" bestFit="1" customWidth="1"/>
    <col min="7" max="7" width="13.6328125" style="13" bestFit="1" customWidth="1"/>
    <col min="8" max="8" width="25.6328125" style="1" bestFit="1" customWidth="1"/>
    <col min="9" max="9" width="10.1796875" bestFit="1" customWidth="1"/>
    <col min="10" max="10" width="12" bestFit="1" customWidth="1"/>
    <col min="11" max="11" width="38.1796875" bestFit="1" customWidth="1"/>
    <col min="12" max="12" width="8.81640625" customWidth="1"/>
  </cols>
  <sheetData>
    <row r="1" spans="2:12" x14ac:dyDescent="0.35">
      <c r="G1"/>
    </row>
    <row r="2" spans="2:12" x14ac:dyDescent="0.35">
      <c r="E2" s="167" t="s">
        <v>28</v>
      </c>
      <c r="F2" s="167"/>
      <c r="G2" s="167"/>
      <c r="H2" s="167"/>
      <c r="I2" s="167"/>
      <c r="J2" s="167"/>
    </row>
    <row r="3" spans="2:12" x14ac:dyDescent="0.35">
      <c r="E3" s="168" t="s">
        <v>80</v>
      </c>
      <c r="F3" s="168"/>
      <c r="G3" s="168"/>
      <c r="H3" s="168"/>
      <c r="I3" s="168"/>
      <c r="J3" s="168"/>
    </row>
    <row r="4" spans="2:12" x14ac:dyDescent="0.35">
      <c r="G4"/>
    </row>
    <row r="5" spans="2:12" x14ac:dyDescent="0.35">
      <c r="B5" s="167" t="s">
        <v>9</v>
      </c>
      <c r="C5" s="167"/>
      <c r="E5" s="167" t="s">
        <v>8</v>
      </c>
      <c r="F5" s="167"/>
      <c r="G5" s="167"/>
      <c r="H5" s="167"/>
      <c r="J5" s="10"/>
      <c r="K5" s="18" t="s">
        <v>13</v>
      </c>
      <c r="L5" s="10" t="s">
        <v>14</v>
      </c>
    </row>
    <row r="6" spans="2:12" x14ac:dyDescent="0.35">
      <c r="B6" s="3" t="s">
        <v>40</v>
      </c>
      <c r="C6" s="4">
        <v>200000</v>
      </c>
      <c r="E6" s="22" t="s">
        <v>4</v>
      </c>
      <c r="F6" s="79" t="s">
        <v>1</v>
      </c>
      <c r="G6" s="80" t="s">
        <v>3</v>
      </c>
      <c r="H6" s="79" t="s">
        <v>6</v>
      </c>
      <c r="J6" s="84" t="s">
        <v>10</v>
      </c>
      <c r="K6" t="s">
        <v>84</v>
      </c>
      <c r="L6" s="3" t="s">
        <v>83</v>
      </c>
    </row>
    <row r="7" spans="2:12" x14ac:dyDescent="0.35">
      <c r="B7" s="3" t="s">
        <v>0</v>
      </c>
      <c r="C7" s="85">
        <v>100000</v>
      </c>
      <c r="E7" s="6">
        <v>201908</v>
      </c>
      <c r="F7" s="7">
        <v>588</v>
      </c>
      <c r="G7" s="11">
        <v>0</v>
      </c>
      <c r="H7" s="7">
        <f>IFERROR(F7/G7,0)</f>
        <v>0</v>
      </c>
      <c r="J7" s="83" t="s">
        <v>108</v>
      </c>
      <c r="K7" s="3" t="s">
        <v>81</v>
      </c>
      <c r="L7" s="3" t="s">
        <v>82</v>
      </c>
    </row>
    <row r="8" spans="2:12" x14ac:dyDescent="0.35">
      <c r="B8" s="3" t="s">
        <v>1</v>
      </c>
      <c r="C8" s="4">
        <f>SUM(F:F)</f>
        <v>193063.08000000002</v>
      </c>
      <c r="E8" s="3">
        <v>201909</v>
      </c>
      <c r="F8" s="4">
        <v>21607</v>
      </c>
      <c r="G8" s="11">
        <v>1145</v>
      </c>
      <c r="H8" s="7">
        <f t="shared" ref="H8:H23" si="0">IFERROR(F8/G8,0)</f>
        <v>18.870742358078601</v>
      </c>
    </row>
    <row r="9" spans="2:12" x14ac:dyDescent="0.35">
      <c r="B9" s="3" t="s">
        <v>2</v>
      </c>
      <c r="C9" s="137">
        <f>IF(C7-SUM(F19:F30)&lt;0,0,C7-SUM(F19:F30))</f>
        <v>64050.92</v>
      </c>
      <c r="E9" s="3">
        <v>201910</v>
      </c>
      <c r="F9" s="4">
        <v>29200</v>
      </c>
      <c r="G9" s="11">
        <v>2579</v>
      </c>
      <c r="H9" s="7">
        <f t="shared" si="0"/>
        <v>11.322217913920124</v>
      </c>
    </row>
    <row r="10" spans="2:12" x14ac:dyDescent="0.35">
      <c r="B10" s="3" t="s">
        <v>3</v>
      </c>
      <c r="C10" s="9">
        <f>SUM(G:G)</f>
        <v>5699</v>
      </c>
      <c r="E10" s="6">
        <v>201911</v>
      </c>
      <c r="F10" s="4">
        <v>18102</v>
      </c>
      <c r="G10" s="11">
        <v>482</v>
      </c>
      <c r="H10" s="7">
        <f t="shared" si="0"/>
        <v>37.556016597510371</v>
      </c>
    </row>
    <row r="11" spans="2:12" x14ac:dyDescent="0.35">
      <c r="B11" s="3" t="s">
        <v>50</v>
      </c>
      <c r="C11" s="4">
        <v>0.25</v>
      </c>
      <c r="E11" s="6">
        <v>201912</v>
      </c>
      <c r="F11" s="4">
        <v>4874</v>
      </c>
      <c r="G11" s="11">
        <v>49</v>
      </c>
      <c r="H11" s="4">
        <f t="shared" si="0"/>
        <v>99.469387755102048</v>
      </c>
    </row>
    <row r="12" spans="2:12" x14ac:dyDescent="0.35">
      <c r="B12" s="3" t="s">
        <v>7</v>
      </c>
      <c r="C12" s="4">
        <f>C10*C11</f>
        <v>1424.75</v>
      </c>
      <c r="E12" s="6">
        <v>202001</v>
      </c>
      <c r="F12" s="4">
        <f>6568+16525</f>
        <v>23093</v>
      </c>
      <c r="G12" s="11">
        <v>263</v>
      </c>
      <c r="H12" s="4">
        <f t="shared" si="0"/>
        <v>87.806083650190118</v>
      </c>
    </row>
    <row r="13" spans="2:12" x14ac:dyDescent="0.35">
      <c r="B13" s="3" t="s">
        <v>6</v>
      </c>
      <c r="C13" s="4">
        <f>C8/C10</f>
        <v>33.876659062993511</v>
      </c>
      <c r="E13" s="6">
        <v>202002</v>
      </c>
      <c r="F13" s="4">
        <v>36130</v>
      </c>
      <c r="G13" s="11">
        <f>5052-4518</f>
        <v>534</v>
      </c>
      <c r="H13" s="4">
        <f t="shared" si="0"/>
        <v>67.659176029962552</v>
      </c>
    </row>
    <row r="14" spans="2:12" x14ac:dyDescent="0.35">
      <c r="B14" s="6" t="s">
        <v>18</v>
      </c>
      <c r="C14" s="9" t="s">
        <v>21</v>
      </c>
      <c r="E14" s="6">
        <v>202003</v>
      </c>
      <c r="F14" s="4">
        <v>10537</v>
      </c>
      <c r="G14" s="11">
        <v>148</v>
      </c>
      <c r="H14" s="4">
        <f t="shared" si="0"/>
        <v>71.195945945945951</v>
      </c>
    </row>
    <row r="15" spans="2:12" x14ac:dyDescent="0.35">
      <c r="B15" s="6" t="s">
        <v>41</v>
      </c>
      <c r="C15" s="9">
        <f>COUNTA(E7:E1048576)</f>
        <v>17</v>
      </c>
      <c r="E15" s="6">
        <v>202004</v>
      </c>
      <c r="F15" s="4">
        <v>2421</v>
      </c>
      <c r="G15" s="11">
        <v>19</v>
      </c>
      <c r="H15" s="4">
        <f t="shared" si="0"/>
        <v>127.42105263157895</v>
      </c>
    </row>
    <row r="16" spans="2:12" x14ac:dyDescent="0.35">
      <c r="B16" s="6" t="s">
        <v>51</v>
      </c>
      <c r="C16" s="9">
        <v>1</v>
      </c>
      <c r="E16" s="6">
        <v>202005</v>
      </c>
      <c r="F16" s="4">
        <v>1164</v>
      </c>
      <c r="G16" s="11">
        <v>7</v>
      </c>
      <c r="H16" s="4">
        <f t="shared" si="0"/>
        <v>166.28571428571428</v>
      </c>
    </row>
    <row r="17" spans="2:8" x14ac:dyDescent="0.35">
      <c r="B17" s="6" t="s">
        <v>52</v>
      </c>
      <c r="C17" s="9">
        <f>(1/C13)*100</f>
        <v>2.9518849486913807</v>
      </c>
      <c r="E17" s="6">
        <v>202006</v>
      </c>
      <c r="F17" s="4">
        <v>824</v>
      </c>
      <c r="G17" s="11">
        <v>72</v>
      </c>
      <c r="H17" s="4">
        <f t="shared" si="0"/>
        <v>11.444444444444445</v>
      </c>
    </row>
    <row r="18" spans="2:8" x14ac:dyDescent="0.35">
      <c r="B18" s="7" t="s">
        <v>58</v>
      </c>
      <c r="C18" s="4">
        <f ca="1">INDIRECT("F"&amp;COUNTA(F:F)+5)</f>
        <v>587</v>
      </c>
      <c r="E18" s="6">
        <v>202007</v>
      </c>
      <c r="F18" s="4">
        <v>8574</v>
      </c>
      <c r="G18" s="11">
        <v>106</v>
      </c>
      <c r="H18" s="4">
        <f t="shared" si="0"/>
        <v>80.886792452830193</v>
      </c>
    </row>
    <row r="19" spans="2:8" x14ac:dyDescent="0.35">
      <c r="B19" s="6" t="s">
        <v>60</v>
      </c>
      <c r="C19" s="17">
        <f>C12/C8</f>
        <v>7.3797123717284519E-3</v>
      </c>
      <c r="E19" s="6">
        <v>202008</v>
      </c>
      <c r="F19" s="4">
        <v>1179</v>
      </c>
      <c r="G19" s="11">
        <v>1</v>
      </c>
      <c r="H19" s="4">
        <f t="shared" si="0"/>
        <v>1179</v>
      </c>
    </row>
    <row r="20" spans="2:8" x14ac:dyDescent="0.35">
      <c r="E20" s="6">
        <v>202009</v>
      </c>
      <c r="F20" s="4">
        <f>133.62+25.67</f>
        <v>159.29000000000002</v>
      </c>
      <c r="G20" s="11">
        <v>1</v>
      </c>
      <c r="H20" s="4">
        <f t="shared" si="0"/>
        <v>159.29000000000002</v>
      </c>
    </row>
    <row r="21" spans="2:8" x14ac:dyDescent="0.35">
      <c r="E21" s="6">
        <v>202010</v>
      </c>
      <c r="F21" s="4">
        <v>587</v>
      </c>
      <c r="G21" s="11">
        <v>1</v>
      </c>
      <c r="H21" s="4">
        <f t="shared" si="0"/>
        <v>587</v>
      </c>
    </row>
    <row r="22" spans="2:8" x14ac:dyDescent="0.35">
      <c r="E22" s="6">
        <v>202011</v>
      </c>
      <c r="F22" s="4">
        <f>33418.41+18.38</f>
        <v>33436.79</v>
      </c>
      <c r="G22" s="11">
        <v>291</v>
      </c>
      <c r="H22" s="4">
        <f t="shared" si="0"/>
        <v>114.90305841924399</v>
      </c>
    </row>
    <row r="23" spans="2:8" x14ac:dyDescent="0.35">
      <c r="E23" s="6">
        <v>202012</v>
      </c>
      <c r="F23" s="4">
        <v>587</v>
      </c>
      <c r="G23" s="11">
        <v>1</v>
      </c>
      <c r="H23" s="4">
        <f t="shared" si="0"/>
        <v>587</v>
      </c>
    </row>
  </sheetData>
  <mergeCells count="4">
    <mergeCell ref="E2:J2"/>
    <mergeCell ref="E3:J3"/>
    <mergeCell ref="B5:C5"/>
    <mergeCell ref="E5:H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B474-D784-4A41-BC12-BCCF470744CC}">
  <dimension ref="B2:H16"/>
  <sheetViews>
    <sheetView showGridLines="0" zoomScale="80" zoomScaleNormal="80" workbookViewId="0"/>
  </sheetViews>
  <sheetFormatPr defaultRowHeight="14.5" x14ac:dyDescent="0.35"/>
  <cols>
    <col min="2" max="2" width="26.7265625" bestFit="1" customWidth="1"/>
    <col min="3" max="3" width="19.453125" bestFit="1" customWidth="1"/>
    <col min="5" max="5" width="11.90625" bestFit="1" customWidth="1"/>
    <col min="6" max="6" width="13.1796875" style="1" bestFit="1" customWidth="1"/>
    <col min="7" max="7" width="13.6328125" bestFit="1" customWidth="1"/>
    <col min="8" max="8" width="24.54296875" bestFit="1" customWidth="1"/>
    <col min="10" max="10" width="6.36328125" bestFit="1" customWidth="1"/>
    <col min="11" max="11" width="32.7265625" bestFit="1" customWidth="1"/>
    <col min="12" max="12" width="4.7265625" bestFit="1" customWidth="1"/>
    <col min="13" max="13" width="8.26953125" bestFit="1" customWidth="1"/>
  </cols>
  <sheetData>
    <row r="2" spans="2:8" x14ac:dyDescent="0.35">
      <c r="B2" s="167" t="s">
        <v>9</v>
      </c>
      <c r="C2" s="167"/>
      <c r="E2" s="167" t="s">
        <v>8</v>
      </c>
      <c r="F2" s="167"/>
      <c r="G2" s="167"/>
      <c r="H2" s="167"/>
    </row>
    <row r="3" spans="2:8" x14ac:dyDescent="0.35">
      <c r="B3" s="3" t="s">
        <v>40</v>
      </c>
      <c r="C3" s="4">
        <v>100000</v>
      </c>
      <c r="E3" s="3" t="s">
        <v>4</v>
      </c>
      <c r="F3" s="4" t="s">
        <v>1</v>
      </c>
      <c r="G3" s="11" t="s">
        <v>3</v>
      </c>
      <c r="H3" s="3" t="s">
        <v>6</v>
      </c>
    </row>
    <row r="4" spans="2:8" x14ac:dyDescent="0.35">
      <c r="B4" s="3" t="s">
        <v>0</v>
      </c>
      <c r="C4" s="85">
        <v>50000</v>
      </c>
      <c r="E4" s="3">
        <v>202004</v>
      </c>
      <c r="F4" s="4">
        <v>11000</v>
      </c>
      <c r="G4" s="3">
        <v>110</v>
      </c>
      <c r="H4" s="5">
        <f t="shared" ref="H4:H10" si="0">IFERROR(F4/G4,0)</f>
        <v>100</v>
      </c>
    </row>
    <row r="5" spans="2:8" x14ac:dyDescent="0.35">
      <c r="B5" s="3" t="s">
        <v>1</v>
      </c>
      <c r="C5" s="4">
        <f>SUM(F:F)</f>
        <v>55114.39</v>
      </c>
      <c r="E5" s="3">
        <v>202005</v>
      </c>
      <c r="F5" s="4">
        <v>5354</v>
      </c>
      <c r="G5" s="3">
        <v>54</v>
      </c>
      <c r="H5" s="5">
        <f t="shared" si="0"/>
        <v>99.148148148148152</v>
      </c>
    </row>
    <row r="6" spans="2:8" x14ac:dyDescent="0.35">
      <c r="B6" s="3" t="s">
        <v>2</v>
      </c>
      <c r="C6" s="37">
        <f>IF(C4-C5&lt;0,0,C4-C5)</f>
        <v>0</v>
      </c>
      <c r="E6" s="3">
        <v>202006</v>
      </c>
      <c r="F6" s="4">
        <v>1500</v>
      </c>
      <c r="G6" s="3">
        <v>15</v>
      </c>
      <c r="H6" s="5">
        <f t="shared" si="0"/>
        <v>100</v>
      </c>
    </row>
    <row r="7" spans="2:8" x14ac:dyDescent="0.35">
      <c r="B7" s="3" t="s">
        <v>3</v>
      </c>
      <c r="C7" s="9">
        <f>SUM(G:G)</f>
        <v>552</v>
      </c>
      <c r="E7" s="3">
        <v>202007</v>
      </c>
      <c r="F7" s="4">
        <v>631.79999999999995</v>
      </c>
      <c r="G7" s="3">
        <v>6</v>
      </c>
      <c r="H7" s="5">
        <f t="shared" si="0"/>
        <v>105.3</v>
      </c>
    </row>
    <row r="8" spans="2:8" x14ac:dyDescent="0.35">
      <c r="B8" s="3" t="s">
        <v>50</v>
      </c>
      <c r="C8" s="4">
        <v>1</v>
      </c>
      <c r="E8" s="6">
        <v>202008</v>
      </c>
      <c r="F8" s="4">
        <v>6604.59</v>
      </c>
      <c r="G8" s="6">
        <v>67</v>
      </c>
      <c r="H8" s="76">
        <f t="shared" si="0"/>
        <v>98.575970149253735</v>
      </c>
    </row>
    <row r="9" spans="2:8" x14ac:dyDescent="0.35">
      <c r="B9" s="3" t="s">
        <v>7</v>
      </c>
      <c r="C9" s="4">
        <f>C7*C8</f>
        <v>552</v>
      </c>
      <c r="E9" s="6">
        <v>202009</v>
      </c>
      <c r="F9" s="4">
        <v>20024</v>
      </c>
      <c r="G9" s="6">
        <v>200</v>
      </c>
      <c r="H9" s="76">
        <f t="shared" si="0"/>
        <v>100.12</v>
      </c>
    </row>
    <row r="10" spans="2:8" x14ac:dyDescent="0.35">
      <c r="B10" s="3" t="s">
        <v>6</v>
      </c>
      <c r="C10" s="4">
        <f>C5/C7</f>
        <v>99.844909420289852</v>
      </c>
      <c r="E10" s="6">
        <v>202010</v>
      </c>
      <c r="F10" s="4">
        <v>10000</v>
      </c>
      <c r="G10" s="6">
        <v>100</v>
      </c>
      <c r="H10" s="76">
        <f t="shared" si="0"/>
        <v>100</v>
      </c>
    </row>
    <row r="11" spans="2:8" x14ac:dyDescent="0.35">
      <c r="B11" s="6" t="s">
        <v>18</v>
      </c>
      <c r="C11" s="9" t="s">
        <v>146</v>
      </c>
    </row>
    <row r="12" spans="2:8" x14ac:dyDescent="0.35">
      <c r="B12" s="6" t="s">
        <v>41</v>
      </c>
      <c r="C12" s="9">
        <f>COUNTA(E4:E1048576)</f>
        <v>7</v>
      </c>
    </row>
    <row r="13" spans="2:8" x14ac:dyDescent="0.35">
      <c r="B13" s="6" t="s">
        <v>51</v>
      </c>
      <c r="C13" s="9">
        <v>1</v>
      </c>
    </row>
    <row r="14" spans="2:8" x14ac:dyDescent="0.35">
      <c r="B14" s="6" t="s">
        <v>52</v>
      </c>
      <c r="C14" s="9">
        <f>(1/C10)*100</f>
        <v>1.0015533148420948</v>
      </c>
    </row>
    <row r="15" spans="2:8" x14ac:dyDescent="0.35">
      <c r="B15" s="7" t="s">
        <v>58</v>
      </c>
      <c r="C15" s="4">
        <f ca="1">INDIRECT("F"&amp;COUNTA(F:F)+2)</f>
        <v>10000</v>
      </c>
    </row>
    <row r="16" spans="2:8" x14ac:dyDescent="0.35">
      <c r="B16" s="6" t="s">
        <v>60</v>
      </c>
      <c r="C16" s="17">
        <f>C9/C5</f>
        <v>1.0015533148420947E-2</v>
      </c>
    </row>
  </sheetData>
  <mergeCells count="2">
    <mergeCell ref="B2:C2"/>
    <mergeCell ref="E2:H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4"/>
  <sheetViews>
    <sheetView showGridLines="0" zoomScale="80" zoomScaleNormal="80" workbookViewId="0"/>
  </sheetViews>
  <sheetFormatPr defaultRowHeight="14.5" x14ac:dyDescent="0.35"/>
  <cols>
    <col min="2" max="2" width="31" bestFit="1" customWidth="1"/>
    <col min="3" max="3" width="21.7265625" style="8" bestFit="1" customWidth="1"/>
    <col min="5" max="5" width="12.36328125" bestFit="1" customWidth="1"/>
    <col min="6" max="6" width="13.1796875" style="1" bestFit="1" customWidth="1"/>
    <col min="7" max="7" width="13.6328125" style="13" bestFit="1" customWidth="1"/>
    <col min="8" max="8" width="24.54296875" bestFit="1" customWidth="1"/>
    <col min="9" max="9" width="10.1796875" bestFit="1" customWidth="1"/>
    <col min="10" max="10" width="12" bestFit="1" customWidth="1"/>
    <col min="11" max="11" width="38.1796875" bestFit="1" customWidth="1"/>
    <col min="12" max="12" width="5.26953125" customWidth="1"/>
    <col min="13" max="13" width="8.81640625" customWidth="1"/>
  </cols>
  <sheetData>
    <row r="1" spans="1:13" x14ac:dyDescent="0.35">
      <c r="A1" t="s">
        <v>123</v>
      </c>
    </row>
    <row r="2" spans="1:13" x14ac:dyDescent="0.35">
      <c r="E2" s="167" t="s">
        <v>28</v>
      </c>
      <c r="F2" s="167"/>
      <c r="G2" s="167"/>
      <c r="H2" s="167"/>
      <c r="I2" s="167"/>
      <c r="J2" s="167"/>
    </row>
    <row r="3" spans="1:13" x14ac:dyDescent="0.35">
      <c r="E3" s="168" t="s">
        <v>29</v>
      </c>
      <c r="F3" s="168"/>
      <c r="G3" s="168"/>
      <c r="H3" s="168"/>
      <c r="I3" s="168"/>
      <c r="J3" s="168"/>
    </row>
    <row r="4" spans="1:13" x14ac:dyDescent="0.35">
      <c r="E4" s="168" t="s">
        <v>30</v>
      </c>
      <c r="F4" s="168"/>
      <c r="G4" s="168"/>
      <c r="H4" s="168"/>
      <c r="I4" s="168"/>
      <c r="J4" s="168"/>
    </row>
    <row r="5" spans="1:13" x14ac:dyDescent="0.35">
      <c r="E5" s="168" t="s">
        <v>27</v>
      </c>
      <c r="F5" s="168"/>
      <c r="G5" s="168"/>
      <c r="H5" s="168"/>
      <c r="I5" s="168"/>
      <c r="J5" s="168"/>
    </row>
    <row r="6" spans="1:13" x14ac:dyDescent="0.35">
      <c r="E6" s="168" t="s">
        <v>31</v>
      </c>
      <c r="F6" s="168"/>
      <c r="G6" s="168"/>
      <c r="H6" s="168"/>
      <c r="I6" s="168"/>
      <c r="J6" s="168"/>
    </row>
    <row r="8" spans="1:13" x14ac:dyDescent="0.35">
      <c r="B8" s="167" t="s">
        <v>9</v>
      </c>
      <c r="C8" s="167"/>
      <c r="E8" s="167" t="s">
        <v>8</v>
      </c>
      <c r="F8" s="167"/>
      <c r="G8" s="167"/>
      <c r="H8" s="167"/>
      <c r="J8" s="10"/>
      <c r="K8" s="167" t="s">
        <v>13</v>
      </c>
      <c r="L8" s="167"/>
      <c r="M8" s="10" t="s">
        <v>14</v>
      </c>
    </row>
    <row r="9" spans="1:13" x14ac:dyDescent="0.35">
      <c r="B9" s="3" t="s">
        <v>40</v>
      </c>
      <c r="C9" s="4">
        <v>100000</v>
      </c>
      <c r="E9" s="3" t="s">
        <v>4</v>
      </c>
      <c r="F9" s="4" t="s">
        <v>1</v>
      </c>
      <c r="G9" s="11" t="s">
        <v>3</v>
      </c>
      <c r="H9" s="3" t="s">
        <v>6</v>
      </c>
      <c r="J9" s="169" t="s">
        <v>10</v>
      </c>
      <c r="K9" s="3" t="s">
        <v>22</v>
      </c>
      <c r="M9" s="3" t="s">
        <v>25</v>
      </c>
    </row>
    <row r="10" spans="1:13" x14ac:dyDescent="0.35">
      <c r="B10" s="3" t="s">
        <v>0</v>
      </c>
      <c r="C10" s="9">
        <v>0</v>
      </c>
      <c r="E10" s="3">
        <v>201811</v>
      </c>
      <c r="F10" s="4">
        <v>17225.98</v>
      </c>
      <c r="G10" s="11">
        <v>278</v>
      </c>
      <c r="H10" s="4">
        <f>IFERROR(F10/G10,0)</f>
        <v>61.963956834532375</v>
      </c>
      <c r="J10" s="169"/>
      <c r="K10" s="3" t="s">
        <v>23</v>
      </c>
      <c r="L10" s="3" t="s">
        <v>12</v>
      </c>
      <c r="M10" s="3" t="s">
        <v>26</v>
      </c>
    </row>
    <row r="11" spans="1:13" x14ac:dyDescent="0.35">
      <c r="B11" s="3" t="s">
        <v>1</v>
      </c>
      <c r="C11" s="4">
        <f>SUM(F:F)</f>
        <v>285415.40000000002</v>
      </c>
      <c r="E11" s="3">
        <v>201812</v>
      </c>
      <c r="F11" s="4">
        <v>26675.74</v>
      </c>
      <c r="G11" s="11">
        <v>875</v>
      </c>
      <c r="H11" s="4">
        <f t="shared" ref="H11:H20" si="0">IFERROR(F11/G11,0)</f>
        <v>30.486560000000001</v>
      </c>
      <c r="J11" s="83" t="s">
        <v>108</v>
      </c>
      <c r="K11" s="3" t="s">
        <v>24</v>
      </c>
      <c r="L11" s="3"/>
      <c r="M11" s="3" t="s">
        <v>26</v>
      </c>
    </row>
    <row r="12" spans="1:13" x14ac:dyDescent="0.35">
      <c r="B12" s="3" t="s">
        <v>2</v>
      </c>
      <c r="C12" s="9">
        <f>IF(C10=0,0,C10-C11)</f>
        <v>0</v>
      </c>
      <c r="E12" s="3">
        <v>201901</v>
      </c>
      <c r="F12" s="4">
        <v>9362.82</v>
      </c>
      <c r="G12" s="11">
        <v>183</v>
      </c>
      <c r="H12" s="4">
        <f t="shared" si="0"/>
        <v>51.162950819672126</v>
      </c>
    </row>
    <row r="13" spans="1:13" x14ac:dyDescent="0.35">
      <c r="B13" s="3" t="s">
        <v>3</v>
      </c>
      <c r="C13" s="9">
        <f>SUM(G:G)</f>
        <v>6238</v>
      </c>
      <c r="E13" s="3">
        <v>201902</v>
      </c>
      <c r="F13" s="4">
        <v>10013.82</v>
      </c>
      <c r="G13" s="12">
        <v>156</v>
      </c>
      <c r="H13" s="4">
        <f t="shared" si="0"/>
        <v>64.191153846153838</v>
      </c>
    </row>
    <row r="14" spans="1:13" x14ac:dyDescent="0.35">
      <c r="B14" s="3" t="s">
        <v>50</v>
      </c>
      <c r="C14" s="4">
        <v>1</v>
      </c>
      <c r="E14" s="3">
        <v>201903</v>
      </c>
      <c r="F14" s="4">
        <v>7346.19</v>
      </c>
      <c r="G14" s="11">
        <v>114</v>
      </c>
      <c r="H14" s="4">
        <f t="shared" si="0"/>
        <v>64.440263157894734</v>
      </c>
    </row>
    <row r="15" spans="1:13" x14ac:dyDescent="0.35">
      <c r="B15" s="3" t="s">
        <v>7</v>
      </c>
      <c r="C15" s="4">
        <f>C13*C14</f>
        <v>6238</v>
      </c>
      <c r="E15" s="6">
        <v>201904</v>
      </c>
      <c r="F15" s="7">
        <v>8558</v>
      </c>
      <c r="G15" s="11">
        <v>70</v>
      </c>
      <c r="H15" s="4">
        <f t="shared" si="0"/>
        <v>122.25714285714285</v>
      </c>
    </row>
    <row r="16" spans="1:13" x14ac:dyDescent="0.35">
      <c r="B16" s="3" t="s">
        <v>6</v>
      </c>
      <c r="C16" s="4">
        <f>C11/C13</f>
        <v>45.754312279576794</v>
      </c>
      <c r="E16" s="6">
        <v>201905</v>
      </c>
      <c r="F16" s="7">
        <v>8473</v>
      </c>
      <c r="G16" s="11">
        <v>282</v>
      </c>
      <c r="H16" s="4">
        <f t="shared" si="0"/>
        <v>30.046099290780141</v>
      </c>
    </row>
    <row r="17" spans="2:8" x14ac:dyDescent="0.35">
      <c r="B17" s="6" t="s">
        <v>18</v>
      </c>
      <c r="C17" s="9" t="s">
        <v>21</v>
      </c>
      <c r="E17" s="6">
        <v>201906</v>
      </c>
      <c r="F17" s="7">
        <v>27227.11</v>
      </c>
      <c r="G17" s="11">
        <v>592</v>
      </c>
      <c r="H17" s="4">
        <f t="shared" si="0"/>
        <v>45.991739864864869</v>
      </c>
    </row>
    <row r="18" spans="2:8" x14ac:dyDescent="0.35">
      <c r="B18" s="6" t="s">
        <v>41</v>
      </c>
      <c r="C18" s="9">
        <f>COUNTA(E11:E1048576)</f>
        <v>24</v>
      </c>
      <c r="E18" s="6">
        <v>201907</v>
      </c>
      <c r="F18" s="7">
        <v>26887.71</v>
      </c>
      <c r="G18" s="11">
        <v>410</v>
      </c>
      <c r="H18" s="4">
        <f t="shared" si="0"/>
        <v>65.579780487804882</v>
      </c>
    </row>
    <row r="19" spans="2:8" x14ac:dyDescent="0.35">
      <c r="B19" s="6" t="s">
        <v>51</v>
      </c>
      <c r="C19" s="9">
        <v>1</v>
      </c>
      <c r="E19" s="6">
        <v>201908</v>
      </c>
      <c r="F19" s="4">
        <v>12194.44</v>
      </c>
      <c r="G19" s="11">
        <v>757</v>
      </c>
      <c r="H19" s="4">
        <f t="shared" si="0"/>
        <v>16.108903566710701</v>
      </c>
    </row>
    <row r="20" spans="2:8" x14ac:dyDescent="0.35">
      <c r="B20" s="6" t="s">
        <v>52</v>
      </c>
      <c r="C20" s="9">
        <f>(1/C16)*100</f>
        <v>2.1855863418722326</v>
      </c>
      <c r="E20" s="6">
        <v>201909</v>
      </c>
      <c r="F20" s="4">
        <v>4481.67</v>
      </c>
      <c r="G20" s="11">
        <v>0</v>
      </c>
      <c r="H20" s="4">
        <f t="shared" si="0"/>
        <v>0</v>
      </c>
    </row>
    <row r="21" spans="2:8" x14ac:dyDescent="0.35">
      <c r="B21" s="7" t="s">
        <v>58</v>
      </c>
      <c r="C21" s="4">
        <f ca="1">INDIRECT("F"&amp;COUNTA(F:F)+8)</f>
        <v>23124.35</v>
      </c>
      <c r="E21" s="6">
        <v>201910</v>
      </c>
      <c r="F21" s="4">
        <v>0</v>
      </c>
      <c r="G21" s="11">
        <v>0</v>
      </c>
      <c r="H21" s="7">
        <v>0</v>
      </c>
    </row>
    <row r="22" spans="2:8" x14ac:dyDescent="0.35">
      <c r="B22" s="6" t="s">
        <v>60</v>
      </c>
      <c r="C22" s="17">
        <f>C15/C11</f>
        <v>2.1855863418722324E-2</v>
      </c>
      <c r="E22" s="6">
        <v>201911</v>
      </c>
      <c r="F22" s="4">
        <v>5441.04</v>
      </c>
      <c r="G22" s="11">
        <v>39</v>
      </c>
      <c r="H22" s="7">
        <f t="shared" ref="H22:H34" si="1">IFERROR(F22/G22,0)</f>
        <v>139.51384615384615</v>
      </c>
    </row>
    <row r="23" spans="2:8" x14ac:dyDescent="0.35">
      <c r="E23" s="6">
        <v>201912</v>
      </c>
      <c r="F23" s="4">
        <v>5622.39</v>
      </c>
      <c r="G23" s="11">
        <v>40</v>
      </c>
      <c r="H23" s="7">
        <f t="shared" si="1"/>
        <v>140.55975000000001</v>
      </c>
    </row>
    <row r="24" spans="2:8" x14ac:dyDescent="0.35">
      <c r="E24" s="6">
        <v>202001</v>
      </c>
      <c r="F24" s="4">
        <v>9748</v>
      </c>
      <c r="G24" s="11">
        <v>165</v>
      </c>
      <c r="H24" s="7">
        <f t="shared" si="1"/>
        <v>59.078787878787878</v>
      </c>
    </row>
    <row r="25" spans="2:8" x14ac:dyDescent="0.35">
      <c r="E25" s="6">
        <v>202002</v>
      </c>
      <c r="F25" s="4">
        <v>11111</v>
      </c>
      <c r="G25" s="11">
        <v>186</v>
      </c>
      <c r="H25" s="7">
        <f t="shared" si="1"/>
        <v>59.736559139784944</v>
      </c>
    </row>
    <row r="26" spans="2:8" x14ac:dyDescent="0.35">
      <c r="E26" s="6">
        <v>202003</v>
      </c>
      <c r="F26" s="4">
        <v>13884</v>
      </c>
      <c r="G26" s="11">
        <v>111</v>
      </c>
      <c r="H26" s="7">
        <f t="shared" si="1"/>
        <v>125.08108108108108</v>
      </c>
    </row>
    <row r="27" spans="2:8" x14ac:dyDescent="0.35">
      <c r="E27" s="6">
        <v>202004</v>
      </c>
      <c r="F27" s="4">
        <v>4583.37</v>
      </c>
      <c r="G27" s="11">
        <v>7</v>
      </c>
      <c r="H27" s="7">
        <f t="shared" si="1"/>
        <v>654.76714285714286</v>
      </c>
    </row>
    <row r="28" spans="2:8" x14ac:dyDescent="0.35">
      <c r="E28" s="131">
        <v>202005</v>
      </c>
      <c r="F28" s="132">
        <v>16978.47</v>
      </c>
      <c r="G28" s="133">
        <v>592</v>
      </c>
      <c r="H28" s="134">
        <f t="shared" si="1"/>
        <v>28.679847972972976</v>
      </c>
    </row>
    <row r="29" spans="2:8" x14ac:dyDescent="0.35">
      <c r="E29" s="6">
        <v>202006</v>
      </c>
      <c r="F29" s="4">
        <v>6892</v>
      </c>
      <c r="G29" s="11">
        <v>357</v>
      </c>
      <c r="H29" s="7">
        <f t="shared" si="1"/>
        <v>19.30532212885154</v>
      </c>
    </row>
    <row r="30" spans="2:8" x14ac:dyDescent="0.35">
      <c r="E30" s="6">
        <v>202007</v>
      </c>
      <c r="F30" s="4">
        <v>4628</v>
      </c>
      <c r="G30" s="11">
        <v>240</v>
      </c>
      <c r="H30" s="7">
        <f t="shared" si="1"/>
        <v>19.283333333333335</v>
      </c>
    </row>
    <row r="31" spans="2:8" x14ac:dyDescent="0.35">
      <c r="E31" s="6">
        <v>202008</v>
      </c>
      <c r="F31" s="4">
        <v>1835</v>
      </c>
      <c r="G31" s="11">
        <v>29</v>
      </c>
      <c r="H31" s="7">
        <f t="shared" si="1"/>
        <v>63.275862068965516</v>
      </c>
    </row>
    <row r="32" spans="2:8" x14ac:dyDescent="0.35">
      <c r="E32" s="6">
        <v>202009</v>
      </c>
      <c r="F32" s="4">
        <v>17891</v>
      </c>
      <c r="G32" s="11">
        <v>282</v>
      </c>
      <c r="H32" s="7">
        <f t="shared" si="1"/>
        <v>63.443262411347519</v>
      </c>
    </row>
    <row r="33" spans="5:8" x14ac:dyDescent="0.35">
      <c r="E33" s="6">
        <v>202010</v>
      </c>
      <c r="F33" s="4">
        <v>5230.3</v>
      </c>
      <c r="G33" s="11">
        <v>94</v>
      </c>
      <c r="H33" s="21">
        <f t="shared" si="1"/>
        <v>55.641489361702128</v>
      </c>
    </row>
    <row r="34" spans="5:8" x14ac:dyDescent="0.35">
      <c r="E34" s="6">
        <v>202011</v>
      </c>
      <c r="F34" s="4">
        <v>23124.35</v>
      </c>
      <c r="G34" s="11">
        <v>379</v>
      </c>
      <c r="H34" s="21">
        <f t="shared" si="1"/>
        <v>61.014116094986804</v>
      </c>
    </row>
  </sheetData>
  <mergeCells count="9">
    <mergeCell ref="B8:C8"/>
    <mergeCell ref="K8:L8"/>
    <mergeCell ref="J9:J10"/>
    <mergeCell ref="E2:J2"/>
    <mergeCell ref="E3:J3"/>
    <mergeCell ref="E4:J4"/>
    <mergeCell ref="E5:J5"/>
    <mergeCell ref="E6:J6"/>
    <mergeCell ref="E8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1603-60EB-4009-A8A5-B73451FDDFEB}">
  <dimension ref="B2:H16"/>
  <sheetViews>
    <sheetView showGridLines="0" zoomScale="80" zoomScaleNormal="80" workbookViewId="0"/>
  </sheetViews>
  <sheetFormatPr defaultRowHeight="14.5" x14ac:dyDescent="0.35"/>
  <cols>
    <col min="2" max="2" width="26.7265625" bestFit="1" customWidth="1"/>
    <col min="3" max="3" width="19.453125" bestFit="1" customWidth="1"/>
    <col min="5" max="5" width="11.90625" bestFit="1" customWidth="1"/>
    <col min="6" max="6" width="13.1796875" style="1" bestFit="1" customWidth="1"/>
    <col min="7" max="7" width="13.6328125" bestFit="1" customWidth="1"/>
    <col min="8" max="8" width="24.54296875" bestFit="1" customWidth="1"/>
    <col min="10" max="10" width="6.36328125" bestFit="1" customWidth="1"/>
    <col min="11" max="11" width="32.7265625" bestFit="1" customWidth="1"/>
    <col min="12" max="12" width="4.7265625" bestFit="1" customWidth="1"/>
    <col min="13" max="13" width="8.26953125" bestFit="1" customWidth="1"/>
  </cols>
  <sheetData>
    <row r="2" spans="2:8" x14ac:dyDescent="0.35">
      <c r="B2" s="167" t="s">
        <v>9</v>
      </c>
      <c r="C2" s="167"/>
      <c r="E2" s="167" t="s">
        <v>8</v>
      </c>
      <c r="F2" s="167"/>
      <c r="G2" s="167"/>
      <c r="H2" s="167"/>
    </row>
    <row r="3" spans="2:8" x14ac:dyDescent="0.35">
      <c r="B3" s="3" t="s">
        <v>40</v>
      </c>
      <c r="C3" s="4">
        <v>143000</v>
      </c>
      <c r="E3" s="3" t="s">
        <v>4</v>
      </c>
      <c r="F3" s="4" t="s">
        <v>1</v>
      </c>
      <c r="G3" s="11" t="s">
        <v>3</v>
      </c>
      <c r="H3" s="3" t="s">
        <v>6</v>
      </c>
    </row>
    <row r="4" spans="2:8" x14ac:dyDescent="0.35">
      <c r="B4" s="3" t="s">
        <v>0</v>
      </c>
      <c r="C4" s="9">
        <v>0</v>
      </c>
      <c r="E4" s="3">
        <v>202003</v>
      </c>
      <c r="F4" s="4">
        <v>20534.45</v>
      </c>
      <c r="G4" s="3">
        <v>250</v>
      </c>
      <c r="H4" s="5">
        <f>IFERROR(F4/G4,0)</f>
        <v>82.137799999999999</v>
      </c>
    </row>
    <row r="5" spans="2:8" x14ac:dyDescent="0.35">
      <c r="B5" s="3" t="s">
        <v>1</v>
      </c>
      <c r="C5" s="4">
        <f>SUM(F:F)</f>
        <v>57530.45</v>
      </c>
      <c r="E5" s="3">
        <v>202004</v>
      </c>
      <c r="F5" s="4">
        <v>979</v>
      </c>
      <c r="G5" s="3">
        <v>14</v>
      </c>
      <c r="H5" s="5">
        <f t="shared" ref="H5:H8" si="0">IFERROR(F5/G5,0)</f>
        <v>69.928571428571431</v>
      </c>
    </row>
    <row r="6" spans="2:8" x14ac:dyDescent="0.35">
      <c r="B6" s="3" t="s">
        <v>2</v>
      </c>
      <c r="C6" s="9">
        <f>IF(C4=0,0,C4-C5)</f>
        <v>0</v>
      </c>
      <c r="E6" s="3">
        <v>202005</v>
      </c>
      <c r="F6" s="4">
        <v>4085</v>
      </c>
      <c r="G6" s="3">
        <v>54</v>
      </c>
      <c r="H6" s="5">
        <f t="shared" si="0"/>
        <v>75.648148148148152</v>
      </c>
    </row>
    <row r="7" spans="2:8" x14ac:dyDescent="0.35">
      <c r="B7" s="3" t="s">
        <v>3</v>
      </c>
      <c r="C7" s="9">
        <f>SUM(G:G)</f>
        <v>771</v>
      </c>
      <c r="E7" s="6">
        <v>202006</v>
      </c>
      <c r="F7" s="4">
        <v>1638.8</v>
      </c>
      <c r="G7" s="6">
        <v>22</v>
      </c>
      <c r="H7" s="5">
        <f t="shared" si="0"/>
        <v>74.490909090909085</v>
      </c>
    </row>
    <row r="8" spans="2:8" x14ac:dyDescent="0.35">
      <c r="B8" s="3" t="s">
        <v>50</v>
      </c>
      <c r="C8" s="4">
        <v>0.33</v>
      </c>
      <c r="E8" s="6">
        <v>202007</v>
      </c>
      <c r="F8" s="4">
        <v>30293.200000000001</v>
      </c>
      <c r="G8" s="6">
        <v>431</v>
      </c>
      <c r="H8" s="76">
        <f t="shared" si="0"/>
        <v>70.285846867749427</v>
      </c>
    </row>
    <row r="9" spans="2:8" x14ac:dyDescent="0.35">
      <c r="B9" s="3" t="s">
        <v>7</v>
      </c>
      <c r="C9" s="4">
        <f>C7*C8</f>
        <v>254.43</v>
      </c>
    </row>
    <row r="10" spans="2:8" x14ac:dyDescent="0.35">
      <c r="B10" s="3" t="s">
        <v>6</v>
      </c>
      <c r="C10" s="4">
        <f>C5/C7</f>
        <v>74.617963683527876</v>
      </c>
    </row>
    <row r="11" spans="2:8" x14ac:dyDescent="0.35">
      <c r="B11" s="6" t="s">
        <v>18</v>
      </c>
      <c r="C11" s="9" t="s">
        <v>124</v>
      </c>
    </row>
    <row r="12" spans="2:8" x14ac:dyDescent="0.35">
      <c r="B12" s="6" t="s">
        <v>41</v>
      </c>
      <c r="C12" s="9">
        <f>COUNTA(E4:E1048576)</f>
        <v>5</v>
      </c>
    </row>
    <row r="13" spans="2:8" x14ac:dyDescent="0.35">
      <c r="B13" s="6" t="s">
        <v>51</v>
      </c>
      <c r="C13" s="9">
        <v>1.33</v>
      </c>
    </row>
    <row r="14" spans="2:8" x14ac:dyDescent="0.35">
      <c r="B14" s="6" t="s">
        <v>52</v>
      </c>
      <c r="C14" s="9">
        <f>(1/C10)*100</f>
        <v>1.3401598631681138</v>
      </c>
    </row>
    <row r="15" spans="2:8" x14ac:dyDescent="0.35">
      <c r="B15" s="7" t="s">
        <v>58</v>
      </c>
      <c r="C15" s="4">
        <f ca="1">INDIRECT("F"&amp;COUNTA(F:F)+2)</f>
        <v>30293.200000000001</v>
      </c>
    </row>
    <row r="16" spans="2:8" x14ac:dyDescent="0.35">
      <c r="B16" s="6" t="s">
        <v>60</v>
      </c>
      <c r="C16" s="17">
        <f>C9/C5</f>
        <v>4.4225275484547754E-3</v>
      </c>
    </row>
  </sheetData>
  <mergeCells count="2">
    <mergeCell ref="B2:C2"/>
    <mergeCell ref="E2:H2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3"/>
  <sheetViews>
    <sheetView showGridLines="0" topLeftCell="A6" zoomScale="80" zoomScaleNormal="80" workbookViewId="0">
      <selection activeCell="G21" sqref="G21"/>
    </sheetView>
  </sheetViews>
  <sheetFormatPr defaultRowHeight="14.5" x14ac:dyDescent="0.35"/>
  <cols>
    <col min="2" max="2" width="31" bestFit="1" customWidth="1"/>
    <col min="3" max="3" width="20.26953125" bestFit="1" customWidth="1"/>
    <col min="5" max="5" width="11.90625" bestFit="1" customWidth="1"/>
    <col min="6" max="6" width="13.1796875" bestFit="1" customWidth="1"/>
    <col min="7" max="7" width="13.6328125" style="8" bestFit="1" customWidth="1"/>
    <col min="8" max="8" width="24.54296875" bestFit="1" customWidth="1"/>
    <col min="9" max="9" width="11.36328125" bestFit="1" customWidth="1"/>
    <col min="10" max="10" width="8.81640625" bestFit="1" customWidth="1"/>
    <col min="11" max="11" width="38.1796875" bestFit="1" customWidth="1"/>
    <col min="12" max="12" width="8.81640625" bestFit="1" customWidth="1"/>
  </cols>
  <sheetData>
    <row r="1" spans="1:12" x14ac:dyDescent="0.35">
      <c r="A1" s="1"/>
    </row>
    <row r="2" spans="1:12" x14ac:dyDescent="0.35">
      <c r="E2" s="167" t="s">
        <v>28</v>
      </c>
      <c r="F2" s="167"/>
      <c r="G2" s="167"/>
      <c r="H2" s="167"/>
      <c r="I2" s="167"/>
      <c r="J2" s="167"/>
      <c r="K2" s="167"/>
      <c r="L2" s="167"/>
    </row>
    <row r="3" spans="1:12" x14ac:dyDescent="0.35">
      <c r="E3" s="168" t="s">
        <v>59</v>
      </c>
      <c r="F3" s="168"/>
      <c r="G3" s="168"/>
      <c r="H3" s="168"/>
      <c r="I3" s="168"/>
      <c r="J3" s="168"/>
      <c r="K3" s="168"/>
      <c r="L3" s="168"/>
    </row>
    <row r="4" spans="1:12" x14ac:dyDescent="0.35">
      <c r="E4" s="168" t="s">
        <v>39</v>
      </c>
      <c r="F4" s="168"/>
      <c r="G4" s="168"/>
      <c r="H4" s="168"/>
      <c r="I4" s="168"/>
      <c r="J4" s="168"/>
      <c r="K4" s="168"/>
      <c r="L4" s="168"/>
    </row>
    <row r="6" spans="1:12" x14ac:dyDescent="0.35">
      <c r="B6" s="167" t="s">
        <v>9</v>
      </c>
      <c r="C6" s="167"/>
      <c r="E6" s="167" t="s">
        <v>8</v>
      </c>
      <c r="F6" s="167"/>
      <c r="G6" s="167"/>
      <c r="H6" s="167"/>
      <c r="J6" s="10"/>
      <c r="K6" s="130" t="s">
        <v>13</v>
      </c>
      <c r="L6" s="10" t="s">
        <v>14</v>
      </c>
    </row>
    <row r="7" spans="1:12" x14ac:dyDescent="0.35">
      <c r="B7" s="3" t="s">
        <v>40</v>
      </c>
      <c r="C7" s="4">
        <v>55000</v>
      </c>
      <c r="E7" s="3" t="s">
        <v>4</v>
      </c>
      <c r="F7" s="4" t="s">
        <v>1</v>
      </c>
      <c r="G7" s="9" t="s">
        <v>3</v>
      </c>
      <c r="H7" s="3" t="s">
        <v>6</v>
      </c>
      <c r="J7" s="82" t="s">
        <v>10</v>
      </c>
      <c r="K7" s="3" t="s">
        <v>37</v>
      </c>
      <c r="L7" s="3" t="s">
        <v>15</v>
      </c>
    </row>
    <row r="8" spans="1:12" x14ac:dyDescent="0.35">
      <c r="B8" s="3" t="s">
        <v>0</v>
      </c>
      <c r="C8" s="4">
        <v>30000</v>
      </c>
      <c r="E8" s="3">
        <v>201811</v>
      </c>
      <c r="F8" s="4">
        <v>2912.08</v>
      </c>
      <c r="G8" s="15">
        <v>0</v>
      </c>
      <c r="H8" s="4">
        <f>IFERROR(F8/G8,0)</f>
        <v>0</v>
      </c>
      <c r="J8" s="83" t="s">
        <v>108</v>
      </c>
      <c r="K8" s="3" t="s">
        <v>38</v>
      </c>
      <c r="L8" s="3"/>
    </row>
    <row r="9" spans="1:12" x14ac:dyDescent="0.35">
      <c r="B9" s="3" t="s">
        <v>1</v>
      </c>
      <c r="C9" s="5">
        <f>SUM(F:F)</f>
        <v>171202.85</v>
      </c>
      <c r="E9" s="3">
        <v>201812</v>
      </c>
      <c r="F9" s="4">
        <f>4407.95+5000</f>
        <v>9407.9500000000007</v>
      </c>
      <c r="G9" s="9">
        <v>3301</v>
      </c>
      <c r="H9" s="4">
        <f t="shared" ref="H9:H33" si="0">IFERROR(F9/G9,0)</f>
        <v>2.8500302938503488</v>
      </c>
    </row>
    <row r="10" spans="1:12" x14ac:dyDescent="0.35">
      <c r="B10" s="3" t="s">
        <v>2</v>
      </c>
      <c r="C10" s="96">
        <f>IF(C8-SUM(F32:F43)&lt;0,0,C8-SUM(F32:F43))</f>
        <v>0</v>
      </c>
      <c r="E10" s="6">
        <v>201901</v>
      </c>
      <c r="F10" s="4">
        <v>0</v>
      </c>
      <c r="G10" s="9">
        <v>0</v>
      </c>
      <c r="H10" s="4">
        <f t="shared" si="0"/>
        <v>0</v>
      </c>
    </row>
    <row r="11" spans="1:12" x14ac:dyDescent="0.35">
      <c r="B11" s="3" t="s">
        <v>3</v>
      </c>
      <c r="C11" s="9">
        <f>SUM(G8:G1048576)</f>
        <v>9053</v>
      </c>
      <c r="E11" s="6">
        <v>201902</v>
      </c>
      <c r="F11" s="4">
        <v>0</v>
      </c>
      <c r="G11" s="9">
        <v>0</v>
      </c>
      <c r="H11" s="4">
        <f t="shared" si="0"/>
        <v>0</v>
      </c>
    </row>
    <row r="12" spans="1:12" x14ac:dyDescent="0.35">
      <c r="B12" s="3" t="s">
        <v>50</v>
      </c>
      <c r="C12" s="4">
        <v>0.35</v>
      </c>
      <c r="E12" s="6">
        <v>201903</v>
      </c>
      <c r="F12" s="4">
        <v>3007.75</v>
      </c>
      <c r="G12" s="9">
        <v>0</v>
      </c>
      <c r="H12" s="4">
        <f t="shared" si="0"/>
        <v>0</v>
      </c>
      <c r="K12" s="2"/>
    </row>
    <row r="13" spans="1:12" x14ac:dyDescent="0.35">
      <c r="B13" s="3" t="s">
        <v>7</v>
      </c>
      <c r="C13" s="4">
        <f>C11*C12</f>
        <v>3168.5499999999997</v>
      </c>
      <c r="E13" s="6">
        <v>201904</v>
      </c>
      <c r="F13" s="4">
        <v>5077.9399999999996</v>
      </c>
      <c r="G13" s="9">
        <v>94</v>
      </c>
      <c r="H13" s="4">
        <f t="shared" si="0"/>
        <v>54.020638297872338</v>
      </c>
      <c r="K13" s="2"/>
    </row>
    <row r="14" spans="1:12" x14ac:dyDescent="0.35">
      <c r="B14" s="3" t="s">
        <v>6</v>
      </c>
      <c r="C14" s="4">
        <f>C9/C11</f>
        <v>18.911173091792776</v>
      </c>
      <c r="E14" s="6">
        <v>201905</v>
      </c>
      <c r="F14" s="4">
        <v>6893.16</v>
      </c>
      <c r="G14" s="9">
        <v>56</v>
      </c>
      <c r="H14" s="7">
        <f t="shared" si="0"/>
        <v>123.09214285714286</v>
      </c>
    </row>
    <row r="15" spans="1:12" x14ac:dyDescent="0.35">
      <c r="B15" s="6" t="s">
        <v>18</v>
      </c>
      <c r="C15" s="3" t="s">
        <v>36</v>
      </c>
      <c r="E15" s="6">
        <v>201906</v>
      </c>
      <c r="F15" s="7">
        <v>8811.6200000000008</v>
      </c>
      <c r="G15" s="9">
        <v>80</v>
      </c>
      <c r="H15" s="7">
        <f t="shared" si="0"/>
        <v>110.14525</v>
      </c>
    </row>
    <row r="16" spans="1:12" x14ac:dyDescent="0.35">
      <c r="B16" s="6" t="s">
        <v>41</v>
      </c>
      <c r="C16" s="3">
        <f>COUNTA(E7:E1048576)-1</f>
        <v>26</v>
      </c>
      <c r="E16" s="6">
        <v>201907</v>
      </c>
      <c r="F16" s="7">
        <v>1347.62</v>
      </c>
      <c r="G16" s="9">
        <v>13</v>
      </c>
      <c r="H16" s="7">
        <f t="shared" si="0"/>
        <v>103.66307692307691</v>
      </c>
    </row>
    <row r="17" spans="1:8" x14ac:dyDescent="0.35">
      <c r="B17" s="6" t="s">
        <v>51</v>
      </c>
      <c r="C17" s="9">
        <v>0.8</v>
      </c>
      <c r="E17" s="6">
        <v>201908</v>
      </c>
      <c r="F17" s="7">
        <v>6299</v>
      </c>
      <c r="G17" s="9">
        <v>52</v>
      </c>
      <c r="H17" s="21">
        <f t="shared" si="0"/>
        <v>121.13461538461539</v>
      </c>
    </row>
    <row r="18" spans="1:8" x14ac:dyDescent="0.35">
      <c r="B18" s="6" t="s">
        <v>52</v>
      </c>
      <c r="C18" s="9">
        <f>(1/C14)*100</f>
        <v>5.287879261355755</v>
      </c>
      <c r="E18" s="6">
        <v>201909</v>
      </c>
      <c r="F18" s="5">
        <v>0</v>
      </c>
      <c r="G18" s="9">
        <v>0</v>
      </c>
      <c r="H18" s="21">
        <f t="shared" si="0"/>
        <v>0</v>
      </c>
    </row>
    <row r="19" spans="1:8" x14ac:dyDescent="0.35">
      <c r="B19" s="7" t="s">
        <v>58</v>
      </c>
      <c r="C19" s="4">
        <f ca="1">INDIRECT("F"&amp;COUNTA(F:F)+6)</f>
        <v>39769.230000000003</v>
      </c>
      <c r="E19" s="6">
        <v>201910</v>
      </c>
      <c r="F19" s="76">
        <v>0</v>
      </c>
      <c r="G19" s="9">
        <v>0</v>
      </c>
      <c r="H19" s="21">
        <f t="shared" si="0"/>
        <v>0</v>
      </c>
    </row>
    <row r="20" spans="1:8" x14ac:dyDescent="0.35">
      <c r="B20" s="6" t="s">
        <v>107</v>
      </c>
      <c r="C20" s="85">
        <v>1000</v>
      </c>
      <c r="E20" s="6">
        <v>201911</v>
      </c>
      <c r="F20" s="76">
        <v>16851.96</v>
      </c>
      <c r="G20" s="9">
        <v>135</v>
      </c>
      <c r="H20" s="21">
        <f t="shared" si="0"/>
        <v>124.82933333333332</v>
      </c>
    </row>
    <row r="21" spans="1:8" x14ac:dyDescent="0.35">
      <c r="B21" s="6" t="s">
        <v>60</v>
      </c>
      <c r="C21" s="17">
        <f>(C13+C20)/C9</f>
        <v>2.4348601673395035E-2</v>
      </c>
      <c r="E21" s="6">
        <v>201912</v>
      </c>
      <c r="F21" s="76">
        <v>1274.07</v>
      </c>
      <c r="G21" s="9">
        <v>206</v>
      </c>
      <c r="H21" s="21">
        <f t="shared" si="0"/>
        <v>6.1848058252427185</v>
      </c>
    </row>
    <row r="22" spans="1:8" x14ac:dyDescent="0.35">
      <c r="E22" s="3">
        <v>202001</v>
      </c>
      <c r="F22" s="76">
        <v>5896.9</v>
      </c>
      <c r="G22" s="9">
        <v>48</v>
      </c>
      <c r="H22" s="21">
        <f t="shared" si="0"/>
        <v>122.85208333333333</v>
      </c>
    </row>
    <row r="23" spans="1:8" x14ac:dyDescent="0.35">
      <c r="E23" s="3">
        <v>202002</v>
      </c>
      <c r="F23" s="76">
        <v>13805</v>
      </c>
      <c r="G23" s="9">
        <v>110</v>
      </c>
      <c r="H23" s="21">
        <f t="shared" si="0"/>
        <v>125.5</v>
      </c>
    </row>
    <row r="24" spans="1:8" x14ac:dyDescent="0.35">
      <c r="E24" s="6">
        <v>202003</v>
      </c>
      <c r="F24" s="76">
        <v>-0.78</v>
      </c>
      <c r="G24" s="9">
        <v>0</v>
      </c>
      <c r="H24" s="21">
        <f t="shared" si="0"/>
        <v>0</v>
      </c>
    </row>
    <row r="25" spans="1:8" x14ac:dyDescent="0.35">
      <c r="E25" s="6">
        <v>202004</v>
      </c>
      <c r="F25" s="76">
        <v>0</v>
      </c>
      <c r="G25" s="9">
        <v>0</v>
      </c>
      <c r="H25" s="21">
        <f t="shared" si="0"/>
        <v>0</v>
      </c>
    </row>
    <row r="26" spans="1:8" x14ac:dyDescent="0.35">
      <c r="E26" s="6">
        <v>202005</v>
      </c>
      <c r="F26" s="76">
        <v>19399.22</v>
      </c>
      <c r="G26" s="9">
        <v>659</v>
      </c>
      <c r="H26" s="21">
        <f t="shared" si="0"/>
        <v>29.437359635811838</v>
      </c>
    </row>
    <row r="27" spans="1:8" x14ac:dyDescent="0.35">
      <c r="E27" s="6">
        <v>202006</v>
      </c>
      <c r="F27" s="76">
        <v>4079</v>
      </c>
      <c r="G27" s="9">
        <v>33</v>
      </c>
      <c r="H27" s="21">
        <f t="shared" si="0"/>
        <v>123.60606060606061</v>
      </c>
    </row>
    <row r="28" spans="1:8" x14ac:dyDescent="0.35">
      <c r="E28" s="6">
        <v>202007</v>
      </c>
      <c r="F28" s="76">
        <v>1021</v>
      </c>
      <c r="G28" s="9">
        <v>82</v>
      </c>
      <c r="H28" s="21">
        <f t="shared" si="0"/>
        <v>12.451219512195122</v>
      </c>
    </row>
    <row r="29" spans="1:8" x14ac:dyDescent="0.35">
      <c r="A29" s="2"/>
      <c r="E29" s="6">
        <v>202008</v>
      </c>
      <c r="F29" s="76">
        <v>0</v>
      </c>
      <c r="G29" s="9">
        <v>0</v>
      </c>
      <c r="H29" s="21">
        <f t="shared" si="0"/>
        <v>0</v>
      </c>
    </row>
    <row r="30" spans="1:8" x14ac:dyDescent="0.35">
      <c r="E30" s="6">
        <v>202009</v>
      </c>
      <c r="F30" s="76">
        <v>3500</v>
      </c>
      <c r="G30" s="9">
        <v>28</v>
      </c>
      <c r="H30" s="21">
        <f t="shared" si="0"/>
        <v>125</v>
      </c>
    </row>
    <row r="31" spans="1:8" x14ac:dyDescent="0.35">
      <c r="E31" s="6">
        <v>202010</v>
      </c>
      <c r="F31" s="76">
        <v>6700</v>
      </c>
      <c r="G31" s="9">
        <v>162</v>
      </c>
      <c r="H31" s="21">
        <f t="shared" si="0"/>
        <v>41.358024691358025</v>
      </c>
    </row>
    <row r="32" spans="1:8" x14ac:dyDescent="0.35">
      <c r="E32" s="6">
        <v>202011</v>
      </c>
      <c r="F32" s="76">
        <v>15150.13</v>
      </c>
      <c r="G32" s="9">
        <v>3382</v>
      </c>
      <c r="H32" s="21">
        <f t="shared" si="0"/>
        <v>4.4796363098758132</v>
      </c>
    </row>
    <row r="33" spans="5:10" x14ac:dyDescent="0.35">
      <c r="E33" s="6">
        <v>202012</v>
      </c>
      <c r="F33" s="76">
        <v>39769.230000000003</v>
      </c>
      <c r="G33" s="9">
        <v>612</v>
      </c>
      <c r="H33" s="21">
        <f t="shared" si="0"/>
        <v>64.982401960784316</v>
      </c>
      <c r="I33" s="2"/>
      <c r="J33" s="2"/>
    </row>
  </sheetData>
  <mergeCells count="5">
    <mergeCell ref="E2:L2"/>
    <mergeCell ref="E3:L3"/>
    <mergeCell ref="E4:L4"/>
    <mergeCell ref="B6:C6"/>
    <mergeCell ref="E6:H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38261E73C88439BB98AF91E7C8BB9" ma:contentTypeVersion="12" ma:contentTypeDescription="Create a new document." ma:contentTypeScope="" ma:versionID="ce24275585ad6faa1994631f599f0ad0">
  <xsd:schema xmlns:xsd="http://www.w3.org/2001/XMLSchema" xmlns:xs="http://www.w3.org/2001/XMLSchema" xmlns:p="http://schemas.microsoft.com/office/2006/metadata/properties" xmlns:ns2="df96cac6-5edc-4d96-a14f-21dec8cebb64" xmlns:ns3="e6f9aa0a-a4db-4c69-b1fa-f7c559ce6762" targetNamespace="http://schemas.microsoft.com/office/2006/metadata/properties" ma:root="true" ma:fieldsID="e48c4e51891a7ad7a9848e84a11e2199" ns2:_="" ns3:_="">
    <xsd:import namespace="df96cac6-5edc-4d96-a14f-21dec8cebb64"/>
    <xsd:import namespace="e6f9aa0a-a4db-4c69-b1fa-f7c559ce6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6cac6-5edc-4d96-a14f-21dec8ceb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9aa0a-a4db-4c69-b1fa-f7c559ce6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C243F3-CE3D-485B-8054-D540653821ED}"/>
</file>

<file path=customXml/itemProps2.xml><?xml version="1.0" encoding="utf-8"?>
<ds:datastoreItem xmlns:ds="http://schemas.openxmlformats.org/officeDocument/2006/customXml" ds:itemID="{6C140B2B-8975-4C71-A351-202CC8691D24}"/>
</file>

<file path=customXml/itemProps3.xml><?xml version="1.0" encoding="utf-8"?>
<ds:datastoreItem xmlns:ds="http://schemas.openxmlformats.org/officeDocument/2006/customXml" ds:itemID="{4DEC1B8F-E710-451F-AA34-02654E1185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Final Report</vt:lpstr>
      <vt:lpstr>Date</vt:lpstr>
      <vt:lpstr>Budget</vt:lpstr>
      <vt:lpstr>SBI Prime Card</vt:lpstr>
      <vt:lpstr>SBI Simply Save</vt:lpstr>
      <vt:lpstr>CiTi PayTM Card</vt:lpstr>
      <vt:lpstr>ICICI Amazon Pay Card</vt:lpstr>
      <vt:lpstr>HSBC Platinum Card</vt:lpstr>
      <vt:lpstr>CiTi Rewards Card</vt:lpstr>
      <vt:lpstr>CiTi IOC Card</vt:lpstr>
      <vt:lpstr>AmEx Card</vt:lpstr>
      <vt:lpstr>AmEx Charge Card</vt:lpstr>
      <vt:lpstr>AmEx Membership Card</vt:lpstr>
      <vt:lpstr>ICICI Coral Card</vt:lpstr>
      <vt:lpstr>ICICI MMT Card</vt:lpstr>
      <vt:lpstr>IndusInd Aura</vt:lpstr>
      <vt:lpstr>CC Check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Aggarwal (Mu Sigma Inc.)</dc:creator>
  <cp:lastModifiedBy>Sudhanshu Aggarwal</cp:lastModifiedBy>
  <dcterms:created xsi:type="dcterms:W3CDTF">2019-04-07T09:51:07Z</dcterms:created>
  <dcterms:modified xsi:type="dcterms:W3CDTF">2021-02-27T07:42:43Z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v-suag@microsoft.com</vt:lpwstr>
  </property>
  <property fmtid="{D5CDD505-2E9C-101B-9397-08002B2CF9AE}" pid="5" name="MSIP_Label_f42aa342-8706-4288-bd11-ebb85995028c_SetDate">
    <vt:lpwstr>2019-08-04T05:14:11.4013309Z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08778c30-a9e6-4570-83ab-3e2f6a261586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0x01010080238261E73C88439BB98AF91E7C8BB9</vt:lpwstr>
  </property>
</Properties>
</file>