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codeName="ThisWorkbook" hidePivotFieldList="1" defaultThemeVersion="166925"/>
  <mc:AlternateContent xmlns:mc="http://schemas.openxmlformats.org/markup-compatibility/2006">
    <mc:Choice Requires="x15">
      <x15ac:absPath xmlns:x15ac="http://schemas.microsoft.com/office/spreadsheetml/2010/11/ac" url="C:\Users\sudhanshu.aggarwal\Downloads\Personal Docs\"/>
    </mc:Choice>
  </mc:AlternateContent>
  <xr:revisionPtr revIDLastSave="0" documentId="13_ncr:1_{4B284605-8C4D-45A9-8ED4-A032714A9AB8}" xr6:coauthVersionLast="44" xr6:coauthVersionMax="44" xr10:uidLastSave="{00000000-0000-0000-0000-000000000000}"/>
  <bookViews>
    <workbookView xWindow="-110" yWindow="-110" windowWidth="19420" windowHeight="11020" firstSheet="3" activeTab="3" xr2:uid="{03FF1F2B-7215-4E18-8BEF-0A8F36A04C79}"/>
  </bookViews>
  <sheets>
    <sheet name="BanksList" sheetId="4" r:id="rId1"/>
    <sheet name="SelectedBanks" sheetId="5" r:id="rId2"/>
    <sheet name="TravelTourismLogistics" sheetId="6" r:id="rId3"/>
    <sheet name="SelectedTTLs" sheetId="7" r:id="rId4"/>
    <sheet name="Bevrages" sheetId="8" r:id="rId5"/>
    <sheet name="SelectedBeverages" sheetId="14" r:id="rId6"/>
    <sheet name="ConsumerGoods" sheetId="10" r:id="rId7"/>
    <sheet name="SelectedConsumerGoods" sheetId="15" r:id="rId8"/>
    <sheet name="Engineering-Construction" sheetId="12" r:id="rId9"/>
    <sheet name="SelectedEConstruction" sheetId="16" r:id="rId10"/>
    <sheet name="BPOs" sheetId="9" r:id="rId11"/>
    <sheet name="SelectedBPOs" sheetId="17" r:id="rId12"/>
    <sheet name="TeleCommunication" sheetId="11" r:id="rId13"/>
    <sheet name="AutoMobiles" sheetId="19" r:id="rId14"/>
    <sheet name="Entertainment" sheetId="21" r:id="rId15"/>
    <sheet name="Consumer Goods" sheetId="22" r:id="rId16"/>
    <sheet name="Categories" sheetId="13" r:id="rId17"/>
    <sheet name="Taxonomy" sheetId="1" r:id="rId18"/>
    <sheet name="Sheet2" sheetId="2" r:id="rId19"/>
    <sheet name="Sheet3" sheetId="3" r:id="rId20"/>
  </sheets>
  <calcPr calcId="191029"/>
  <pivotCaches>
    <pivotCache cacheId="58" r:id="rId21"/>
    <pivotCache cacheId="65" r:id="rId22"/>
    <pivotCache cacheId="72" r:id="rId23"/>
    <pivotCache cacheId="79" r:id="rId24"/>
    <pivotCache cacheId="85" r:id="rId25"/>
    <pivotCache cacheId="92" r:id="rId2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A9" i="22" l="1"/>
  <c r="AB9" i="22" s="1"/>
  <c r="AC9" i="22" s="1"/>
  <c r="U9" i="22"/>
  <c r="T9" i="22"/>
  <c r="R9" i="22"/>
  <c r="Q9" i="22"/>
  <c r="P9" i="22"/>
  <c r="L9" i="22"/>
  <c r="W9" i="22" s="1"/>
  <c r="J9" i="22"/>
  <c r="V9" i="22" s="1"/>
  <c r="F9" i="22"/>
  <c r="S9" i="22" s="1"/>
  <c r="AA8" i="22"/>
  <c r="AB8" i="22" s="1"/>
  <c r="AC8" i="22" s="1"/>
  <c r="U8" i="22"/>
  <c r="T8" i="22"/>
  <c r="R8" i="22"/>
  <c r="Q8" i="22"/>
  <c r="P8" i="22"/>
  <c r="L8" i="22"/>
  <c r="W8" i="22" s="1"/>
  <c r="J8" i="22"/>
  <c r="V8" i="22" s="1"/>
  <c r="F8" i="22"/>
  <c r="S8" i="22" s="1"/>
  <c r="AA7" i="22"/>
  <c r="AB7" i="22" s="1"/>
  <c r="AC7" i="22" s="1"/>
  <c r="U7" i="22"/>
  <c r="T7" i="22"/>
  <c r="R7" i="22"/>
  <c r="Q7" i="22"/>
  <c r="P7" i="22"/>
  <c r="L7" i="22"/>
  <c r="W7" i="22" s="1"/>
  <c r="J7" i="22"/>
  <c r="V7" i="22" s="1"/>
  <c r="F7" i="22"/>
  <c r="S7" i="22" s="1"/>
  <c r="AA6" i="22"/>
  <c r="AB6" i="22" s="1"/>
  <c r="AC6" i="22" s="1"/>
  <c r="U6" i="22"/>
  <c r="T6" i="22"/>
  <c r="R6" i="22"/>
  <c r="Q6" i="22"/>
  <c r="P6" i="22"/>
  <c r="L6" i="22"/>
  <c r="W6" i="22" s="1"/>
  <c r="J6" i="22"/>
  <c r="V6" i="22" s="1"/>
  <c r="F6" i="22"/>
  <c r="S6" i="22" s="1"/>
  <c r="AA5" i="22"/>
  <c r="AB5" i="22" s="1"/>
  <c r="AC5" i="22" s="1"/>
  <c r="U5" i="22"/>
  <c r="T5" i="22"/>
  <c r="R5" i="22"/>
  <c r="Q5" i="22"/>
  <c r="P5" i="22"/>
  <c r="L5" i="22"/>
  <c r="W5" i="22" s="1"/>
  <c r="J5" i="22"/>
  <c r="V5" i="22" s="1"/>
  <c r="F5" i="22"/>
  <c r="S5" i="22" s="1"/>
  <c r="AA4" i="22"/>
  <c r="AB4" i="22" s="1"/>
  <c r="AC4" i="22" s="1"/>
  <c r="U4" i="22"/>
  <c r="T4" i="22"/>
  <c r="R4" i="22"/>
  <c r="Q4" i="22"/>
  <c r="P4" i="22"/>
  <c r="L4" i="22"/>
  <c r="W4" i="22" s="1"/>
  <c r="J4" i="22"/>
  <c r="V4" i="22" s="1"/>
  <c r="F4" i="22"/>
  <c r="S4" i="22" s="1"/>
  <c r="AA3" i="22"/>
  <c r="AB3" i="22" s="1"/>
  <c r="AC3" i="22" s="1"/>
  <c r="U3" i="22"/>
  <c r="T3" i="22"/>
  <c r="R3" i="22"/>
  <c r="Q3" i="22"/>
  <c r="P3" i="22"/>
  <c r="L3" i="22"/>
  <c r="W3" i="22" s="1"/>
  <c r="J3" i="22"/>
  <c r="V3" i="22" s="1"/>
  <c r="F3" i="22"/>
  <c r="S3" i="22" s="1"/>
  <c r="F12" i="21"/>
  <c r="S12" i="21" s="1"/>
  <c r="J12" i="21"/>
  <c r="V12" i="21" s="1"/>
  <c r="L12" i="21"/>
  <c r="W12" i="21" s="1"/>
  <c r="P12" i="21"/>
  <c r="Q12" i="21"/>
  <c r="R12" i="21"/>
  <c r="T12" i="21"/>
  <c r="U12" i="21"/>
  <c r="AA12" i="21"/>
  <c r="AB12" i="21" s="1"/>
  <c r="AC12" i="21" s="1"/>
  <c r="F11" i="21"/>
  <c r="S11" i="21" s="1"/>
  <c r="J11" i="21"/>
  <c r="V11" i="21" s="1"/>
  <c r="L11" i="21"/>
  <c r="W11" i="21" s="1"/>
  <c r="P11" i="21"/>
  <c r="Q11" i="21"/>
  <c r="R11" i="21"/>
  <c r="T11" i="21"/>
  <c r="U11" i="21"/>
  <c r="AA11" i="21"/>
  <c r="AB11" i="21" s="1"/>
  <c r="AC11" i="21" s="1"/>
  <c r="J3" i="21"/>
  <c r="V3" i="21" s="1"/>
  <c r="AA10" i="21"/>
  <c r="AB10" i="21" s="1"/>
  <c r="AC10" i="21" s="1"/>
  <c r="U10" i="21"/>
  <c r="T10" i="21"/>
  <c r="R10" i="21"/>
  <c r="Q10" i="21"/>
  <c r="P10" i="21"/>
  <c r="L10" i="21"/>
  <c r="W10" i="21" s="1"/>
  <c r="J10" i="21"/>
  <c r="V10" i="21" s="1"/>
  <c r="F10" i="21"/>
  <c r="S10" i="21" s="1"/>
  <c r="AA9" i="21"/>
  <c r="AB9" i="21" s="1"/>
  <c r="AC9" i="21" s="1"/>
  <c r="U9" i="21"/>
  <c r="T9" i="21"/>
  <c r="R9" i="21"/>
  <c r="Q9" i="21"/>
  <c r="P9" i="21"/>
  <c r="L9" i="21"/>
  <c r="W9" i="21" s="1"/>
  <c r="J9" i="21"/>
  <c r="V9" i="21" s="1"/>
  <c r="F9" i="21"/>
  <c r="S9" i="21" s="1"/>
  <c r="AA8" i="21"/>
  <c r="AB8" i="21" s="1"/>
  <c r="AC8" i="21" s="1"/>
  <c r="U8" i="21"/>
  <c r="T8" i="21"/>
  <c r="R8" i="21"/>
  <c r="Q8" i="21"/>
  <c r="P8" i="21"/>
  <c r="L8" i="21"/>
  <c r="W8" i="21" s="1"/>
  <c r="J8" i="21"/>
  <c r="V8" i="21" s="1"/>
  <c r="F8" i="21"/>
  <c r="S8" i="21" s="1"/>
  <c r="AB7" i="21"/>
  <c r="AC7" i="21" s="1"/>
  <c r="AA7" i="21"/>
  <c r="U7" i="21"/>
  <c r="T7" i="21"/>
  <c r="R7" i="21"/>
  <c r="Q7" i="21"/>
  <c r="P7" i="21"/>
  <c r="L7" i="21"/>
  <c r="W7" i="21" s="1"/>
  <c r="J7" i="21"/>
  <c r="V7" i="21" s="1"/>
  <c r="F7" i="21"/>
  <c r="S7" i="21" s="1"/>
  <c r="AA6" i="21"/>
  <c r="AB6" i="21" s="1"/>
  <c r="AC6" i="21" s="1"/>
  <c r="U6" i="21"/>
  <c r="T6" i="21"/>
  <c r="R6" i="21"/>
  <c r="Q6" i="21"/>
  <c r="P6" i="21"/>
  <c r="L6" i="21"/>
  <c r="W6" i="21" s="1"/>
  <c r="J6" i="21"/>
  <c r="V6" i="21" s="1"/>
  <c r="F6" i="21"/>
  <c r="S6" i="21" s="1"/>
  <c r="AA5" i="21"/>
  <c r="AB5" i="21" s="1"/>
  <c r="AC5" i="21" s="1"/>
  <c r="U5" i="21"/>
  <c r="T5" i="21"/>
  <c r="R5" i="21"/>
  <c r="Q5" i="21"/>
  <c r="P5" i="21"/>
  <c r="L5" i="21"/>
  <c r="W5" i="21" s="1"/>
  <c r="J5" i="21"/>
  <c r="V5" i="21" s="1"/>
  <c r="F5" i="21"/>
  <c r="S5" i="21" s="1"/>
  <c r="AA4" i="21"/>
  <c r="AB4" i="21" s="1"/>
  <c r="AC4" i="21" s="1"/>
  <c r="U4" i="21"/>
  <c r="T4" i="21"/>
  <c r="R4" i="21"/>
  <c r="Q4" i="21"/>
  <c r="P4" i="21"/>
  <c r="L4" i="21"/>
  <c r="W4" i="21" s="1"/>
  <c r="J4" i="21"/>
  <c r="V4" i="21" s="1"/>
  <c r="F4" i="21"/>
  <c r="S4" i="21" s="1"/>
  <c r="AA3" i="21"/>
  <c r="AB3" i="21" s="1"/>
  <c r="AC3" i="21" s="1"/>
  <c r="U3" i="21"/>
  <c r="T3" i="21"/>
  <c r="R3" i="21"/>
  <c r="Q3" i="21"/>
  <c r="P3" i="21"/>
  <c r="L3" i="21"/>
  <c r="W3" i="21" s="1"/>
  <c r="F3" i="21"/>
  <c r="S3" i="21" s="1"/>
  <c r="F9" i="19"/>
  <c r="S9" i="19" s="1"/>
  <c r="J9" i="19"/>
  <c r="V9" i="19" s="1"/>
  <c r="L9" i="19"/>
  <c r="P9" i="19"/>
  <c r="Q9" i="19"/>
  <c r="R9" i="19"/>
  <c r="T9" i="19"/>
  <c r="U9" i="19"/>
  <c r="W9" i="19"/>
  <c r="AA9" i="19"/>
  <c r="AB9" i="19" s="1"/>
  <c r="AC9" i="19" s="1"/>
  <c r="F8" i="19"/>
  <c r="S8" i="19" s="1"/>
  <c r="J8" i="19"/>
  <c r="V8" i="19" s="1"/>
  <c r="L8" i="19"/>
  <c r="W8" i="19" s="1"/>
  <c r="P8" i="19"/>
  <c r="Q8" i="19"/>
  <c r="R8" i="19"/>
  <c r="T8" i="19"/>
  <c r="U8" i="19"/>
  <c r="AA8" i="19"/>
  <c r="AB8" i="19" s="1"/>
  <c r="AC8" i="19" s="1"/>
  <c r="F4" i="19"/>
  <c r="S4" i="19" s="1"/>
  <c r="J4" i="19"/>
  <c r="V4" i="19" s="1"/>
  <c r="L4" i="19"/>
  <c r="W4" i="19" s="1"/>
  <c r="P4" i="19"/>
  <c r="Q4" i="19"/>
  <c r="R4" i="19"/>
  <c r="T4" i="19"/>
  <c r="U4" i="19"/>
  <c r="AA4" i="19"/>
  <c r="AB4" i="19" s="1"/>
  <c r="AC4" i="19" s="1"/>
  <c r="F7" i="19"/>
  <c r="S7" i="19" s="1"/>
  <c r="F10" i="19"/>
  <c r="S10" i="19" s="1"/>
  <c r="J7" i="19"/>
  <c r="V7" i="19" s="1"/>
  <c r="J10" i="19"/>
  <c r="V10" i="19" s="1"/>
  <c r="L7" i="19"/>
  <c r="W7" i="19" s="1"/>
  <c r="L10" i="19"/>
  <c r="W10" i="19" s="1"/>
  <c r="P7" i="19"/>
  <c r="P10" i="19"/>
  <c r="Q7" i="19"/>
  <c r="Q10" i="19"/>
  <c r="R7" i="19"/>
  <c r="R10" i="19"/>
  <c r="T7" i="19"/>
  <c r="T10" i="19"/>
  <c r="U7" i="19"/>
  <c r="U10" i="19"/>
  <c r="AA7" i="19"/>
  <c r="AB7" i="19" s="1"/>
  <c r="AC7" i="19" s="1"/>
  <c r="AA10" i="19"/>
  <c r="AB10" i="19" s="1"/>
  <c r="AC10" i="19" s="1"/>
  <c r="AA6" i="19"/>
  <c r="AB6" i="19" s="1"/>
  <c r="AC6" i="19" s="1"/>
  <c r="U6" i="19"/>
  <c r="T6" i="19"/>
  <c r="R6" i="19"/>
  <c r="Q6" i="19"/>
  <c r="P6" i="19"/>
  <c r="L6" i="19"/>
  <c r="W6" i="19" s="1"/>
  <c r="J6" i="19"/>
  <c r="V6" i="19" s="1"/>
  <c r="F6" i="19"/>
  <c r="S6" i="19" s="1"/>
  <c r="AA5" i="19"/>
  <c r="AB5" i="19" s="1"/>
  <c r="AC5" i="19" s="1"/>
  <c r="U5" i="19"/>
  <c r="T5" i="19"/>
  <c r="R5" i="19"/>
  <c r="Q5" i="19"/>
  <c r="P5" i="19"/>
  <c r="L5" i="19"/>
  <c r="W5" i="19" s="1"/>
  <c r="J5" i="19"/>
  <c r="V5" i="19" s="1"/>
  <c r="F5" i="19"/>
  <c r="S5" i="19" s="1"/>
  <c r="AA3" i="19"/>
  <c r="AB3" i="19" s="1"/>
  <c r="AC3" i="19" s="1"/>
  <c r="U3" i="19"/>
  <c r="T3" i="19"/>
  <c r="R3" i="19"/>
  <c r="Q3" i="19"/>
  <c r="P3" i="19"/>
  <c r="L3" i="19"/>
  <c r="W3" i="19" s="1"/>
  <c r="J3" i="19"/>
  <c r="V3" i="19" s="1"/>
  <c r="F3" i="19"/>
  <c r="S3" i="19" s="1"/>
  <c r="X9" i="22" l="1"/>
  <c r="X5" i="22"/>
  <c r="X6" i="22"/>
  <c r="X3" i="22"/>
  <c r="X8" i="22"/>
  <c r="X4" i="22"/>
  <c r="X7" i="22"/>
  <c r="X12" i="21"/>
  <c r="X11" i="21"/>
  <c r="X10" i="21"/>
  <c r="X7" i="21"/>
  <c r="X4" i="21"/>
  <c r="X5" i="21"/>
  <c r="X8" i="21"/>
  <c r="X3" i="21"/>
  <c r="X6" i="21"/>
  <c r="X9" i="21"/>
  <c r="X9" i="19"/>
  <c r="X8" i="19"/>
  <c r="X7" i="19"/>
  <c r="X4" i="19"/>
  <c r="X10" i="19"/>
  <c r="X3" i="19"/>
  <c r="X5" i="19"/>
  <c r="X6" i="19"/>
  <c r="AA11" i="12" l="1"/>
  <c r="AB11" i="12" s="1"/>
  <c r="AC11" i="12" s="1"/>
  <c r="U11" i="12"/>
  <c r="T11" i="12"/>
  <c r="R11" i="12"/>
  <c r="Q11" i="12"/>
  <c r="P11" i="12"/>
  <c r="L11" i="12"/>
  <c r="W11" i="12" s="1"/>
  <c r="J11" i="12"/>
  <c r="V11" i="12" s="1"/>
  <c r="F11" i="12"/>
  <c r="S11" i="12" s="1"/>
  <c r="AA10" i="12"/>
  <c r="AB10" i="12" s="1"/>
  <c r="AC10" i="12" s="1"/>
  <c r="U10" i="12"/>
  <c r="T10" i="12"/>
  <c r="R10" i="12"/>
  <c r="Q10" i="12"/>
  <c r="P10" i="12"/>
  <c r="L10" i="12"/>
  <c r="W10" i="12" s="1"/>
  <c r="J10" i="12"/>
  <c r="V10" i="12" s="1"/>
  <c r="F10" i="12"/>
  <c r="S10" i="12" s="1"/>
  <c r="AA9" i="12"/>
  <c r="AB9" i="12" s="1"/>
  <c r="AC9" i="12" s="1"/>
  <c r="U9" i="12"/>
  <c r="T9" i="12"/>
  <c r="R9" i="12"/>
  <c r="Q9" i="12"/>
  <c r="P9" i="12"/>
  <c r="L9" i="12"/>
  <c r="W9" i="12" s="1"/>
  <c r="J9" i="12"/>
  <c r="V9" i="12" s="1"/>
  <c r="F9" i="12"/>
  <c r="S9" i="12" s="1"/>
  <c r="AA8" i="12"/>
  <c r="AB8" i="12" s="1"/>
  <c r="AC8" i="12" s="1"/>
  <c r="U8" i="12"/>
  <c r="T8" i="12"/>
  <c r="R8" i="12"/>
  <c r="Q8" i="12"/>
  <c r="P8" i="12"/>
  <c r="L8" i="12"/>
  <c r="W8" i="12" s="1"/>
  <c r="J8" i="12"/>
  <c r="V8" i="12" s="1"/>
  <c r="F8" i="12"/>
  <c r="S8" i="12" s="1"/>
  <c r="AA7" i="12"/>
  <c r="AB7" i="12" s="1"/>
  <c r="AC7" i="12" s="1"/>
  <c r="U7" i="12"/>
  <c r="T7" i="12"/>
  <c r="R7" i="12"/>
  <c r="Q7" i="12"/>
  <c r="P7" i="12"/>
  <c r="L7" i="12"/>
  <c r="W7" i="12" s="1"/>
  <c r="J7" i="12"/>
  <c r="V7" i="12" s="1"/>
  <c r="F7" i="12"/>
  <c r="S7" i="12" s="1"/>
  <c r="AA6" i="12"/>
  <c r="AB6" i="12" s="1"/>
  <c r="AC6" i="12" s="1"/>
  <c r="U6" i="12"/>
  <c r="T6" i="12"/>
  <c r="R6" i="12"/>
  <c r="Q6" i="12"/>
  <c r="P6" i="12"/>
  <c r="L6" i="12"/>
  <c r="W6" i="12" s="1"/>
  <c r="J6" i="12"/>
  <c r="V6" i="12" s="1"/>
  <c r="F6" i="12"/>
  <c r="S6" i="12" s="1"/>
  <c r="AA5" i="12"/>
  <c r="AB5" i="12" s="1"/>
  <c r="AC5" i="12" s="1"/>
  <c r="U5" i="12"/>
  <c r="T5" i="12"/>
  <c r="R5" i="12"/>
  <c r="Q5" i="12"/>
  <c r="P5" i="12"/>
  <c r="L5" i="12"/>
  <c r="W5" i="12" s="1"/>
  <c r="J5" i="12"/>
  <c r="V5" i="12" s="1"/>
  <c r="F5" i="12"/>
  <c r="S5" i="12" s="1"/>
  <c r="AA4" i="12"/>
  <c r="AB4" i="12" s="1"/>
  <c r="AC4" i="12" s="1"/>
  <c r="U4" i="12"/>
  <c r="T4" i="12"/>
  <c r="R4" i="12"/>
  <c r="Q4" i="12"/>
  <c r="P4" i="12"/>
  <c r="L4" i="12"/>
  <c r="W4" i="12" s="1"/>
  <c r="J4" i="12"/>
  <c r="V4" i="12" s="1"/>
  <c r="F4" i="12"/>
  <c r="S4" i="12" s="1"/>
  <c r="AA3" i="12"/>
  <c r="AB3" i="12" s="1"/>
  <c r="AC3" i="12" s="1"/>
  <c r="U3" i="12"/>
  <c r="T3" i="12"/>
  <c r="R3" i="12"/>
  <c r="Q3" i="12"/>
  <c r="P3" i="12"/>
  <c r="L3" i="12"/>
  <c r="W3" i="12" s="1"/>
  <c r="J3" i="12"/>
  <c r="V3" i="12" s="1"/>
  <c r="F3" i="12"/>
  <c r="S3" i="12" s="1"/>
  <c r="AA5" i="11"/>
  <c r="AB5" i="11" s="1"/>
  <c r="AC5" i="11" s="1"/>
  <c r="U5" i="11"/>
  <c r="T5" i="11"/>
  <c r="R5" i="11"/>
  <c r="Q5" i="11"/>
  <c r="P5" i="11"/>
  <c r="L5" i="11"/>
  <c r="W5" i="11" s="1"/>
  <c r="J5" i="11"/>
  <c r="V5" i="11" s="1"/>
  <c r="F5" i="11"/>
  <c r="S5" i="11" s="1"/>
  <c r="AA4" i="11"/>
  <c r="AB4" i="11" s="1"/>
  <c r="AC4" i="11" s="1"/>
  <c r="U4" i="11"/>
  <c r="T4" i="11"/>
  <c r="R4" i="11"/>
  <c r="Q4" i="11"/>
  <c r="P4" i="11"/>
  <c r="L4" i="11"/>
  <c r="W4" i="11" s="1"/>
  <c r="J4" i="11"/>
  <c r="V4" i="11" s="1"/>
  <c r="F4" i="11"/>
  <c r="S4" i="11" s="1"/>
  <c r="AA3" i="11"/>
  <c r="AB3" i="11" s="1"/>
  <c r="AC3" i="11" s="1"/>
  <c r="U3" i="11"/>
  <c r="T3" i="11"/>
  <c r="R3" i="11"/>
  <c r="Q3" i="11"/>
  <c r="P3" i="11"/>
  <c r="L3" i="11"/>
  <c r="W3" i="11" s="1"/>
  <c r="J3" i="11"/>
  <c r="V3" i="11" s="1"/>
  <c r="F3" i="11"/>
  <c r="S3" i="11" s="1"/>
  <c r="J7" i="10"/>
  <c r="AA15" i="10"/>
  <c r="AB15" i="10" s="1"/>
  <c r="AC15" i="10" s="1"/>
  <c r="U15" i="10"/>
  <c r="T15" i="10"/>
  <c r="R15" i="10"/>
  <c r="Q15" i="10"/>
  <c r="P15" i="10"/>
  <c r="L15" i="10"/>
  <c r="W15" i="10" s="1"/>
  <c r="J15" i="10"/>
  <c r="V15" i="10" s="1"/>
  <c r="F15" i="10"/>
  <c r="S15" i="10" s="1"/>
  <c r="AA14" i="10"/>
  <c r="AB14" i="10" s="1"/>
  <c r="AC14" i="10" s="1"/>
  <c r="U14" i="10"/>
  <c r="T14" i="10"/>
  <c r="R14" i="10"/>
  <c r="Q14" i="10"/>
  <c r="P14" i="10"/>
  <c r="L14" i="10"/>
  <c r="W14" i="10" s="1"/>
  <c r="J14" i="10"/>
  <c r="V14" i="10" s="1"/>
  <c r="F14" i="10"/>
  <c r="S14" i="10" s="1"/>
  <c r="AA13" i="10"/>
  <c r="AB13" i="10" s="1"/>
  <c r="AC13" i="10" s="1"/>
  <c r="U13" i="10"/>
  <c r="T13" i="10"/>
  <c r="R13" i="10"/>
  <c r="Q13" i="10"/>
  <c r="P13" i="10"/>
  <c r="L13" i="10"/>
  <c r="W13" i="10" s="1"/>
  <c r="J13" i="10"/>
  <c r="V13" i="10" s="1"/>
  <c r="F13" i="10"/>
  <c r="S13" i="10" s="1"/>
  <c r="AA12" i="10"/>
  <c r="AB12" i="10" s="1"/>
  <c r="AC12" i="10" s="1"/>
  <c r="U12" i="10"/>
  <c r="T12" i="10"/>
  <c r="R12" i="10"/>
  <c r="Q12" i="10"/>
  <c r="P12" i="10"/>
  <c r="L12" i="10"/>
  <c r="W12" i="10" s="1"/>
  <c r="J12" i="10"/>
  <c r="V12" i="10" s="1"/>
  <c r="F12" i="10"/>
  <c r="S12" i="10" s="1"/>
  <c r="AA11" i="10"/>
  <c r="AB11" i="10" s="1"/>
  <c r="AC11" i="10" s="1"/>
  <c r="U11" i="10"/>
  <c r="T11" i="10"/>
  <c r="R11" i="10"/>
  <c r="Q11" i="10"/>
  <c r="P11" i="10"/>
  <c r="L11" i="10"/>
  <c r="W11" i="10" s="1"/>
  <c r="J11" i="10"/>
  <c r="V11" i="10" s="1"/>
  <c r="F11" i="10"/>
  <c r="S11" i="10" s="1"/>
  <c r="AA10" i="10"/>
  <c r="AB10" i="10" s="1"/>
  <c r="AC10" i="10" s="1"/>
  <c r="U10" i="10"/>
  <c r="T10" i="10"/>
  <c r="R10" i="10"/>
  <c r="Q10" i="10"/>
  <c r="P10" i="10"/>
  <c r="L10" i="10"/>
  <c r="W10" i="10" s="1"/>
  <c r="J10" i="10"/>
  <c r="V10" i="10" s="1"/>
  <c r="F10" i="10"/>
  <c r="S10" i="10" s="1"/>
  <c r="AA9" i="10"/>
  <c r="AB9" i="10" s="1"/>
  <c r="AC9" i="10" s="1"/>
  <c r="U9" i="10"/>
  <c r="T9" i="10"/>
  <c r="R9" i="10"/>
  <c r="Q9" i="10"/>
  <c r="P9" i="10"/>
  <c r="L9" i="10"/>
  <c r="W9" i="10" s="1"/>
  <c r="J9" i="10"/>
  <c r="V9" i="10" s="1"/>
  <c r="F9" i="10"/>
  <c r="S9" i="10" s="1"/>
  <c r="AA8" i="10"/>
  <c r="AB8" i="10" s="1"/>
  <c r="AC8" i="10" s="1"/>
  <c r="U8" i="10"/>
  <c r="T8" i="10"/>
  <c r="R8" i="10"/>
  <c r="Q8" i="10"/>
  <c r="P8" i="10"/>
  <c r="L8" i="10"/>
  <c r="W8" i="10" s="1"/>
  <c r="J8" i="10"/>
  <c r="V8" i="10" s="1"/>
  <c r="F8" i="10"/>
  <c r="S8" i="10" s="1"/>
  <c r="AA7" i="10"/>
  <c r="AB7" i="10" s="1"/>
  <c r="AC7" i="10" s="1"/>
  <c r="U7" i="10"/>
  <c r="T7" i="10"/>
  <c r="R7" i="10"/>
  <c r="Q7" i="10"/>
  <c r="P7" i="10"/>
  <c r="L7" i="10"/>
  <c r="W7" i="10" s="1"/>
  <c r="V7" i="10"/>
  <c r="F7" i="10"/>
  <c r="S7" i="10" s="1"/>
  <c r="AA6" i="10"/>
  <c r="AB6" i="10" s="1"/>
  <c r="AC6" i="10" s="1"/>
  <c r="U6" i="10"/>
  <c r="T6" i="10"/>
  <c r="R6" i="10"/>
  <c r="Q6" i="10"/>
  <c r="P6" i="10"/>
  <c r="L6" i="10"/>
  <c r="W6" i="10" s="1"/>
  <c r="J6" i="10"/>
  <c r="V6" i="10" s="1"/>
  <c r="F6" i="10"/>
  <c r="S6" i="10" s="1"/>
  <c r="AA5" i="10"/>
  <c r="AB5" i="10" s="1"/>
  <c r="AC5" i="10" s="1"/>
  <c r="U5" i="10"/>
  <c r="T5" i="10"/>
  <c r="R5" i="10"/>
  <c r="Q5" i="10"/>
  <c r="P5" i="10"/>
  <c r="L5" i="10"/>
  <c r="W5" i="10" s="1"/>
  <c r="J5" i="10"/>
  <c r="V5" i="10" s="1"/>
  <c r="F5" i="10"/>
  <c r="S5" i="10" s="1"/>
  <c r="AA4" i="10"/>
  <c r="AB4" i="10" s="1"/>
  <c r="AC4" i="10" s="1"/>
  <c r="U4" i="10"/>
  <c r="T4" i="10"/>
  <c r="R4" i="10"/>
  <c r="Q4" i="10"/>
  <c r="P4" i="10"/>
  <c r="L4" i="10"/>
  <c r="W4" i="10" s="1"/>
  <c r="J4" i="10"/>
  <c r="V4" i="10" s="1"/>
  <c r="F4" i="10"/>
  <c r="S4" i="10" s="1"/>
  <c r="AA3" i="10"/>
  <c r="AB3" i="10" s="1"/>
  <c r="AC3" i="10" s="1"/>
  <c r="U3" i="10"/>
  <c r="T3" i="10"/>
  <c r="R3" i="10"/>
  <c r="Q3" i="10"/>
  <c r="P3" i="10"/>
  <c r="L3" i="10"/>
  <c r="W3" i="10" s="1"/>
  <c r="J3" i="10"/>
  <c r="V3" i="10" s="1"/>
  <c r="F3" i="10"/>
  <c r="S3" i="10" s="1"/>
  <c r="AA6" i="9"/>
  <c r="AB6" i="9" s="1"/>
  <c r="AC6" i="9" s="1"/>
  <c r="U6" i="9"/>
  <c r="T6" i="9"/>
  <c r="R6" i="9"/>
  <c r="Q6" i="9"/>
  <c r="P6" i="9"/>
  <c r="L6" i="9"/>
  <c r="W6" i="9" s="1"/>
  <c r="J6" i="9"/>
  <c r="V6" i="9" s="1"/>
  <c r="F6" i="9"/>
  <c r="S6" i="9" s="1"/>
  <c r="AA5" i="9"/>
  <c r="AB5" i="9" s="1"/>
  <c r="AC5" i="9" s="1"/>
  <c r="U5" i="9"/>
  <c r="T5" i="9"/>
  <c r="R5" i="9"/>
  <c r="Q5" i="9"/>
  <c r="P5" i="9"/>
  <c r="L5" i="9"/>
  <c r="W5" i="9" s="1"/>
  <c r="J5" i="9"/>
  <c r="V5" i="9" s="1"/>
  <c r="F5" i="9"/>
  <c r="S5" i="9" s="1"/>
  <c r="AA4" i="9"/>
  <c r="AB4" i="9" s="1"/>
  <c r="AC4" i="9" s="1"/>
  <c r="U4" i="9"/>
  <c r="T4" i="9"/>
  <c r="R4" i="9"/>
  <c r="Q4" i="9"/>
  <c r="P4" i="9"/>
  <c r="L4" i="9"/>
  <c r="W4" i="9" s="1"/>
  <c r="J4" i="9"/>
  <c r="V4" i="9" s="1"/>
  <c r="F4" i="9"/>
  <c r="S4" i="9" s="1"/>
  <c r="AA3" i="9"/>
  <c r="AB3" i="9" s="1"/>
  <c r="AC3" i="9" s="1"/>
  <c r="U3" i="9"/>
  <c r="T3" i="9"/>
  <c r="R3" i="9"/>
  <c r="Q3" i="9"/>
  <c r="P3" i="9"/>
  <c r="L3" i="9"/>
  <c r="W3" i="9" s="1"/>
  <c r="J3" i="9"/>
  <c r="V3" i="9" s="1"/>
  <c r="F3" i="9"/>
  <c r="S3" i="9" s="1"/>
  <c r="AA8" i="8"/>
  <c r="AB8" i="8" s="1"/>
  <c r="AC8" i="8" s="1"/>
  <c r="U8" i="8"/>
  <c r="T8" i="8"/>
  <c r="R8" i="8"/>
  <c r="Q8" i="8"/>
  <c r="P8" i="8"/>
  <c r="L8" i="8"/>
  <c r="W8" i="8" s="1"/>
  <c r="J8" i="8"/>
  <c r="V8" i="8" s="1"/>
  <c r="F8" i="8"/>
  <c r="S8" i="8" s="1"/>
  <c r="AA7" i="8"/>
  <c r="AB7" i="8" s="1"/>
  <c r="AC7" i="8" s="1"/>
  <c r="U7" i="8"/>
  <c r="T7" i="8"/>
  <c r="R7" i="8"/>
  <c r="Q7" i="8"/>
  <c r="P7" i="8"/>
  <c r="L7" i="8"/>
  <c r="W7" i="8" s="1"/>
  <c r="J7" i="8"/>
  <c r="V7" i="8" s="1"/>
  <c r="F7" i="8"/>
  <c r="S7" i="8" s="1"/>
  <c r="AA6" i="8"/>
  <c r="AB6" i="8" s="1"/>
  <c r="AC6" i="8" s="1"/>
  <c r="U6" i="8"/>
  <c r="T6" i="8"/>
  <c r="R6" i="8"/>
  <c r="Q6" i="8"/>
  <c r="P6" i="8"/>
  <c r="L6" i="8"/>
  <c r="W6" i="8" s="1"/>
  <c r="J6" i="8"/>
  <c r="V6" i="8" s="1"/>
  <c r="F6" i="8"/>
  <c r="S6" i="8" s="1"/>
  <c r="AA5" i="8"/>
  <c r="AB5" i="8" s="1"/>
  <c r="AC5" i="8" s="1"/>
  <c r="U5" i="8"/>
  <c r="T5" i="8"/>
  <c r="R5" i="8"/>
  <c r="Q5" i="8"/>
  <c r="P5" i="8"/>
  <c r="L5" i="8"/>
  <c r="W5" i="8" s="1"/>
  <c r="J5" i="8"/>
  <c r="V5" i="8" s="1"/>
  <c r="F5" i="8"/>
  <c r="S5" i="8" s="1"/>
  <c r="AA4" i="8"/>
  <c r="AB4" i="8" s="1"/>
  <c r="AC4" i="8" s="1"/>
  <c r="U4" i="8"/>
  <c r="T4" i="8"/>
  <c r="R4" i="8"/>
  <c r="Q4" i="8"/>
  <c r="P4" i="8"/>
  <c r="L4" i="8"/>
  <c r="W4" i="8" s="1"/>
  <c r="J4" i="8"/>
  <c r="V4" i="8" s="1"/>
  <c r="F4" i="8"/>
  <c r="S4" i="8" s="1"/>
  <c r="AA3" i="8"/>
  <c r="AB3" i="8" s="1"/>
  <c r="AC3" i="8" s="1"/>
  <c r="U3" i="8"/>
  <c r="T3" i="8"/>
  <c r="R3" i="8"/>
  <c r="Q3" i="8"/>
  <c r="P3" i="8"/>
  <c r="L3" i="8"/>
  <c r="W3" i="8" s="1"/>
  <c r="J3" i="8"/>
  <c r="V3" i="8" s="1"/>
  <c r="F3" i="8"/>
  <c r="S3" i="8" s="1"/>
  <c r="X4" i="6"/>
  <c r="X5" i="6"/>
  <c r="X6" i="6"/>
  <c r="X7" i="6"/>
  <c r="X8" i="6"/>
  <c r="X9" i="6"/>
  <c r="X10" i="6"/>
  <c r="X11" i="6"/>
  <c r="X12" i="6"/>
  <c r="X13" i="6"/>
  <c r="X14" i="6"/>
  <c r="X15" i="6"/>
  <c r="X16" i="6"/>
  <c r="X17" i="6"/>
  <c r="X18" i="6"/>
  <c r="X19" i="6"/>
  <c r="X3" i="6"/>
  <c r="L3" i="6"/>
  <c r="W3" i="6" s="1"/>
  <c r="L4" i="6"/>
  <c r="W4" i="6" s="1"/>
  <c r="L5" i="6"/>
  <c r="W5" i="6" s="1"/>
  <c r="L6" i="6"/>
  <c r="W6" i="6" s="1"/>
  <c r="L7" i="6"/>
  <c r="W7" i="6" s="1"/>
  <c r="L8" i="6"/>
  <c r="W8" i="6" s="1"/>
  <c r="L9" i="6"/>
  <c r="W9" i="6" s="1"/>
  <c r="L10" i="6"/>
  <c r="W10" i="6" s="1"/>
  <c r="L11" i="6"/>
  <c r="W11" i="6" s="1"/>
  <c r="L12" i="6"/>
  <c r="W12" i="6" s="1"/>
  <c r="L13" i="6"/>
  <c r="W13" i="6" s="1"/>
  <c r="L14" i="6"/>
  <c r="W14" i="6" s="1"/>
  <c r="L15" i="6"/>
  <c r="W15" i="6" s="1"/>
  <c r="L16" i="6"/>
  <c r="W16" i="6" s="1"/>
  <c r="L17" i="6"/>
  <c r="W17" i="6" s="1"/>
  <c r="L18" i="6"/>
  <c r="W18" i="6" s="1"/>
  <c r="L19" i="6"/>
  <c r="W19" i="6" s="1"/>
  <c r="U4" i="6"/>
  <c r="U5" i="6"/>
  <c r="U6" i="6"/>
  <c r="U7" i="6"/>
  <c r="U8" i="6"/>
  <c r="U9" i="6"/>
  <c r="U10" i="6"/>
  <c r="U11" i="6"/>
  <c r="U12" i="6"/>
  <c r="U13" i="6"/>
  <c r="U14" i="6"/>
  <c r="U15" i="6"/>
  <c r="U16" i="6"/>
  <c r="U17" i="6"/>
  <c r="U18" i="6"/>
  <c r="U19" i="6"/>
  <c r="U3" i="6"/>
  <c r="T4" i="6"/>
  <c r="T5" i="6"/>
  <c r="T6" i="6"/>
  <c r="T7" i="6"/>
  <c r="T8" i="6"/>
  <c r="T9" i="6"/>
  <c r="T10" i="6"/>
  <c r="T11" i="6"/>
  <c r="T12" i="6"/>
  <c r="T13" i="6"/>
  <c r="T14" i="6"/>
  <c r="T15" i="6"/>
  <c r="T16" i="6"/>
  <c r="T17" i="6"/>
  <c r="T18" i="6"/>
  <c r="T19" i="6"/>
  <c r="T3" i="6"/>
  <c r="R4" i="6"/>
  <c r="R5" i="6"/>
  <c r="R6" i="6"/>
  <c r="R7" i="6"/>
  <c r="R8" i="6"/>
  <c r="R9" i="6"/>
  <c r="R10" i="6"/>
  <c r="R11" i="6"/>
  <c r="R12" i="6"/>
  <c r="R13" i="6"/>
  <c r="R14" i="6"/>
  <c r="R15" i="6"/>
  <c r="R16" i="6"/>
  <c r="R17" i="6"/>
  <c r="R18" i="6"/>
  <c r="R19" i="6"/>
  <c r="R3" i="6"/>
  <c r="J3" i="6"/>
  <c r="V3" i="6" s="1"/>
  <c r="J4" i="6"/>
  <c r="V4" i="6" s="1"/>
  <c r="J5" i="6"/>
  <c r="V5" i="6" s="1"/>
  <c r="J6" i="6"/>
  <c r="V6" i="6" s="1"/>
  <c r="J7" i="6"/>
  <c r="V7" i="6" s="1"/>
  <c r="J8" i="6"/>
  <c r="V8" i="6" s="1"/>
  <c r="J9" i="6"/>
  <c r="V9" i="6" s="1"/>
  <c r="J10" i="6"/>
  <c r="V10" i="6" s="1"/>
  <c r="J11" i="6"/>
  <c r="V11" i="6" s="1"/>
  <c r="J12" i="6"/>
  <c r="V12" i="6" s="1"/>
  <c r="J13" i="6"/>
  <c r="V13" i="6" s="1"/>
  <c r="J14" i="6"/>
  <c r="V14" i="6" s="1"/>
  <c r="J15" i="6"/>
  <c r="V15" i="6" s="1"/>
  <c r="J16" i="6"/>
  <c r="V16" i="6" s="1"/>
  <c r="J17" i="6"/>
  <c r="V17" i="6" s="1"/>
  <c r="J18" i="6"/>
  <c r="V18" i="6" s="1"/>
  <c r="J19" i="6"/>
  <c r="V19" i="6" s="1"/>
  <c r="F3" i="6"/>
  <c r="S3" i="6" s="1"/>
  <c r="F4" i="6"/>
  <c r="S4" i="6" s="1"/>
  <c r="F5" i="6"/>
  <c r="S5" i="6" s="1"/>
  <c r="F6" i="6"/>
  <c r="S6" i="6" s="1"/>
  <c r="F7" i="6"/>
  <c r="S7" i="6" s="1"/>
  <c r="F8" i="6"/>
  <c r="S8" i="6" s="1"/>
  <c r="F9" i="6"/>
  <c r="S9" i="6" s="1"/>
  <c r="F10" i="6"/>
  <c r="S10" i="6" s="1"/>
  <c r="F11" i="6"/>
  <c r="S11" i="6" s="1"/>
  <c r="F12" i="6"/>
  <c r="S12" i="6" s="1"/>
  <c r="F13" i="6"/>
  <c r="S13" i="6" s="1"/>
  <c r="F14" i="6"/>
  <c r="S14" i="6" s="1"/>
  <c r="F15" i="6"/>
  <c r="S15" i="6" s="1"/>
  <c r="F16" i="6"/>
  <c r="S16" i="6" s="1"/>
  <c r="F17" i="6"/>
  <c r="S17" i="6" s="1"/>
  <c r="F18" i="6"/>
  <c r="S18" i="6" s="1"/>
  <c r="F19" i="6"/>
  <c r="S19" i="6" s="1"/>
  <c r="AA19" i="6"/>
  <c r="AB19" i="6" s="1"/>
  <c r="AC19" i="6" s="1"/>
  <c r="Q19" i="6"/>
  <c r="P19" i="6"/>
  <c r="AA18" i="6"/>
  <c r="AB18" i="6" s="1"/>
  <c r="AC18" i="6" s="1"/>
  <c r="Q18" i="6"/>
  <c r="P18" i="6"/>
  <c r="AA17" i="6"/>
  <c r="AB17" i="6" s="1"/>
  <c r="AC17" i="6" s="1"/>
  <c r="Q17" i="6"/>
  <c r="P17" i="6"/>
  <c r="AA16" i="6"/>
  <c r="AB16" i="6" s="1"/>
  <c r="AC16" i="6" s="1"/>
  <c r="Q16" i="6"/>
  <c r="P16" i="6"/>
  <c r="AA15" i="6"/>
  <c r="AB15" i="6" s="1"/>
  <c r="AC15" i="6" s="1"/>
  <c r="Q15" i="6"/>
  <c r="P15" i="6"/>
  <c r="AA14" i="6"/>
  <c r="AB14" i="6" s="1"/>
  <c r="AC14" i="6" s="1"/>
  <c r="Q14" i="6"/>
  <c r="P14" i="6"/>
  <c r="AA13" i="6"/>
  <c r="AB13" i="6" s="1"/>
  <c r="AC13" i="6" s="1"/>
  <c r="Q13" i="6"/>
  <c r="P13" i="6"/>
  <c r="AA12" i="6"/>
  <c r="AB12" i="6" s="1"/>
  <c r="AC12" i="6" s="1"/>
  <c r="Q12" i="6"/>
  <c r="P12" i="6"/>
  <c r="AA11" i="6"/>
  <c r="AB11" i="6" s="1"/>
  <c r="AC11" i="6" s="1"/>
  <c r="Q11" i="6"/>
  <c r="P11" i="6"/>
  <c r="AA10" i="6"/>
  <c r="AB10" i="6" s="1"/>
  <c r="AC10" i="6" s="1"/>
  <c r="Q10" i="6"/>
  <c r="P10" i="6"/>
  <c r="AA9" i="6"/>
  <c r="AB9" i="6" s="1"/>
  <c r="AC9" i="6" s="1"/>
  <c r="Q9" i="6"/>
  <c r="P9" i="6"/>
  <c r="AA8" i="6"/>
  <c r="AB8" i="6" s="1"/>
  <c r="AC8" i="6" s="1"/>
  <c r="Q8" i="6"/>
  <c r="P8" i="6"/>
  <c r="AA7" i="6"/>
  <c r="AB7" i="6" s="1"/>
  <c r="AC7" i="6" s="1"/>
  <c r="Q7" i="6"/>
  <c r="P7" i="6"/>
  <c r="AA6" i="6"/>
  <c r="AB6" i="6" s="1"/>
  <c r="AC6" i="6" s="1"/>
  <c r="Q6" i="6"/>
  <c r="P6" i="6"/>
  <c r="AA5" i="6"/>
  <c r="AB5" i="6" s="1"/>
  <c r="AC5" i="6" s="1"/>
  <c r="Q5" i="6"/>
  <c r="P5" i="6"/>
  <c r="AA4" i="6"/>
  <c r="AB4" i="6" s="1"/>
  <c r="AC4" i="6" s="1"/>
  <c r="Q4" i="6"/>
  <c r="P4" i="6"/>
  <c r="AA3" i="6"/>
  <c r="AB3" i="6" s="1"/>
  <c r="AC3" i="6" s="1"/>
  <c r="Q3" i="6"/>
  <c r="P3" i="6"/>
  <c r="X9" i="12" l="1"/>
  <c r="X8" i="12"/>
  <c r="X4" i="12"/>
  <c r="X3" i="12"/>
  <c r="X5" i="12"/>
  <c r="X7" i="12"/>
  <c r="X6" i="12"/>
  <c r="X10" i="12"/>
  <c r="X11" i="12"/>
  <c r="X4" i="11"/>
  <c r="X5" i="11"/>
  <c r="X3" i="11"/>
  <c r="X14" i="10"/>
  <c r="X13" i="10"/>
  <c r="X8" i="10"/>
  <c r="X4" i="10"/>
  <c r="X3" i="10"/>
  <c r="X11" i="10"/>
  <c r="X7" i="10"/>
  <c r="X9" i="10"/>
  <c r="X15" i="10"/>
  <c r="X10" i="10"/>
  <c r="X12" i="10"/>
  <c r="X5" i="10"/>
  <c r="X6" i="10"/>
  <c r="X5" i="9"/>
  <c r="X4" i="9"/>
  <c r="X3" i="9"/>
  <c r="X6" i="9"/>
  <c r="X8" i="8"/>
  <c r="X6" i="8"/>
  <c r="X3" i="8"/>
  <c r="X7" i="8"/>
  <c r="X5" i="8"/>
  <c r="X4" i="8"/>
  <c r="Y4" i="4"/>
  <c r="Z4" i="4" s="1"/>
  <c r="AA4" i="4" s="1"/>
  <c r="Y5" i="4"/>
  <c r="Z5" i="4" s="1"/>
  <c r="AA5" i="4" s="1"/>
  <c r="Y6" i="4"/>
  <c r="Z6" i="4" s="1"/>
  <c r="AA6" i="4" s="1"/>
  <c r="Y7" i="4"/>
  <c r="Z7" i="4" s="1"/>
  <c r="AA7" i="4" s="1"/>
  <c r="Y8" i="4"/>
  <c r="Z8" i="4" s="1"/>
  <c r="AA8" i="4" s="1"/>
  <c r="Y9" i="4"/>
  <c r="Z9" i="4" s="1"/>
  <c r="AA9" i="4" s="1"/>
  <c r="Y10" i="4"/>
  <c r="Z10" i="4" s="1"/>
  <c r="AA10" i="4" s="1"/>
  <c r="Y11" i="4"/>
  <c r="Z11" i="4" s="1"/>
  <c r="AA11" i="4" s="1"/>
  <c r="Y12" i="4"/>
  <c r="Z12" i="4" s="1"/>
  <c r="AA12" i="4" s="1"/>
  <c r="Y13" i="4"/>
  <c r="Z13" i="4" s="1"/>
  <c r="AA13" i="4" s="1"/>
  <c r="Y14" i="4"/>
  <c r="Z14" i="4" s="1"/>
  <c r="AA14" i="4" s="1"/>
  <c r="Y15" i="4"/>
  <c r="Z15" i="4" s="1"/>
  <c r="AA15" i="4" s="1"/>
  <c r="Y16" i="4"/>
  <c r="Z16" i="4" s="1"/>
  <c r="AA16" i="4" s="1"/>
  <c r="Y17" i="4"/>
  <c r="Z17" i="4" s="1"/>
  <c r="AA17" i="4" s="1"/>
  <c r="Y18" i="4"/>
  <c r="Z18" i="4" s="1"/>
  <c r="AA18" i="4" s="1"/>
  <c r="Y19" i="4"/>
  <c r="Z19" i="4" s="1"/>
  <c r="AA19" i="4" s="1"/>
  <c r="Y20" i="4"/>
  <c r="Z20" i="4" s="1"/>
  <c r="AA20" i="4" s="1"/>
  <c r="Y3" i="4"/>
  <c r="Z3" i="4" s="1"/>
  <c r="AA3" i="4" s="1"/>
  <c r="M4" i="4"/>
  <c r="M5" i="4"/>
  <c r="M6" i="4"/>
  <c r="M7" i="4"/>
  <c r="M8" i="4"/>
  <c r="M9" i="4"/>
  <c r="M10" i="4"/>
  <c r="M11" i="4"/>
  <c r="M12" i="4"/>
  <c r="M13" i="4"/>
  <c r="M14" i="4"/>
  <c r="M15" i="4"/>
  <c r="M16" i="4"/>
  <c r="M17" i="4"/>
  <c r="M18" i="4"/>
  <c r="M19" i="4"/>
  <c r="M20" i="4"/>
  <c r="M3" i="4"/>
  <c r="U4" i="4"/>
  <c r="U15" i="4"/>
  <c r="U19" i="4"/>
  <c r="U16" i="4"/>
  <c r="U9" i="4"/>
  <c r="U8" i="4"/>
  <c r="U3" i="4"/>
  <c r="U10" i="4"/>
  <c r="U17" i="4"/>
  <c r="U13" i="4"/>
  <c r="U6" i="4"/>
  <c r="U5" i="4"/>
  <c r="U20" i="4"/>
  <c r="U7" i="4"/>
  <c r="U14" i="4"/>
  <c r="U18" i="4"/>
  <c r="U11" i="4"/>
  <c r="U12" i="4"/>
  <c r="T4" i="4"/>
  <c r="T15" i="4"/>
  <c r="T19" i="4"/>
  <c r="T16" i="4"/>
  <c r="T9" i="4"/>
  <c r="T8" i="4"/>
  <c r="T3" i="4"/>
  <c r="T10" i="4"/>
  <c r="T17" i="4"/>
  <c r="T13" i="4"/>
  <c r="T6" i="4"/>
  <c r="T5" i="4"/>
  <c r="T20" i="4"/>
  <c r="T7" i="4"/>
  <c r="T14" i="4"/>
  <c r="T18" i="4"/>
  <c r="T11" i="4"/>
  <c r="T12" i="4"/>
  <c r="S4" i="4"/>
  <c r="S15" i="4"/>
  <c r="S19" i="4"/>
  <c r="S16" i="4"/>
  <c r="S9" i="4"/>
  <c r="S8" i="4"/>
  <c r="S3" i="4"/>
  <c r="S10" i="4"/>
  <c r="S17" i="4"/>
  <c r="S13" i="4"/>
  <c r="S6" i="4"/>
  <c r="S5" i="4"/>
  <c r="S20" i="4"/>
  <c r="S7" i="4"/>
  <c r="S14" i="4"/>
  <c r="S18" i="4"/>
  <c r="S11" i="4"/>
  <c r="S12" i="4"/>
  <c r="R4" i="4"/>
  <c r="R15" i="4"/>
  <c r="R19" i="4"/>
  <c r="R16" i="4"/>
  <c r="R9" i="4"/>
  <c r="R8" i="4"/>
  <c r="R3" i="4"/>
  <c r="R10" i="4"/>
  <c r="R17" i="4"/>
  <c r="R13" i="4"/>
  <c r="R6" i="4"/>
  <c r="R5" i="4"/>
  <c r="R20" i="4"/>
  <c r="R7" i="4"/>
  <c r="R14" i="4"/>
  <c r="R18" i="4"/>
  <c r="R11" i="4"/>
  <c r="R12" i="4"/>
  <c r="Q4" i="4"/>
  <c r="Q15" i="4"/>
  <c r="Q19" i="4"/>
  <c r="Q16" i="4"/>
  <c r="Q9" i="4"/>
  <c r="Q8" i="4"/>
  <c r="Q3" i="4"/>
  <c r="Q10" i="4"/>
  <c r="Q17" i="4"/>
  <c r="Q13" i="4"/>
  <c r="Q6" i="4"/>
  <c r="Q5" i="4"/>
  <c r="Q20" i="4"/>
  <c r="Q7" i="4"/>
  <c r="Q14" i="4"/>
  <c r="Q18" i="4"/>
  <c r="Q11" i="4"/>
  <c r="Q12" i="4"/>
  <c r="P4" i="4"/>
  <c r="P15" i="4"/>
  <c r="P19" i="4"/>
  <c r="P16" i="4"/>
  <c r="P9" i="4"/>
  <c r="P8" i="4"/>
  <c r="P3" i="4"/>
  <c r="P10" i="4"/>
  <c r="P17" i="4"/>
  <c r="P13" i="4"/>
  <c r="P6" i="4"/>
  <c r="P5" i="4"/>
  <c r="P20" i="4"/>
  <c r="P7" i="4"/>
  <c r="P14" i="4"/>
  <c r="P18" i="4"/>
  <c r="P11" i="4"/>
  <c r="P12" i="4"/>
  <c r="O4" i="4"/>
  <c r="O15" i="4"/>
  <c r="O19" i="4"/>
  <c r="O16" i="4"/>
  <c r="O9" i="4"/>
  <c r="O8" i="4"/>
  <c r="O3" i="4"/>
  <c r="O10" i="4"/>
  <c r="O17" i="4"/>
  <c r="O13" i="4"/>
  <c r="O6" i="4"/>
  <c r="O5" i="4"/>
  <c r="O20" i="4"/>
  <c r="O7" i="4"/>
  <c r="O14" i="4"/>
  <c r="O18" i="4"/>
  <c r="O11" i="4"/>
  <c r="O12" i="4"/>
  <c r="N4" i="4"/>
  <c r="N15" i="4"/>
  <c r="N19" i="4"/>
  <c r="N16" i="4"/>
  <c r="N9" i="4"/>
  <c r="N8" i="4"/>
  <c r="N3" i="4"/>
  <c r="N10" i="4"/>
  <c r="N17" i="4"/>
  <c r="N13" i="4"/>
  <c r="N6" i="4"/>
  <c r="N5" i="4"/>
  <c r="N20" i="4"/>
  <c r="N7" i="4"/>
  <c r="N14" i="4"/>
  <c r="N18" i="4"/>
  <c r="N11" i="4"/>
  <c r="N12" i="4"/>
  <c r="V20" i="4" l="1"/>
  <c r="V9" i="4"/>
  <c r="V5" i="4"/>
  <c r="V16" i="4"/>
  <c r="V7" i="4"/>
  <c r="V8" i="4"/>
  <c r="V18" i="4"/>
  <c r="V10" i="4"/>
  <c r="V19" i="4"/>
  <c r="V14" i="4"/>
  <c r="V3" i="4"/>
  <c r="V6" i="4"/>
  <c r="V12" i="4"/>
  <c r="V13" i="4"/>
  <c r="V15" i="4"/>
  <c r="V11" i="4"/>
  <c r="V17" i="4"/>
  <c r="V4" i="4"/>
</calcChain>
</file>

<file path=xl/sharedStrings.xml><?xml version="1.0" encoding="utf-8"?>
<sst xmlns="http://schemas.openxmlformats.org/spreadsheetml/2006/main" count="921" uniqueCount="392">
  <si>
    <t xml:space="preserve">P/E - </t>
  </si>
  <si>
    <t xml:space="preserve">Market Cap - </t>
  </si>
  <si>
    <t>Value of Share * Number of Share</t>
  </si>
  <si>
    <t xml:space="preserve">Earning Per Share (EPS) – </t>
  </si>
  <si>
    <t>Price/Earning</t>
  </si>
  <si>
    <t>Net Profit/Number of Share</t>
  </si>
  <si>
    <t>More the EPS more the earnings</t>
  </si>
  <si>
    <t>Less ratio more profit</t>
  </si>
  <si>
    <t>Should compare the ratio with their historical data and profit growth</t>
  </si>
  <si>
    <t>Histotical data to get the jist of how P/E moved</t>
  </si>
  <si>
    <t>If profit growth shows an upward trend then P/E might be realted</t>
  </si>
  <si>
    <t>HUL</t>
  </si>
  <si>
    <t>Colgate</t>
  </si>
  <si>
    <t>Britannia</t>
  </si>
  <si>
    <t>Infosys</t>
  </si>
  <si>
    <t>HDFC Bank</t>
  </si>
  <si>
    <t>Enterprise Value -</t>
  </si>
  <si>
    <t>Adlabs Entertainment Ltd.</t>
  </si>
  <si>
    <t>Mostly Enterpirse Value &gt; Market Cap</t>
  </si>
  <si>
    <t>NBCC (India) Ltd.</t>
  </si>
  <si>
    <t>Aggar ek bnda kisi shop ko kharidne jaata hai, and us shop ke locker mai kuch paisa pda hai, that paisa is also my property. But aggar kal ko uss shop ka koi EMI bcha hai to who bhi mujhe pay krna hai</t>
  </si>
  <si>
    <t>Less the enterprise value greater is the chance to but the share of that company</t>
  </si>
  <si>
    <t>Enterprise Value tending to zero and Cash balance is surplus</t>
  </si>
  <si>
    <t xml:space="preserve">Standalone Enterprise Value - </t>
  </si>
  <si>
    <t>Consolidated Enterprise Value</t>
  </si>
  <si>
    <t>Value of the company for the business they are doing</t>
  </si>
  <si>
    <t>Value of the company for the business they are investing</t>
  </si>
  <si>
    <t>Tata Motors Ltd.</t>
  </si>
  <si>
    <t>Tata Steel Ltd.</t>
  </si>
  <si>
    <t>P/B -</t>
  </si>
  <si>
    <t>Price/Booked Value</t>
  </si>
  <si>
    <t>Should be tending towards zero</t>
  </si>
  <si>
    <t>Theoratically speaking, aggar company pua business bechna chaahti hai toh usko ek share ke price ke peeche kitna paisa dena rahega apne investors ko</t>
  </si>
  <si>
    <t xml:space="preserve"> </t>
  </si>
  <si>
    <t>Info Edge (India) Ltd.</t>
  </si>
  <si>
    <t>Mostly used in hardware companies such as cement, steel etc</t>
  </si>
  <si>
    <t>If earning = 0 then company is in loss</t>
  </si>
  <si>
    <t>Coal India Ltd.</t>
  </si>
  <si>
    <t xml:space="preserve">Dividend Yield - </t>
  </si>
  <si>
    <t>Aggar copmany ne koi profit kmaaya toh uska ek hissa aggar apn investors mai baant de toh usse dividend kehte hai</t>
  </si>
  <si>
    <t>Stable company mostly aapko dividend zayada de skte hai</t>
  </si>
  <si>
    <t>Dividend Yield ka example</t>
  </si>
  <si>
    <t>Low growth company, price ka share dheere dheere badhega</t>
  </si>
  <si>
    <t>Face Value -</t>
  </si>
  <si>
    <t>MRF Ltd.</t>
  </si>
  <si>
    <t>Face Value</t>
  </si>
  <si>
    <t>Value set by promoter for the initial share offering</t>
  </si>
  <si>
    <t>Promoter Holding</t>
  </si>
  <si>
    <t>Zee Learn Ltd.</t>
  </si>
  <si>
    <t>ITC</t>
  </si>
  <si>
    <t>Promoter Holding -</t>
  </si>
  <si>
    <t>Part ot the compony owned by the intial promoters</t>
  </si>
  <si>
    <t>Should be 40% or more</t>
  </si>
  <si>
    <t>Exception for companies are owned by n number of different investors such as ITC or Banks</t>
  </si>
  <si>
    <t>Try to find correlation with pledge</t>
  </si>
  <si>
    <t>Pledge -</t>
  </si>
  <si>
    <t>Percentage of promoter holding which is given out as a security to banks</t>
  </si>
  <si>
    <t>P/E</t>
  </si>
  <si>
    <t>Enterprise Value</t>
  </si>
  <si>
    <t>Debt</t>
  </si>
  <si>
    <t>Cash</t>
  </si>
  <si>
    <t>Standalone/Consolidated</t>
  </si>
  <si>
    <t>P/B</t>
  </si>
  <si>
    <t>Book Value</t>
  </si>
  <si>
    <t>Pledge</t>
  </si>
  <si>
    <t xml:space="preserve">PAT Margin - </t>
  </si>
  <si>
    <t>Profit After Tax</t>
  </si>
  <si>
    <t xml:space="preserve">ROE - </t>
  </si>
  <si>
    <t>Return on Equity</t>
  </si>
  <si>
    <t>(SP - CP)/SP</t>
  </si>
  <si>
    <t>(SP - CP)/CP</t>
  </si>
  <si>
    <t>Eicher Motors</t>
  </si>
  <si>
    <t>PAT</t>
  </si>
  <si>
    <t>ROE</t>
  </si>
  <si>
    <t>Page Industries</t>
  </si>
  <si>
    <t>Total Debt/Equity</t>
  </si>
  <si>
    <t>Should be near 0</t>
  </si>
  <si>
    <t>In general more than 20%</t>
  </si>
  <si>
    <t>Assest Turnover</t>
  </si>
  <si>
    <t>More the assesst turnover more better investment</t>
  </si>
  <si>
    <t>Uber/Ola</t>
  </si>
  <si>
    <t>Cash Cycle</t>
  </si>
  <si>
    <t>Ek bnde ne kisi se cash liya aur shart rkhi ki mai tujhe 40 din k baad paise return krunga. But ab uss bnde ne jo smaan lena/bechna tha who saara procedure usne 10 din k andar andar kr liya and he has the capacity to pay the money for the raw material that he got from others. But kyunki usne bola tha ki mai 40 din ke baad dunga toh iss process mai cash cycle ho gaya -33. Credit Card se relate kr skte h apn</t>
  </si>
  <si>
    <t>Less the cash cycle more stable the company</t>
  </si>
  <si>
    <t>Tata Consultancy Services</t>
  </si>
  <si>
    <t>Split</t>
  </si>
  <si>
    <t>Bonus</t>
  </si>
  <si>
    <t>Marico Ltd.</t>
  </si>
  <si>
    <t>Godrej Consumer</t>
  </si>
  <si>
    <t>Marico LTD.</t>
  </si>
  <si>
    <t>Operating Cash Flow</t>
  </si>
  <si>
    <t>Net Profit</t>
  </si>
  <si>
    <t>Paisa jo ek company kmaa rhi hai by selling off their products.</t>
  </si>
  <si>
    <t>Yeh mostly aapke Net Profit ke aas paas hona chaiye</t>
  </si>
  <si>
    <t>Operating Cash Flow (CFO)</t>
  </si>
  <si>
    <t>Profit After Tax (PAT)</t>
  </si>
  <si>
    <t>Should be tending towards 1</t>
  </si>
  <si>
    <t>CFO/PAT</t>
  </si>
  <si>
    <t>Right Issue</t>
  </si>
  <si>
    <t>See the example from the video.</t>
  </si>
  <si>
    <t>In general, aggar right issue lgaaogey and kharidogey to better hai.</t>
  </si>
  <si>
    <t>Avoid kro aisi companies jo rights issue regularly laa rhi h</t>
  </si>
  <si>
    <t>CASA%</t>
  </si>
  <si>
    <t>(Number of current account + Savings Account)/Total Deposit</t>
  </si>
  <si>
    <t>Percentage Value. More the CASA better the bank</t>
  </si>
  <si>
    <t>Bank Terms</t>
  </si>
  <si>
    <t>Net NPA%</t>
  </si>
  <si>
    <t>Non Performing Asset</t>
  </si>
  <si>
    <t>Should be towards 0%</t>
  </si>
  <si>
    <t>100 rupaye din loan pr aur aggar 2 rupaye waapis nhi aa skte kyunki loan lene waale ne diwaliya nikal diya toh NPA% 2% hua</t>
  </si>
  <si>
    <t>Cost of Liabilities%</t>
  </si>
  <si>
    <t>Interest to be paid by the bank on different products such as savings accounts, FDs etc.</t>
  </si>
  <si>
    <t>100 rupaye diye and aggar 4% ka CoL% hai toh that means $/- on an average bank ko interest dena pdta hai</t>
  </si>
  <si>
    <t>Advance Growth</t>
  </si>
  <si>
    <t>Loans offered by bank</t>
  </si>
  <si>
    <t>Should be more in value</t>
  </si>
  <si>
    <t>aggar pichle saal 100 tha and abhi yeh growth number 20% bta rha hai toh that mean iss saal bank ne 120 ka loan diya hai</t>
  </si>
  <si>
    <t>But isko NPA ke saath compare kr lena chaiye. Kyunki loan jayada dena issue nhi hai pr aggar who loan waapis naa aaaya to major issue hai</t>
  </si>
  <si>
    <t>Kotak Mahindra Bank</t>
  </si>
  <si>
    <t>CAR%</t>
  </si>
  <si>
    <t>Capital Adequacy Ratio</t>
  </si>
  <si>
    <t>Capacity of the bank to disperse the funds. Allows it to improve Advance Growth</t>
  </si>
  <si>
    <t>NPA% km rkho, CASA badhaao, Jisse CAR % maintain ya upar jaayega and hence aapka Advance growth badhega</t>
  </si>
  <si>
    <t>Zydus</t>
  </si>
  <si>
    <t>Dabur</t>
  </si>
  <si>
    <t>Managaement Discussion &amp; Analysis</t>
  </si>
  <si>
    <t>NIM</t>
  </si>
  <si>
    <t>Net Interest Margin</t>
  </si>
  <si>
    <t>Aggar bank k e pass 100 rupaye kisi ne deposit kiya toh bank ko uss pr 4% interest dena hota hai but iska kuch part who aage loan mai de deta hai @ say 12% interest. Toh 12% of 80 - 4% of 100 roughly 6?- hota hai this is NIM</t>
  </si>
  <si>
    <t>ROA %</t>
  </si>
  <si>
    <t>Return on Investment</t>
  </si>
  <si>
    <t>Bank ne loan diya toh usko us pr kitna % return milega. Bank ke liye assests uske Loans hai</t>
  </si>
  <si>
    <t>Bank Names</t>
  </si>
  <si>
    <t>CASA</t>
  </si>
  <si>
    <t>ROA</t>
  </si>
  <si>
    <t>NPA</t>
  </si>
  <si>
    <t>Capital Adequacy</t>
  </si>
  <si>
    <t>Advances Growth</t>
  </si>
  <si>
    <t>Bank of Baroda</t>
  </si>
  <si>
    <t>Canara Bank</t>
  </si>
  <si>
    <t>Central Bank Of India</t>
  </si>
  <si>
    <t>State Bank Of India</t>
  </si>
  <si>
    <t>Punjab National Bank</t>
  </si>
  <si>
    <t>UCO Bank</t>
  </si>
  <si>
    <t>Axis Bank</t>
  </si>
  <si>
    <t>Bandhan Bank</t>
  </si>
  <si>
    <t>City Union Bank</t>
  </si>
  <si>
    <t>DCB Bank</t>
  </si>
  <si>
    <t>ICICI Bank</t>
  </si>
  <si>
    <t>IDBI Bank</t>
  </si>
  <si>
    <t>IDFC Bank</t>
  </si>
  <si>
    <t>IndusInd Bank</t>
  </si>
  <si>
    <t>RBL Bank</t>
  </si>
  <si>
    <t>Yes Bank</t>
  </si>
  <si>
    <t>Indian Railway Catering &amp; Tourism Corpn. LTD</t>
  </si>
  <si>
    <t>Current Price</t>
  </si>
  <si>
    <t>52 Week High</t>
  </si>
  <si>
    <t>52 Week Low</t>
  </si>
  <si>
    <t>HDFC Assest Management Company</t>
  </si>
  <si>
    <t>HDFC Life Insurance</t>
  </si>
  <si>
    <t>Link</t>
  </si>
  <si>
    <t>D High</t>
  </si>
  <si>
    <t>P/B Score</t>
  </si>
  <si>
    <t>CASA Score</t>
  </si>
  <si>
    <t>ROE Score</t>
  </si>
  <si>
    <t>ROA Score</t>
  </si>
  <si>
    <t>NPA Score</t>
  </si>
  <si>
    <t>NIM Score</t>
  </si>
  <si>
    <t>Total</t>
  </si>
  <si>
    <t>CA Score</t>
  </si>
  <si>
    <t>AG Score</t>
  </si>
  <si>
    <t>Risk</t>
  </si>
  <si>
    <t>Low</t>
  </si>
  <si>
    <t>Medium</t>
  </si>
  <si>
    <t>High</t>
  </si>
  <si>
    <t>Amount to Invest</t>
  </si>
  <si>
    <t># Shares</t>
  </si>
  <si>
    <t>Profit</t>
  </si>
  <si>
    <t>Profit %</t>
  </si>
  <si>
    <t>Sum of Profit</t>
  </si>
  <si>
    <t>Grand Total</t>
  </si>
  <si>
    <t>Sum of Profit %</t>
  </si>
  <si>
    <t>ROCE</t>
  </si>
  <si>
    <t>Return on Captial Employed</t>
  </si>
  <si>
    <t>Debt + Equity = Capital, total paisa jo company ne use kiya apna business start kiya. Uske baad pure saal mai jo profit milta hai uska % to total capital ko ROCE kehte hai</t>
  </si>
  <si>
    <t>vs ROE - shareholders ke paise pr kitna return mil rha hai. Exclude krdo koi bhi aggar loan liya hai toh</t>
  </si>
  <si>
    <t>ROE = Net Profit/Equity, ROCE = Operationg Profit/Equity + Debt, hence jis company pr debt ho uska ROCE dekho, Jis company pr nhi ho uska ROE dekho</t>
  </si>
  <si>
    <t>Ek baar dividende yield bhi dekh lena, kyunki kabhi kabhi companies dividend yield baant deti hai jisse uska equity base km ho jaata hai ROE value badh jaati hai which might give a wrong picture</t>
  </si>
  <si>
    <t>Zayada hona chaiye</t>
  </si>
  <si>
    <t>PEG Ratio</t>
  </si>
  <si>
    <t>Dividing P/E by Growth</t>
  </si>
  <si>
    <t>ROE/ROCE</t>
  </si>
  <si>
    <t>Should be near 1 better if less than 1</t>
  </si>
  <si>
    <t>Help krta hai company ki evaluation ke liye. Mostly Profit Growth 3 - 5 saal ka dekhna chaiye.</t>
  </si>
  <si>
    <t>FMCG, IT, Pharma</t>
  </si>
  <si>
    <t>Bajaj Consumer Care Ltd.</t>
  </si>
  <si>
    <t>Price to Cash Flow</t>
  </si>
  <si>
    <t>Less ratio more profitable</t>
  </si>
  <si>
    <t>Kitna cash ek company ne bnaya v/s uska aaj ka share price</t>
  </si>
  <si>
    <t>Jyothi Labs</t>
  </si>
  <si>
    <t>Tata Chemicals Ltd.</t>
  </si>
  <si>
    <t>Share Holding Pattern</t>
  </si>
  <si>
    <t>Value of pormoter over the time should increase</t>
  </si>
  <si>
    <t>More the percentage better the company</t>
  </si>
  <si>
    <t>DII - Domestic Institutional Investor</t>
  </si>
  <si>
    <t>FII - Foreign Instutional Omvestor</t>
  </si>
  <si>
    <t>Interest Coverage Ratio</t>
  </si>
  <si>
    <t>Interest/Operation Profit</t>
  </si>
  <si>
    <t>More the ratio better the company</t>
  </si>
  <si>
    <t>Profit earned by the company as a multiplier to the tax to be aid by the company</t>
  </si>
  <si>
    <t>Minium 4-5</t>
  </si>
  <si>
    <t>Quick Ratio</t>
  </si>
  <si>
    <t>Should be more than 1</t>
  </si>
  <si>
    <t>InDiGo</t>
  </si>
  <si>
    <t>Debt Equity</t>
  </si>
  <si>
    <t>Can be directly linked to P/E ratio, EPS &gt; Price/Cash Flow, EPS - Ratio tend towards zero, P/E - P/C - Ratio tend towards zero</t>
  </si>
  <si>
    <t>P/C</t>
  </si>
  <si>
    <t>P/E - P/C</t>
  </si>
  <si>
    <t>SpiceJet</t>
  </si>
  <si>
    <t>Tata Sons Private Ltd.</t>
  </si>
  <si>
    <t>Market Cap + Debt - Cash</t>
  </si>
  <si>
    <t>The Indian Hotels Company Ltd. (Taj, Vivanta, Ginger)</t>
  </si>
  <si>
    <t>EIH Limited (Trident &amp; Oberoi)</t>
  </si>
  <si>
    <t>Chalet Hotels (Marriot, Sheratton, Hyatt)</t>
  </si>
  <si>
    <t>Mahindra Hotels &amp; Resorts India Ltd.</t>
  </si>
  <si>
    <t>Lemon Tree Hotels Ltd.</t>
  </si>
  <si>
    <t>Taj GVK Hotels &amp; Resorts Ltd.</t>
  </si>
  <si>
    <t>EIH Associated Hotels Ltd.</t>
  </si>
  <si>
    <t>India Tourism Development Corporation Ltd.</t>
  </si>
  <si>
    <t>Indian Railways Catering &amp; Tourism</t>
  </si>
  <si>
    <t>Thomas Cook Ltd.</t>
  </si>
  <si>
    <t>Aegis Logistics Ltd.</t>
  </si>
  <si>
    <t>Container Corporation of India Ltd.</t>
  </si>
  <si>
    <t>Mahindra Logisctics</t>
  </si>
  <si>
    <t>AllCargo Logisctics</t>
  </si>
  <si>
    <t>Transport Corporation of India Ltd.</t>
  </si>
  <si>
    <t>1-CFO/PAT</t>
  </si>
  <si>
    <t>0-Debt Equity</t>
  </si>
  <si>
    <t>Promoter Holding Score</t>
  </si>
  <si>
    <t>P/E-P/C Score</t>
  </si>
  <si>
    <t>ROCE Score</t>
  </si>
  <si>
    <t>1-CFO/PAT Score</t>
  </si>
  <si>
    <t>0-Debt Equity Score</t>
  </si>
  <si>
    <t>TTL</t>
  </si>
  <si>
    <t>Aluminium</t>
  </si>
  <si>
    <t>National Aluminium Company</t>
  </si>
  <si>
    <t>WonderLa</t>
  </si>
  <si>
    <t>Nicco</t>
  </si>
  <si>
    <t>Amusement Park</t>
  </si>
  <si>
    <t>Automobile</t>
  </si>
  <si>
    <t>Bajaj Auto</t>
  </si>
  <si>
    <t>Hero Motocorp</t>
  </si>
  <si>
    <t>TVS Motors</t>
  </si>
  <si>
    <t>Tata Motors</t>
  </si>
  <si>
    <t>Maruti Suzuki</t>
  </si>
  <si>
    <t>Escorts</t>
  </si>
  <si>
    <t>United Spirits Ltd. (All Major Whiskey Brands)</t>
  </si>
  <si>
    <t>United Brewries Ltd. (All Beer Brands)</t>
  </si>
  <si>
    <t>Radico Khatan Ltd. (Brandy, Vodka)</t>
  </si>
  <si>
    <t>ITC Ltd. (Cigrattes)</t>
  </si>
  <si>
    <t>Godfrey Phillips India Ltd.</t>
  </si>
  <si>
    <t>VST Industries</t>
  </si>
  <si>
    <t>Info Edge India Ltd. (Naukri.com, Zomato)</t>
  </si>
  <si>
    <t>eClerk Services Ltd. (Manges 50 of the fortune 500)</t>
  </si>
  <si>
    <t>Hinduja Global Solutions (BPO Company)</t>
  </si>
  <si>
    <t>Matrimony.com</t>
  </si>
  <si>
    <t>Nestle India Ltd.</t>
  </si>
  <si>
    <t>Britannia Industries Ltd.</t>
  </si>
  <si>
    <t>GlaxoSmithline Consumer Healthcare Ltd.</t>
  </si>
  <si>
    <t>Marico Ltd. (Parachute, Livon, Saffola)</t>
  </si>
  <si>
    <t>Jubliant Foodworks Ltd. (Domino's, Dunkin Donuts)</t>
  </si>
  <si>
    <t>Hatsun Agro Products (Milk Products)</t>
  </si>
  <si>
    <t>Ruchi Soya Products (Patanjali)</t>
  </si>
  <si>
    <t>Zydus Wellness Ltd. (Glucon D, Nycil, Sugarfree)</t>
  </si>
  <si>
    <t>KRB Ltd. (India Gate Rice)</t>
  </si>
  <si>
    <t>Hindustan Foods Ltd. (Rin, Surf Excel, Comfort, Dettol, Bru, Taj, Sunsilk, Clicnic Plus, Santoor, Knorr)</t>
  </si>
  <si>
    <t>AgroTech Foods Ltd. (Act 2, Sundrop)</t>
  </si>
  <si>
    <t>Varun Bevrages (Pepsi, 7Up, Mountain Dew, Slice)</t>
  </si>
  <si>
    <t>Bharti Airtel Ltd.</t>
  </si>
  <si>
    <t>Bharti Infratel Ltd.</t>
  </si>
  <si>
    <t>Tata Communication Ltd.</t>
  </si>
  <si>
    <t>Larsen &amp; Toubro Ltd.</t>
  </si>
  <si>
    <t>Make sure to check the debt, pledge% pf all the companies selected and their growth charts</t>
  </si>
  <si>
    <t>GMR Infrastructure (Delhi - T3)</t>
  </si>
  <si>
    <t>KEC International Ltd. (Electric Grid Company)</t>
  </si>
  <si>
    <t>Ircon International Ltd. (Govt Operated PSU)</t>
  </si>
  <si>
    <t>PNC Infratech Ltd. (Highway Construction)</t>
  </si>
  <si>
    <t>KNR Constructions (Highway Constructions)</t>
  </si>
  <si>
    <t>IRB Infrastructure Ltd. (Highway Construction)</t>
  </si>
  <si>
    <t>GE Power India Ltd. (Power Plants)</t>
  </si>
  <si>
    <t>Rail Vikas Nigam</t>
  </si>
  <si>
    <t>Diamond &amp; Jewellery</t>
  </si>
  <si>
    <t>Titan Co</t>
  </si>
  <si>
    <t>Rajesh Exports</t>
  </si>
  <si>
    <t>Asian Star Co</t>
  </si>
  <si>
    <t>PC Jeweller</t>
  </si>
  <si>
    <t>Diversified</t>
  </si>
  <si>
    <t>Grasim Industries</t>
  </si>
  <si>
    <t>3M India</t>
  </si>
  <si>
    <t>SRF</t>
  </si>
  <si>
    <t>DCM Shriram</t>
  </si>
  <si>
    <t>Century Textile &amp; Ind</t>
  </si>
  <si>
    <t>Birla Corporation</t>
  </si>
  <si>
    <t>Diversified - Chemicals</t>
  </si>
  <si>
    <t>Pidilite Ltd.</t>
  </si>
  <si>
    <t>SUMITOMO</t>
  </si>
  <si>
    <t>Godrej Ind</t>
  </si>
  <si>
    <t>Galaxy Surfacta</t>
  </si>
  <si>
    <t>Domestic Appliances</t>
  </si>
  <si>
    <t>Whirlpool</t>
  </si>
  <si>
    <t>CG consumer</t>
  </si>
  <si>
    <t>Symphony</t>
  </si>
  <si>
    <t>TTK Prestige</t>
  </si>
  <si>
    <t>Bajaj Electric</t>
  </si>
  <si>
    <t>Hawkins Cooker</t>
  </si>
  <si>
    <t>IFB Industries</t>
  </si>
  <si>
    <t>Ashok Leyland Ltd.</t>
  </si>
  <si>
    <t>Finance</t>
  </si>
  <si>
    <t>Retail</t>
  </si>
  <si>
    <t>Entertainment</t>
  </si>
  <si>
    <t>PVR Ltd.</t>
  </si>
  <si>
    <t>Inox Leisure Ltd.</t>
  </si>
  <si>
    <t>Prime Focus Ltd.</t>
  </si>
  <si>
    <t>Saregama India Ltd.</t>
  </si>
  <si>
    <t>Balaji Telefilms Ltd.</t>
  </si>
  <si>
    <t>Media Matrix Worldwide Ltd.</t>
  </si>
  <si>
    <t>Housing Department &amp; Finance Company</t>
  </si>
  <si>
    <t>LIC Housing Finances</t>
  </si>
  <si>
    <t>Aavas Finances</t>
  </si>
  <si>
    <t>Indiabulls Housing</t>
  </si>
  <si>
    <t>Housing &amp; Urban Dev</t>
  </si>
  <si>
    <t>Can Fin Homes</t>
  </si>
  <si>
    <t>PNB Housing Finance</t>
  </si>
  <si>
    <t>UFO Movies India Ltd.</t>
  </si>
  <si>
    <t>Shemaroo Entertaiment Ltd.</t>
  </si>
  <si>
    <t>Eros International Media Ltd.</t>
  </si>
  <si>
    <t>Tips Industries Ltd.</t>
  </si>
  <si>
    <t>Hindustan Unilever Ltd.</t>
  </si>
  <si>
    <t>Dabur India Ltd.</t>
  </si>
  <si>
    <t>Godrej Consumers Products Ltd.</t>
  </si>
  <si>
    <t>Procter &amp; Gamble</t>
  </si>
  <si>
    <t>Gillette India Ltd.</t>
  </si>
  <si>
    <t>IT Services &amp; Consulting</t>
  </si>
  <si>
    <t>TCS</t>
  </si>
  <si>
    <t>HCL Tech</t>
  </si>
  <si>
    <t>Wipro</t>
  </si>
  <si>
    <t>Tech Mahindra</t>
  </si>
  <si>
    <t>L&amp;T Infotech</t>
  </si>
  <si>
    <t>Insurance</t>
  </si>
  <si>
    <t>HDFC Life</t>
  </si>
  <si>
    <t>SBI Life Insura</t>
  </si>
  <si>
    <t>ICICI Prudentia</t>
  </si>
  <si>
    <t>Miscellaneous</t>
  </si>
  <si>
    <t>Castrol</t>
  </si>
  <si>
    <t>Just Dial</t>
  </si>
  <si>
    <t>Asian Paints</t>
  </si>
  <si>
    <t>Essel Propack</t>
  </si>
  <si>
    <t>Texmaco Rail</t>
  </si>
  <si>
    <t>Refineries</t>
  </si>
  <si>
    <t>IOC</t>
  </si>
  <si>
    <t>BPCL</t>
  </si>
  <si>
    <t>HPCL</t>
  </si>
  <si>
    <t>Adani Green</t>
  </si>
  <si>
    <t>GE Shipping</t>
  </si>
  <si>
    <t>Shipping Corp</t>
  </si>
  <si>
    <t>Tata Elxsi</t>
  </si>
  <si>
    <t>RITES</t>
  </si>
  <si>
    <t>Vardhman Text</t>
  </si>
  <si>
    <t>Textiles &amp; Apparels</t>
  </si>
  <si>
    <t>KPR Mill</t>
  </si>
  <si>
    <t>Welspun India</t>
  </si>
  <si>
    <t>Trident</t>
  </si>
  <si>
    <t>Garware Technic</t>
  </si>
  <si>
    <t>Swan Energy</t>
  </si>
  <si>
    <t>Future Life</t>
  </si>
  <si>
    <t>LUX Industries</t>
  </si>
  <si>
    <t>Raymond</t>
  </si>
  <si>
    <t>Alok Industries</t>
  </si>
  <si>
    <t>Rupa &amp; Comp</t>
  </si>
  <si>
    <t>Bombay Dyeing</t>
  </si>
  <si>
    <t>Trading</t>
  </si>
  <si>
    <t>Adani Enterprises</t>
  </si>
  <si>
    <t>AGL</t>
  </si>
  <si>
    <t>Sundram</t>
  </si>
  <si>
    <t>Redington</t>
  </si>
  <si>
    <t>MMTC Ltd.</t>
  </si>
  <si>
    <t>TV Broadcasting &amp; Software Productino</t>
  </si>
  <si>
    <t>Sun TV Network</t>
  </si>
  <si>
    <t>Zee Entertain</t>
  </si>
  <si>
    <t>TV18 Broadcast</t>
  </si>
  <si>
    <t>Network 18</t>
  </si>
  <si>
    <t>TV TodayNetwork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</si>
</sst>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43" formatCode="_(* #,##0.00_);_(* \(#,##0.00\);_(* &quot;-&quot;??_);_(@_)"/>
    <numFmt numFmtId="164" formatCode="_([$$-409]* #,##0.00_);_([$$-409]* \(#,##0.00\);_([$$-409]* &quot;-&quot;??_);_(@_)"/>
  </numFmts>
  <fonts count="6" x14ac:knownFonts="1">
    <font>
      <sz val="11"/>
      <color theme="1"/>
      <name val="Calibri"/>
      <family val="2"/>
      <scheme val="minor"/>
    </font>
    <font>
      <b/>
      <sz val="11"/>
      <color theme="1"/>
      <name val="Calibri"/>
      <family val="2"/>
      <scheme val="minor"/>
    </font>
    <font>
      <u/>
      <sz val="11"/>
      <color theme="10"/>
      <name val="Calibri"/>
      <family val="2"/>
      <scheme val="minor"/>
    </font>
    <font>
      <sz val="11"/>
      <color theme="1"/>
      <name val="Calibri"/>
      <family val="2"/>
      <scheme val="minor"/>
    </font>
    <font>
      <b/>
      <sz val="11"/>
      <color theme="0"/>
      <name val="Calibri"/>
      <family val="2"/>
      <scheme val="minor"/>
    </font>
    <font>
      <sz val="8"/>
      <name val="Calibri"/>
      <family val="2"/>
      <scheme val="minor"/>
    </font>
  </fonts>
  <fills count="4">
    <fill>
      <patternFill patternType="none"/>
    </fill>
    <fill>
      <patternFill patternType="gray125"/>
    </fill>
    <fill>
      <patternFill patternType="solid">
        <fgColor theme="1"/>
        <bgColor theme="1"/>
      </patternFill>
    </fill>
    <fill>
      <patternFill patternType="solid">
        <fgColor theme="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s>
  <cellStyleXfs count="5">
    <xf numFmtId="0" fontId="0" fillId="0" borderId="0"/>
    <xf numFmtId="0" fontId="2" fillId="0" borderId="0" applyNumberFormat="0" applyFill="0" applyBorder="0" applyAlignment="0" applyProtection="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cellStyleXfs>
  <cellXfs count="90">
    <xf numFmtId="0" fontId="0" fillId="0" borderId="0" xfId="0"/>
    <xf numFmtId="0" fontId="0" fillId="0" borderId="0" xfId="0" applyAlignment="1">
      <alignment vertical="center"/>
    </xf>
    <xf numFmtId="0" fontId="0" fillId="0" borderId="0" xfId="0" applyAlignment="1">
      <alignment horizontal="center" vertical="center"/>
    </xf>
    <xf numFmtId="9" fontId="0" fillId="0" borderId="0" xfId="4" applyFont="1"/>
    <xf numFmtId="0" fontId="0" fillId="0" borderId="1" xfId="0" applyBorder="1"/>
    <xf numFmtId="10" fontId="0" fillId="0" borderId="0" xfId="4" applyNumberFormat="1" applyFont="1"/>
    <xf numFmtId="164" fontId="0" fillId="0" borderId="0" xfId="0" applyNumberFormat="1"/>
    <xf numFmtId="164" fontId="0" fillId="0" borderId="1" xfId="0" applyNumberFormat="1" applyBorder="1"/>
    <xf numFmtId="0" fontId="0" fillId="0" borderId="1" xfId="0" applyBorder="1" applyAlignment="1">
      <alignment vertic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Border="1" applyAlignment="1">
      <alignment horizontal="left"/>
    </xf>
    <xf numFmtId="0" fontId="2" fillId="0" borderId="1" xfId="1" applyBorder="1" applyAlignment="1">
      <alignment horizontal="left"/>
    </xf>
    <xf numFmtId="43" fontId="0" fillId="0" borderId="0" xfId="2" applyFont="1"/>
    <xf numFmtId="43" fontId="0" fillId="0" borderId="1" xfId="2" applyFont="1" applyBorder="1"/>
    <xf numFmtId="43" fontId="0" fillId="0" borderId="1" xfId="0" applyNumberFormat="1" applyBorder="1"/>
    <xf numFmtId="0" fontId="0" fillId="0" borderId="1" xfId="0" applyBorder="1" applyAlignment="1"/>
    <xf numFmtId="10" fontId="0" fillId="0" borderId="1" xfId="4" applyNumberFormat="1" applyFont="1" applyBorder="1" applyAlignment="1"/>
    <xf numFmtId="164" fontId="0" fillId="0" borderId="1" xfId="4" applyNumberFormat="1" applyFont="1" applyFill="1" applyBorder="1" applyAlignment="1"/>
    <xf numFmtId="43" fontId="0" fillId="0" borderId="1" xfId="2" applyFont="1" applyBorder="1" applyAlignment="1"/>
    <xf numFmtId="164" fontId="0" fillId="0" borderId="1" xfId="0" applyNumberFormat="1" applyBorder="1" applyAlignment="1"/>
    <xf numFmtId="2" fontId="0" fillId="0" borderId="1" xfId="0" applyNumberFormat="1" applyBorder="1" applyAlignment="1"/>
    <xf numFmtId="9" fontId="0" fillId="0" borderId="1" xfId="4" applyFont="1" applyBorder="1" applyAlignment="1"/>
    <xf numFmtId="44" fontId="0" fillId="0" borderId="0" xfId="3" applyFont="1"/>
    <xf numFmtId="44" fontId="0" fillId="0" borderId="1" xfId="3" applyFont="1" applyBorder="1"/>
    <xf numFmtId="44" fontId="0" fillId="0" borderId="1" xfId="0" applyNumberFormat="1" applyBorder="1" applyAlignment="1">
      <alignment horizontal="center"/>
    </xf>
    <xf numFmtId="10" fontId="0" fillId="0" borderId="8" xfId="4" applyNumberFormat="1" applyFont="1" applyBorder="1" applyAlignment="1">
      <alignment horizontal="center"/>
    </xf>
    <xf numFmtId="43" fontId="0" fillId="0" borderId="3" xfId="2" applyFont="1" applyFill="1" applyBorder="1" applyAlignment="1">
      <alignment horizontal="center"/>
    </xf>
    <xf numFmtId="44" fontId="0" fillId="0" borderId="3" xfId="3" applyFont="1" applyFill="1" applyBorder="1" applyAlignment="1"/>
    <xf numFmtId="0" fontId="0" fillId="0" borderId="3" xfId="0" applyBorder="1"/>
    <xf numFmtId="0" fontId="0" fillId="0" borderId="3" xfId="0" applyBorder="1" applyAlignment="1">
      <alignment horizontal="center"/>
    </xf>
    <xf numFmtId="0" fontId="0" fillId="0" borderId="6" xfId="0" applyBorder="1" applyAlignment="1">
      <alignment horizontal="center"/>
    </xf>
    <xf numFmtId="0" fontId="0" fillId="0" borderId="2" xfId="0" applyBorder="1" applyAlignment="1">
      <alignment horizontal="center"/>
    </xf>
    <xf numFmtId="44" fontId="0" fillId="0" borderId="2" xfId="3" applyFont="1" applyBorder="1"/>
    <xf numFmtId="43" fontId="0" fillId="0" borderId="2" xfId="2" applyFont="1" applyBorder="1"/>
    <xf numFmtId="44" fontId="0" fillId="0" borderId="2" xfId="0" applyNumberFormat="1" applyBorder="1" applyAlignment="1">
      <alignment horizontal="center"/>
    </xf>
    <xf numFmtId="10" fontId="0" fillId="0" borderId="4" xfId="4" applyNumberFormat="1" applyFont="1" applyBorder="1" applyAlignment="1">
      <alignment horizontal="center"/>
    </xf>
    <xf numFmtId="0" fontId="0" fillId="0" borderId="9" xfId="0" applyBorder="1" applyAlignment="1"/>
    <xf numFmtId="0" fontId="0" fillId="0" borderId="7" xfId="0" applyBorder="1" applyAlignment="1"/>
    <xf numFmtId="0" fontId="0" fillId="0" borderId="3" xfId="0" applyBorder="1" applyAlignment="1"/>
    <xf numFmtId="10" fontId="0" fillId="0" borderId="3" xfId="4" applyNumberFormat="1" applyFont="1" applyBorder="1" applyAlignment="1"/>
    <xf numFmtId="164" fontId="0" fillId="0" borderId="3" xfId="4" applyNumberFormat="1" applyFont="1" applyFill="1" applyBorder="1" applyAlignment="1"/>
    <xf numFmtId="9" fontId="0" fillId="0" borderId="3" xfId="4" applyFont="1" applyFill="1" applyBorder="1" applyAlignment="1"/>
    <xf numFmtId="43" fontId="0" fillId="0" borderId="3" xfId="2" applyFont="1" applyFill="1" applyBorder="1" applyAlignment="1"/>
    <xf numFmtId="43" fontId="0" fillId="0" borderId="3" xfId="2" applyFont="1" applyBorder="1" applyAlignment="1"/>
    <xf numFmtId="0" fontId="0" fillId="0" borderId="5" xfId="0" applyBorder="1" applyAlignment="1"/>
    <xf numFmtId="0" fontId="0" fillId="0" borderId="2" xfId="0" applyBorder="1" applyAlignment="1"/>
    <xf numFmtId="10" fontId="0" fillId="0" borderId="2" xfId="4" applyNumberFormat="1" applyFont="1" applyBorder="1" applyAlignment="1"/>
    <xf numFmtId="164" fontId="0" fillId="0" borderId="2" xfId="0" applyNumberFormat="1" applyBorder="1" applyAlignment="1"/>
    <xf numFmtId="43" fontId="0" fillId="0" borderId="2" xfId="2" applyFont="1" applyBorder="1" applyAlignment="1"/>
    <xf numFmtId="9" fontId="0" fillId="0" borderId="2" xfId="4" applyFont="1" applyBorder="1" applyAlignment="1"/>
    <xf numFmtId="0" fontId="0" fillId="0" borderId="1" xfId="0" pivotButton="1" applyBorder="1"/>
    <xf numFmtId="10" fontId="0" fillId="0" borderId="1" xfId="0" applyNumberFormat="1" applyBorder="1"/>
    <xf numFmtId="0" fontId="0" fillId="0" borderId="1" xfId="0" applyBorder="1" applyAlignment="1">
      <alignment horizontal="center" vertical="center"/>
    </xf>
    <xf numFmtId="0" fontId="0" fillId="0" borderId="0" xfId="0" applyAlignment="1">
      <alignment horizontal="center"/>
    </xf>
    <xf numFmtId="0" fontId="0" fillId="0" borderId="0" xfId="0" applyBorder="1" applyAlignment="1">
      <alignment horizontal="center" vertical="center"/>
    </xf>
    <xf numFmtId="0" fontId="1" fillId="0" borderId="1" xfId="0" applyFont="1" applyBorder="1" applyAlignment="1">
      <alignment horizontal="center" vertical="center"/>
    </xf>
    <xf numFmtId="0" fontId="0" fillId="0" borderId="1" xfId="0" applyBorder="1" applyAlignment="1">
      <alignment horizontal="center" vertical="center"/>
    </xf>
    <xf numFmtId="10" fontId="4" fillId="2" borderId="1" xfId="4" applyNumberFormat="1" applyFont="1" applyFill="1" applyBorder="1" applyAlignment="1"/>
    <xf numFmtId="43" fontId="4" fillId="2" borderId="1" xfId="2" applyFont="1" applyFill="1" applyBorder="1" applyAlignment="1"/>
    <xf numFmtId="9" fontId="0" fillId="0" borderId="1" xfId="4" applyFont="1" applyFill="1" applyBorder="1" applyAlignment="1"/>
    <xf numFmtId="43" fontId="0" fillId="0" borderId="1" xfId="2" applyFont="1" applyFill="1" applyBorder="1" applyAlignment="1">
      <alignment horizontal="center"/>
    </xf>
    <xf numFmtId="44" fontId="0" fillId="0" borderId="1" xfId="3" applyFont="1" applyFill="1" applyBorder="1" applyAlignment="1"/>
    <xf numFmtId="10" fontId="0" fillId="0" borderId="1" xfId="4" applyNumberFormat="1" applyFont="1" applyBorder="1" applyAlignment="1">
      <alignment horizontal="center"/>
    </xf>
    <xf numFmtId="44" fontId="0" fillId="0" borderId="1" xfId="0" applyNumberFormat="1" applyBorder="1"/>
    <xf numFmtId="0" fontId="0" fillId="0" borderId="1" xfId="0" applyFill="1" applyBorder="1"/>
    <xf numFmtId="0" fontId="0" fillId="0" borderId="1" xfId="0" applyBorder="1" applyAlignment="1">
      <alignment vertical="center" wrapText="1"/>
    </xf>
    <xf numFmtId="0" fontId="0" fillId="0" borderId="2" xfId="0" applyBorder="1" applyAlignment="1">
      <alignment horizontal="center" vertical="center"/>
    </xf>
    <xf numFmtId="0" fontId="0" fillId="0" borderId="10" xfId="0" applyBorder="1" applyAlignment="1">
      <alignment horizontal="center" vertical="center"/>
    </xf>
    <xf numFmtId="0" fontId="0" fillId="0" borderId="3" xfId="0"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left" vertical="center"/>
    </xf>
    <xf numFmtId="0" fontId="0" fillId="0" borderId="3" xfId="0" applyBorder="1" applyAlignment="1">
      <alignment horizontal="left" vertical="center"/>
    </xf>
    <xf numFmtId="0" fontId="2" fillId="0" borderId="5" xfId="1" applyBorder="1" applyAlignment="1">
      <alignment horizontal="center" vertical="center"/>
    </xf>
    <xf numFmtId="0" fontId="2" fillId="0" borderId="11" xfId="1" applyBorder="1" applyAlignment="1">
      <alignment horizontal="center" vertical="center"/>
    </xf>
    <xf numFmtId="0" fontId="2" fillId="0" borderId="1" xfId="1" applyBorder="1" applyAlignment="1">
      <alignment horizontal="center" vertical="center"/>
    </xf>
    <xf numFmtId="0" fontId="2" fillId="0" borderId="2" xfId="1" applyBorder="1" applyAlignment="1">
      <alignment horizontal="center" vertical="center"/>
    </xf>
    <xf numFmtId="0" fontId="2" fillId="0" borderId="10" xfId="1" applyBorder="1" applyAlignment="1">
      <alignment horizontal="center" vertical="center"/>
    </xf>
    <xf numFmtId="0" fontId="2" fillId="0" borderId="3" xfId="1" applyBorder="1" applyAlignment="1">
      <alignment horizontal="center" vertical="center"/>
    </xf>
    <xf numFmtId="0" fontId="0" fillId="0" borderId="0" xfId="0" pivotButton="1"/>
    <xf numFmtId="44" fontId="0" fillId="0" borderId="0" xfId="0" applyNumberFormat="1"/>
    <xf numFmtId="43" fontId="0" fillId="0" borderId="0" xfId="0" applyNumberFormat="1"/>
    <xf numFmtId="9" fontId="0" fillId="0" borderId="1" xfId="0" applyNumberFormat="1" applyBorder="1"/>
    <xf numFmtId="9" fontId="0" fillId="0" borderId="0" xfId="0" applyNumberFormat="1"/>
    <xf numFmtId="43" fontId="0" fillId="0" borderId="1" xfId="2" applyNumberFormat="1" applyFont="1" applyBorder="1" applyAlignment="1"/>
    <xf numFmtId="43" fontId="0" fillId="3" borderId="1" xfId="2" applyNumberFormat="1" applyFont="1" applyFill="1" applyBorder="1" applyAlignment="1"/>
    <xf numFmtId="43" fontId="0" fillId="0" borderId="2" xfId="2" applyNumberFormat="1" applyFont="1" applyBorder="1" applyAlignment="1"/>
    <xf numFmtId="43" fontId="0" fillId="3" borderId="2" xfId="2" applyNumberFormat="1" applyFont="1" applyFill="1" applyBorder="1" applyAlignment="1"/>
    <xf numFmtId="10" fontId="0" fillId="0" borderId="2" xfId="4" applyNumberFormat="1" applyFont="1" applyBorder="1" applyAlignment="1">
      <alignment horizontal="center"/>
    </xf>
    <xf numFmtId="0" fontId="0" fillId="0" borderId="1" xfId="0" applyFill="1" applyBorder="1" applyAlignment="1">
      <alignment vertical="center"/>
    </xf>
  </cellXfs>
  <cellStyles count="5">
    <cellStyle name="Comma" xfId="2" builtinId="3"/>
    <cellStyle name="Currency" xfId="3" builtinId="4"/>
    <cellStyle name="Hyperlink" xfId="1" builtinId="8"/>
    <cellStyle name="Normal" xfId="0" builtinId="0"/>
    <cellStyle name="Percent" xfId="4" builtinId="5"/>
  </cellStyles>
  <dxfs count="388">
    <dxf>
      <font>
        <b val="0"/>
        <i val="0"/>
        <strike val="0"/>
        <condense val="0"/>
        <extend val="0"/>
        <outline val="0"/>
        <shadow val="0"/>
        <u val="none"/>
        <vertAlign val="baseline"/>
        <sz val="11"/>
        <color theme="1"/>
        <name val="Calibri"/>
        <family val="2"/>
        <scheme val="minor"/>
      </font>
      <numFmt numFmtId="14" formatCode="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4" formatCode="_(&quot;$&quot;* #,##0.00_);_(&quot;$&quot;* \(#,##0.00\);_(&quot;$&quot;* &quot;-&quot;??_);_(@_)"/>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35" formatCode="_(* #,##0.00_);_(* \(#,##0.00\);_(* &quot;-&quot;??_);_(@_)"/>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35" formatCode="_(* #,##0.00_);_(* \(#,##0.00\);_(* &quot;-&quot;??_);_(@_)"/>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35" formatCode="_(* #,##0.00_);_(* \(#,##0.00\);_(* &quot;-&quot;??_);_(@_)"/>
      <fill>
        <patternFill patternType="solid">
          <fgColor indexed="64"/>
          <bgColor theme="0"/>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14" formatCode="0.00%"/>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_([$$-409]* #,##0.00_);_([$$-409]* \(#,##0.00\);_([$$-409]* &quot;-&quot;??_);_(@_)"/>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_([$$-409]* #,##0.00_);_([$$-409]* \(#,##0.00\);_([$$-409]* &quot;-&quot;??_);_(@_)"/>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_([$$-409]* #,##0.00_);_([$$-409]* \(#,##0.00\);_([$$-409]* &quot;-&quot;??_);_(@_)"/>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35" formatCode="_(* #,##0.00_);_(* \(#,##0.00\);_(* &quot;-&quot;??_);_(@_)"/>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35" formatCode="_(* #,##0.00_);_(* \(#,##0.00\);_(* &quot;-&quot;??_);_(@_)"/>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14" formatCode="0.00%"/>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14" formatCode="0.00%"/>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35" formatCode="_(* #,##0.00_);_(* \(#,##0.00\);_(* &quot;-&quot;??_);_(@_)"/>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14" formatCode="0.00%"/>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n">
          <color rgb="FF000000"/>
        </top>
      </border>
    </dxf>
    <dxf>
      <border outline="0">
        <bottom style="thin">
          <color rgb="FF000000"/>
        </bottom>
      </border>
    </dxf>
    <dxf>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1"/>
        <color theme="1"/>
        <name val="Calibri"/>
        <family val="2"/>
        <scheme val="minor"/>
      </font>
      <numFmt numFmtId="14" formatCode="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4" formatCode="_(&quot;$&quot;* #,##0.00_);_(&quot;$&quot;* \(#,##0.00\);_(&quot;$&quot;* &quot;-&quot;??_);_(@_)"/>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35" formatCode="_(* #,##0.00_);_(* \(#,##0.00\);_(* &quot;-&quot;??_);_(@_)"/>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35" formatCode="_(* #,##0.00_);_(* \(#,##0.00\);_(* &quot;-&quot;??_);_(@_)"/>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35" formatCode="_(* #,##0.00_);_(* \(#,##0.00\);_(* &quot;-&quot;??_);_(@_)"/>
      <fill>
        <patternFill patternType="solid">
          <fgColor indexed="64"/>
          <bgColor theme="0"/>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14" formatCode="0.00%"/>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_([$$-409]* #,##0.00_);_([$$-409]* \(#,##0.00\);_([$$-409]* &quot;-&quot;??_);_(@_)"/>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_([$$-409]* #,##0.00_);_([$$-409]* \(#,##0.00\);_([$$-409]* &quot;-&quot;??_);_(@_)"/>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_([$$-409]* #,##0.00_);_([$$-409]* \(#,##0.00\);_([$$-409]* &quot;-&quot;??_);_(@_)"/>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35" formatCode="_(* #,##0.00_);_(* \(#,##0.00\);_(* &quot;-&quot;??_);_(@_)"/>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35" formatCode="_(* #,##0.00_);_(* \(#,##0.00\);_(* &quot;-&quot;??_);_(@_)"/>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14" formatCode="0.00%"/>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14" formatCode="0.00%"/>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35" formatCode="_(* #,##0.00_);_(* \(#,##0.00\);_(* &quot;-&quot;??_);_(@_)"/>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14" formatCode="0.00%"/>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n">
          <color rgb="FF000000"/>
        </top>
      </border>
    </dxf>
    <dxf>
      <border outline="0">
        <bottom style="thin">
          <color rgb="FF000000"/>
        </bottom>
      </border>
    </dxf>
    <dxf>
      <border outline="0">
        <left style="thin">
          <color rgb="FF000000"/>
        </left>
        <right style="thin">
          <color rgb="FF000000"/>
        </right>
        <top style="thin">
          <color rgb="FF000000"/>
        </top>
        <bottom style="thin">
          <color rgb="FF000000"/>
        </bottom>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numFmt numFmtId="14" formatCode="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4" formatCode="_(&quot;$&quot;* #,##0.00_);_(&quot;$&quot;* \(#,##0.00\);_(&quot;$&quot;* &quot;-&quot;??_);_(@_)"/>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35" formatCode="_(* #,##0.00_);_(* \(#,##0.00\);_(* &quot;-&quot;??_);_(@_)"/>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35" formatCode="_(* #,##0.00_);_(* \(#,##0.00\);_(* &quot;-&quot;??_);_(@_)"/>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35" formatCode="_(* #,##0.00_);_(* \(#,##0.00\);_(* &quot;-&quot;??_);_(@_)"/>
      <fill>
        <patternFill patternType="solid">
          <fgColor indexed="64"/>
          <bgColor theme="0"/>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14" formatCode="0.00%"/>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_([$$-409]* #,##0.00_);_([$$-409]* \(#,##0.00\);_([$$-409]* &quot;-&quot;??_);_(@_)"/>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_([$$-409]* #,##0.00_);_([$$-409]* \(#,##0.00\);_([$$-409]* &quot;-&quot;??_);_(@_)"/>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_([$$-409]* #,##0.00_);_([$$-409]* \(#,##0.00\);_([$$-409]* &quot;-&quot;??_);_(@_)"/>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35" formatCode="_(* #,##0.00_);_(* \(#,##0.00\);_(* &quot;-&quot;??_);_(@_)"/>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35" formatCode="_(* #,##0.00_);_(* \(#,##0.00\);_(* &quot;-&quot;??_);_(@_)"/>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14" formatCode="0.00%"/>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14" formatCode="0.00%"/>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35" formatCode="_(* #,##0.00_);_(* \(#,##0.00\);_(* &quot;-&quot;??_);_(@_)"/>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14" formatCode="0.00%"/>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top style="thin">
          <color rgb="FF000000"/>
        </top>
      </border>
    </dxf>
    <dxf>
      <border outline="0">
        <bottom style="thin">
          <color rgb="FF000000"/>
        </bottom>
      </border>
    </dxf>
    <dxf>
      <border outline="0">
        <left style="thin">
          <color rgb="FF000000"/>
        </left>
        <right style="thin">
          <color rgb="FF000000"/>
        </right>
        <top style="thin">
          <color rgb="FF000000"/>
        </top>
        <bottom style="thin">
          <color rgb="FF000000"/>
        </bottom>
      </border>
    </dxf>
    <dxf>
      <numFmt numFmtId="13" formatCode="0%"/>
    </dxf>
    <dxf>
      <numFmt numFmtId="13" formatCode="0%"/>
    </dxf>
    <dxf>
      <numFmt numFmtId="164" formatCode="_([$$-409]* #,##0.00_);_([$$-409]* \(#,##0.00\);_([$$-409]* &quot;-&quot;??_);_(@_)"/>
    </dxf>
    <dxf>
      <numFmt numFmtId="164" formatCode="_([$$-409]* #,##0.00_);_([$$-409]* \(#,##0.00\);_([$$-409]*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3" formatCode="0%"/>
    </dxf>
    <dxf>
      <numFmt numFmtId="13" formatCode="0%"/>
    </dxf>
    <dxf>
      <numFmt numFmtId="164" formatCode="_([$$-409]* #,##0.00_);_([$$-409]* \(#,##0.00\);_([$$-409]* &quot;-&quot;??_);_(@_)"/>
    </dxf>
    <dxf>
      <numFmt numFmtId="164" formatCode="_([$$-409]* #,##0.00_);_([$$-409]* \(#,##0.00\);_([$$-409]* &quot;-&quot;??_);_(@_)"/>
    </dxf>
    <dxf>
      <numFmt numFmtId="13" formatCode="0%"/>
    </dxf>
    <dxf>
      <numFmt numFmtId="13" formatCode="0%"/>
    </dxf>
    <dxf>
      <numFmt numFmtId="164" formatCode="_([$$-409]* #,##0.00_);_([$$-409]* \(#,##0.00\);_([$$-409]* &quot;-&quot;??_);_(@_)"/>
    </dxf>
    <dxf>
      <numFmt numFmtId="164" formatCode="_([$$-409]* #,##0.00_);_([$$-409]* \(#,##0.00\);_([$$-409]* &quot;-&quot;??_);_(@_)"/>
    </dxf>
    <dxf>
      <numFmt numFmtId="13" formatCode="0%"/>
    </dxf>
    <dxf>
      <numFmt numFmtId="13" formatCode="0%"/>
    </dxf>
    <dxf>
      <numFmt numFmtId="164" formatCode="_([$$-409]* #,##0.00_);_([$$-409]* \(#,##0.00\);_([$$-409]* &quot;-&quot;??_);_(@_)"/>
    </dxf>
    <dxf>
      <numFmt numFmtId="164" formatCode="_([$$-409]* #,##0.00_);_([$$-409]* \(#,##0.00\);_([$$-409]* &quot;-&quot;??_);_(@_)"/>
    </dxf>
    <dxf>
      <numFmt numFmtId="164" formatCode="_([$$-409]* #,##0.00_);_([$$-409]* \(#,##0.00\);_([$$-409]* &quot;-&quot;??_);_(@_)"/>
    </dxf>
    <dxf>
      <numFmt numFmtId="164" formatCode="_([$$-409]* #,##0.00_);_([$$-409]* \(#,##0.00\);_([$$-409]* &quot;-&quot;??_);_(@_)"/>
    </dxf>
    <dxf>
      <numFmt numFmtId="13"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_([$$-409]* #,##0.00_);_([$$-409]* \(#,##0.00\);_([$$-409]* &quot;-&quot;??_);_(@_)"/>
    </dxf>
    <dxf>
      <numFmt numFmtId="164" formatCode="_([$$-409]* #,##0.00_);_([$$-409]* \(#,##0.00\);_([$$-409]* &quot;-&quot;??_);_(@_)"/>
    </dxf>
    <dxf>
      <numFmt numFmtId="14" formatCode="0.00%"/>
    </dxf>
    <dxf>
      <numFmt numFmtId="14" formatCode="0.00%"/>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ont>
        <b val="0"/>
        <i val="0"/>
        <strike val="0"/>
        <condense val="0"/>
        <extend val="0"/>
        <outline val="0"/>
        <shadow val="0"/>
        <u val="none"/>
        <vertAlign val="baseline"/>
        <sz val="11"/>
        <color theme="1"/>
        <name val="Calibri"/>
        <family val="2"/>
        <scheme val="minor"/>
      </font>
      <numFmt numFmtId="14" formatCode="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4" formatCode="_(&quot;$&quot;* #,##0.00_);_(&quot;$&quot;* \(#,##0.00\);_(&quot;$&quot;* &quot;-&quot;??_);_(@_)"/>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13" formatCode="0%"/>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35" formatCode="_(* #,##0.00_);_(* \(#,##0.00\);_(* &quot;-&quot;??_);_(@_)"/>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35" formatCode="_(* #,##0.00_);_(* \(#,##0.00\);_(* &quot;-&quot;??_);_(@_)"/>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35" formatCode="_(* #,##0.00_);_(* \(#,##0.00\);_(* &quot;-&quot;??_);_(@_)"/>
      <fill>
        <patternFill patternType="solid">
          <fgColor indexed="64"/>
          <bgColor theme="0"/>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14" formatCode="0.00%"/>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_([$$-409]* #,##0.00_);_([$$-409]* \(#,##0.00\);_([$$-409]* &quot;-&quot;??_);_(@_)"/>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_([$$-409]* #,##0.00_);_([$$-409]* \(#,##0.00\);_([$$-409]* &quot;-&quot;??_);_(@_)"/>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_([$$-409]* #,##0.00_);_([$$-409]* \(#,##0.00\);_([$$-409]* &quot;-&quot;??_);_(@_)"/>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35" formatCode="_(* #,##0.00_);_(* \(#,##0.00\);_(* &quot;-&quot;??_);_(@_)"/>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35" formatCode="_(* #,##0.00_);_(* \(#,##0.00\);_(* &quot;-&quot;??_);_(@_)"/>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14" formatCode="0.00%"/>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14" formatCode="0.00%"/>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35" formatCode="_(* #,##0.00_);_(* \(#,##0.00\);_(* &quot;-&quot;??_);_(@_)"/>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14" formatCode="0.00%"/>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val="0"/>
        <i val="0"/>
        <strike val="0"/>
        <condense val="0"/>
        <extend val="0"/>
        <outline val="0"/>
        <shadow val="0"/>
        <u val="none"/>
        <vertAlign val="baseline"/>
        <sz val="11"/>
        <color theme="1"/>
        <name val="Calibri"/>
        <family val="2"/>
        <scheme val="minor"/>
      </font>
      <numFmt numFmtId="14" formatCode="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4" formatCode="_(&quot;$&quot;* #,##0.00_);_(&quot;$&quot;* \(#,##0.00\);_(&quot;$&quot;* &quot;-&quot;??_);_(@_)"/>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13" formatCode="0%"/>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35" formatCode="_(* #,##0.00_);_(* \(#,##0.00\);_(* &quot;-&quot;??_);_(@_)"/>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35" formatCode="_(* #,##0.00_);_(* \(#,##0.00\);_(* &quot;-&quot;??_);_(@_)"/>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35" formatCode="_(* #,##0.00_);_(* \(#,##0.00\);_(* &quot;-&quot;??_);_(@_)"/>
      <fill>
        <patternFill patternType="solid">
          <fgColor indexed="64"/>
          <bgColor theme="0"/>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14" formatCode="0.00%"/>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_([$$-409]* #,##0.00_);_([$$-409]* \(#,##0.00\);_([$$-409]* &quot;-&quot;??_);_(@_)"/>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_([$$-409]* #,##0.00_);_([$$-409]* \(#,##0.00\);_([$$-409]* &quot;-&quot;??_);_(@_)"/>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_([$$-409]* #,##0.00_);_([$$-409]* \(#,##0.00\);_([$$-409]* &quot;-&quot;??_);_(@_)"/>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35" formatCode="_(* #,##0.00_);_(* \(#,##0.00\);_(* &quot;-&quot;??_);_(@_)"/>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35" formatCode="_(* #,##0.00_);_(* \(#,##0.00\);_(* &quot;-&quot;??_);_(@_)"/>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14" formatCode="0.00%"/>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14" formatCode="0.00%"/>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35" formatCode="_(* #,##0.00_);_(* \(#,##0.00\);_(* &quot;-&quot;??_);_(@_)"/>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14" formatCode="0.00%"/>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val="0"/>
        <i val="0"/>
        <strike val="0"/>
        <condense val="0"/>
        <extend val="0"/>
        <outline val="0"/>
        <shadow val="0"/>
        <u val="none"/>
        <vertAlign val="baseline"/>
        <sz val="11"/>
        <color theme="1"/>
        <name val="Calibri"/>
        <family val="2"/>
        <scheme val="minor"/>
      </font>
      <numFmt numFmtId="14" formatCode="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4" formatCode="_(&quot;$&quot;* #,##0.00_);_(&quot;$&quot;* \(#,##0.00\);_(&quot;$&quot;* &quot;-&quot;??_);_(@_)"/>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13" formatCode="0%"/>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35" formatCode="_(* #,##0.00_);_(* \(#,##0.00\);_(* &quot;-&quot;??_);_(@_)"/>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35" formatCode="_(* #,##0.00_);_(* \(#,##0.00\);_(* &quot;-&quot;??_);_(@_)"/>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35" formatCode="_(* #,##0.00_);_(* \(#,##0.00\);_(* &quot;-&quot;??_);_(@_)"/>
      <fill>
        <patternFill patternType="solid">
          <fgColor indexed="64"/>
          <bgColor theme="0"/>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14" formatCode="0.00%"/>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_([$$-409]* #,##0.00_);_([$$-409]* \(#,##0.00\);_([$$-409]* &quot;-&quot;??_);_(@_)"/>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_([$$-409]* #,##0.00_);_([$$-409]* \(#,##0.00\);_([$$-409]* &quot;-&quot;??_);_(@_)"/>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_([$$-409]* #,##0.00_);_([$$-409]* \(#,##0.00\);_([$$-409]* &quot;-&quot;??_);_(@_)"/>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35" formatCode="_(* #,##0.00_);_(* \(#,##0.00\);_(* &quot;-&quot;??_);_(@_)"/>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35" formatCode="_(* #,##0.00_);_(* \(#,##0.00\);_(* &quot;-&quot;??_);_(@_)"/>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14" formatCode="0.00%"/>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14" formatCode="0.00%"/>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35" formatCode="_(* #,##0.00_);_(* \(#,##0.00\);_(* &quot;-&quot;??_);_(@_)"/>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14" formatCode="0.00%"/>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val="0"/>
        <i val="0"/>
        <strike val="0"/>
        <condense val="0"/>
        <extend val="0"/>
        <outline val="0"/>
        <shadow val="0"/>
        <u val="none"/>
        <vertAlign val="baseline"/>
        <sz val="11"/>
        <color theme="1"/>
        <name val="Calibri"/>
        <family val="2"/>
        <scheme val="minor"/>
      </font>
      <numFmt numFmtId="14" formatCode="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4" formatCode="_(&quot;$&quot;* #,##0.00_);_(&quot;$&quot;* \(#,##0.00\);_(&quot;$&quot;* &quot;-&quot;??_);_(@_)"/>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13" formatCode="0%"/>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35" formatCode="_(* #,##0.00_);_(* \(#,##0.00\);_(* &quot;-&quot;??_);_(@_)"/>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35" formatCode="_(* #,##0.00_);_(* \(#,##0.00\);_(* &quot;-&quot;??_);_(@_)"/>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35" formatCode="_(* #,##0.00_);_(* \(#,##0.00\);_(* &quot;-&quot;??_);_(@_)"/>
      <fill>
        <patternFill patternType="solid">
          <fgColor indexed="64"/>
          <bgColor theme="0"/>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14" formatCode="0.00%"/>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_([$$-409]* #,##0.00_);_([$$-409]* \(#,##0.00\);_([$$-409]* &quot;-&quot;??_);_(@_)"/>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_([$$-409]* #,##0.00_);_([$$-409]* \(#,##0.00\);_([$$-409]* &quot;-&quot;??_);_(@_)"/>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_([$$-409]* #,##0.00_);_([$$-409]* \(#,##0.00\);_([$$-409]* &quot;-&quot;??_);_(@_)"/>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35" formatCode="_(* #,##0.00_);_(* \(#,##0.00\);_(* &quot;-&quot;??_);_(@_)"/>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35" formatCode="_(* #,##0.00_);_(* \(#,##0.00\);_(* &quot;-&quot;??_);_(@_)"/>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14" formatCode="0.00%"/>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14" formatCode="0.00%"/>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35" formatCode="_(* #,##0.00_);_(* \(#,##0.00\);_(* &quot;-&quot;??_);_(@_)"/>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14" formatCode="0.00%"/>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val="0"/>
        <i val="0"/>
        <strike val="0"/>
        <condense val="0"/>
        <extend val="0"/>
        <outline val="0"/>
        <shadow val="0"/>
        <u val="none"/>
        <vertAlign val="baseline"/>
        <sz val="11"/>
        <color theme="1"/>
        <name val="Calibri"/>
        <family val="2"/>
        <scheme val="minor"/>
      </font>
      <numFmt numFmtId="14" formatCode="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4" formatCode="_(&quot;$&quot;* #,##0.00_);_(&quot;$&quot;* \(#,##0.00\);_(&quot;$&quot;* &quot;-&quot;??_);_(@_)"/>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13" formatCode="0%"/>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35" formatCode="_(* #,##0.00_);_(* \(#,##0.00\);_(* &quot;-&quot;??_);_(@_)"/>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35" formatCode="_(* #,##0.00_);_(* \(#,##0.00\);_(* &quot;-&quot;??_);_(@_)"/>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35" formatCode="_(* #,##0.00_);_(* \(#,##0.00\);_(* &quot;-&quot;??_);_(@_)"/>
      <fill>
        <patternFill patternType="solid">
          <fgColor indexed="64"/>
          <bgColor theme="0"/>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14" formatCode="0.00%"/>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_([$$-409]* #,##0.00_);_([$$-409]* \(#,##0.00\);_([$$-409]* &quot;-&quot;??_);_(@_)"/>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_([$$-409]* #,##0.00_);_([$$-409]* \(#,##0.00\);_([$$-409]* &quot;-&quot;??_);_(@_)"/>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_([$$-409]* #,##0.00_);_([$$-409]* \(#,##0.00\);_([$$-409]* &quot;-&quot;??_);_(@_)"/>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35" formatCode="_(* #,##0.00_);_(* \(#,##0.00\);_(* &quot;-&quot;??_);_(@_)"/>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35" formatCode="_(* #,##0.00_);_(* \(#,##0.00\);_(* &quot;-&quot;??_);_(@_)"/>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14" formatCode="0.00%"/>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14" formatCode="0.00%"/>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35" formatCode="_(* #,##0.00_);_(* \(#,##0.00\);_(* &quot;-&quot;??_);_(@_)"/>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14" formatCode="0.00%"/>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14" formatCode="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4" formatCode="_(&quot;$&quot;* #,##0.00_);_(&quot;$&quot;* \(#,##0.00\);_(&quot;$&quot;* &quot;-&quot;??_);_(@_)"/>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13" formatCode="0%"/>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35" formatCode="_(* #,##0.00_);_(* \(#,##0.00\);_(* &quot;-&quot;??_);_(@_)"/>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35" formatCode="_(* #,##0.00_);_(* \(#,##0.00\);_(* &quot;-&quot;??_);_(@_)"/>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35" formatCode="_(* #,##0.00_);_(* \(#,##0.00\);_(* &quot;-&quot;??_);_(@_)"/>
      <fill>
        <patternFill patternType="solid">
          <fgColor indexed="64"/>
          <bgColor theme="0"/>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14" formatCode="0.00%"/>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_([$$-409]* #,##0.00_);_([$$-409]* \(#,##0.00\);_([$$-409]* &quot;-&quot;??_);_(@_)"/>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_([$$-409]* #,##0.00_);_([$$-409]* \(#,##0.00\);_([$$-409]* &quot;-&quot;??_);_(@_)"/>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_([$$-409]* #,##0.00_);_([$$-409]* \(#,##0.00\);_([$$-409]* &quot;-&quot;??_);_(@_)"/>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35" formatCode="_(* #,##0.00_);_(* \(#,##0.00\);_(* &quot;-&quot;??_);_(@_)"/>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35" formatCode="_(* #,##0.00_);_(* \(#,##0.00\);_(* &quot;-&quot;??_);_(@_)"/>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14" formatCode="0.00%"/>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14" formatCode="0.00%"/>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35" formatCode="_(* #,##0.00_);_(* \(#,##0.00\);_(* &quot;-&quot;??_);_(@_)"/>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14" formatCode="0.00%"/>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val="0"/>
        <i val="0"/>
        <strike val="0"/>
        <condense val="0"/>
        <extend val="0"/>
        <outline val="0"/>
        <shadow val="0"/>
        <u val="none"/>
        <vertAlign val="baseline"/>
        <sz val="11"/>
        <color theme="1"/>
        <name val="Calibri"/>
        <family val="2"/>
        <scheme val="minor"/>
      </font>
      <numFmt numFmtId="14" formatCode="0.00%"/>
      <alignment horizontal="center" vertical="bottom" textRotation="0" wrapText="0" indent="0" justifyLastLine="0" shrinkToFit="0" readingOrder="0"/>
      <border diagonalUp="0" diagonalDown="0">
        <left style="thin">
          <color indexed="64"/>
        </left>
        <right/>
        <top style="thin">
          <color indexed="64"/>
        </top>
        <bottom style="thin">
          <color indexed="64"/>
        </bottom>
        <vertical/>
        <horizontal/>
      </border>
    </dxf>
    <dxf>
      <numFmt numFmtId="34" formatCode="_(&quot;$&quot;* #,##0.00_);_(&quot;$&quot;* \(#,##0.00\);_(&quot;$&quot;* &quot;-&quot;??_);_(@_)"/>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numFmt numFmtId="14" formatCode="0.00%"/>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_([$$-409]* #,##0.00_);_([$$-409]* \(#,##0.00\);_([$$-409]* &quot;-&quot;??_);_(@_)"/>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_([$$-409]* #,##0.00_);_([$$-409]* \(#,##0.00\);_([$$-409]* &quot;-&quot;??_);_(@_)"/>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_([$$-409]* #,##0.00_);_([$$-409]* \(#,##0.00\);_([$$-409]* &quot;-&quot;??_);_(@_)"/>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numFmt numFmtId="14" formatCode="0.00%"/>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numFmt numFmtId="14" formatCode="0.00%"/>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numFmt numFmtId="14" formatCode="0.00%"/>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numFmt numFmtId="14" formatCode="0.00%"/>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numFmt numFmtId="14" formatCode="0.00%"/>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numFmt numFmtId="14" formatCode="0.00%"/>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numFmt numFmtId="14" formatCode="0.00%"/>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pivotCacheDefinition" Target="pivotCache/pivotCacheDefinition6.xml"/><Relationship Id="rId3" Type="http://schemas.openxmlformats.org/officeDocument/2006/relationships/worksheet" Target="worksheets/sheet3.xml"/><Relationship Id="rId21" Type="http://schemas.openxmlformats.org/officeDocument/2006/relationships/pivotCacheDefinition" Target="pivotCache/pivotCacheDefinition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5.xml"/><Relationship Id="rId33"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4.xml"/><Relationship Id="rId32"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2.xml"/><Relationship Id="rId27" Type="http://schemas.openxmlformats.org/officeDocument/2006/relationships/theme" Target="theme/theme1.xml"/><Relationship Id="rId30" Type="http://schemas.openxmlformats.org/officeDocument/2006/relationships/calcChain" Target="calcChain.xml"/><Relationship Id="rId8" Type="http://schemas.openxmlformats.org/officeDocument/2006/relationships/worksheet" Target="worksheets/sheet8.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dhanshu Aggarwal" refreshedDate="43941.010551157407" createdVersion="6" refreshedVersion="6" minRefreshableVersion="3" recordCount="13" xr:uid="{ECBAD261-4A2B-4F33-852A-4463110706D3}">
  <cacheSource type="worksheet">
    <worksheetSource name="Table22456"/>
  </cacheSource>
  <cacheFields count="29">
    <cacheField name="TTL" numFmtId="0">
      <sharedItems count="13">
        <s v="Nestle India Ltd."/>
        <s v="Britannia Industries Ltd."/>
        <s v="GlaxoSmithline Consumer Healthcare Ltd."/>
        <s v="Marico Ltd. (Parachute, Livon, Saffola)"/>
        <s v="Jubliant Foodworks Ltd. (Domino's, Dunkin Donuts)"/>
        <s v="Hatsun Agro Products (Milk Products)"/>
        <s v="Ruchi Soya Products (Patanjali)"/>
        <s v="Zydus Wellness Ltd. (Glucon D, Nycil, Sugarfree)"/>
        <s v="KRB Ltd. (India Gate Rice)"/>
        <s v="Hindustan Foods Ltd. (Rin, Surf Excel, Comfort, Dettol, Bru, Taj, Sunsilk, Clicnic Plus, Santoor, Knorr)"/>
        <s v="AgroTech Foods Ltd. (Act 2, Sundrop)"/>
        <s v="Varun Bevrages (Pepsi, 7Up, Mountain Dew, Slice)"/>
        <s v="Transport Corporation of India Ltd."/>
      </sharedItems>
    </cacheField>
    <cacheField name="P/B" numFmtId="0">
      <sharedItems containsSemiMixedTypes="0" containsString="0" containsNumber="1" minValue="1.45" maxValue="86.43"/>
    </cacheField>
    <cacheField name="Promoter Holding" numFmtId="10">
      <sharedItems containsSemiMixedTypes="0" containsString="0" containsNumber="1" minValue="0.4194" maxValue="0.98870000000000002"/>
    </cacheField>
    <cacheField name="P/E" numFmtId="43">
      <sharedItems containsSemiMixedTypes="0" containsString="0" containsNumber="1" minValue="1.01" maxValue="84.8"/>
    </cacheField>
    <cacheField name="P/C" numFmtId="43">
      <sharedItems containsSemiMixedTypes="0" containsString="0" containsNumber="1" minValue="-407.78" maxValue="81.37"/>
    </cacheField>
    <cacheField name="P/E - P/C" numFmtId="43">
      <sharedItems containsSemiMixedTypes="0" containsString="0" containsNumber="1" minValue="-31.639999999999997" maxValue="100"/>
    </cacheField>
    <cacheField name="ROE" numFmtId="10">
      <sharedItems containsSemiMixedTypes="0" containsString="0" containsNumber="1" minValue="0" maxValue="0.45300000000000001"/>
    </cacheField>
    <cacheField name="ROCE" numFmtId="10">
      <sharedItems containsSemiMixedTypes="0" containsString="0" containsNumber="1" minValue="3.39E-2" maxValue="0.70930000000000004"/>
    </cacheField>
    <cacheField name="CFO/PAT" numFmtId="43">
      <sharedItems containsSemiMixedTypes="0" containsString="0" containsNumber="1" minValue="-1.1499999999999999" maxValue="6.71"/>
    </cacheField>
    <cacheField name="1-CFO/PAT" numFmtId="43">
      <sharedItems containsSemiMixedTypes="0" containsString="0" containsNumber="1" minValue="5.0000000000000044E-2" maxValue="100"/>
    </cacheField>
    <cacheField name="Debt Equity" numFmtId="43">
      <sharedItems containsSemiMixedTypes="0" containsString="0" containsNumber="1" minValue="-1.64" maxValue="1.28"/>
    </cacheField>
    <cacheField name="0-Debt Equity" numFmtId="43">
      <sharedItems containsSemiMixedTypes="0" containsString="0" containsNumber="1" minValue="0" maxValue="100"/>
    </cacheField>
    <cacheField name="Current Price" numFmtId="164">
      <sharedItems containsSemiMixedTypes="0" containsString="0" containsNumber="1" minValue="189.1" maxValue="17322.150000000001" count="13">
        <n v="17322.150000000001"/>
        <n v="2831.3"/>
        <n v="10753.65"/>
        <n v="300.2"/>
        <n v="1548.85"/>
        <n v="520.65"/>
        <n v="264.60000000000002"/>
        <n v="1342.4"/>
        <n v="218.8"/>
        <n v="579"/>
        <n v="501.4"/>
        <n v="605.5"/>
        <n v="189.1"/>
      </sharedItems>
    </cacheField>
    <cacheField name="52 Week High" numFmtId="164">
      <sharedItems containsSemiMixedTypes="0" containsString="0" containsNumber="1" minValue="264.60000000000002" maxValue="18301"/>
    </cacheField>
    <cacheField name="52 Week Low" numFmtId="164">
      <sharedItems containsSemiMixedTypes="0" containsString="0" containsNumber="1" minValue="3.28" maxValue="10126.450000000001"/>
    </cacheField>
    <cacheField name="D High" numFmtId="10">
      <sharedItems containsSemiMixedTypes="0" containsString="0" containsNumber="1" minValue="0" maxValue="0.72739291380222093"/>
    </cacheField>
    <cacheField name="P/B Score" numFmtId="43">
      <sharedItems containsSemiMixedTypes="0" containsString="0" containsNumber="1" containsInteger="1" minValue="0" maxValue="3"/>
    </cacheField>
    <cacheField name="Promoter Holding Score" numFmtId="43">
      <sharedItems containsSemiMixedTypes="0" containsString="0" containsNumber="1" containsInteger="1" minValue="0" maxValue="4"/>
    </cacheField>
    <cacheField name="P/E-P/C Score" numFmtId="43">
      <sharedItems containsSemiMixedTypes="0" containsString="0" containsNumber="1" containsInteger="1" minValue="0" maxValue="4"/>
    </cacheField>
    <cacheField name="ROE Score" numFmtId="43">
      <sharedItems containsSemiMixedTypes="0" containsString="0" containsNumber="1" containsInteger="1" minValue="0" maxValue="4"/>
    </cacheField>
    <cacheField name="ROCE Score" numFmtId="43">
      <sharedItems containsSemiMixedTypes="0" containsString="0" containsNumber="1" containsInteger="1" minValue="0" maxValue="4"/>
    </cacheField>
    <cacheField name="1-CFO/PAT Score" numFmtId="43">
      <sharedItems containsSemiMixedTypes="0" containsString="0" containsNumber="1" containsInteger="1" minValue="0" maxValue="4"/>
    </cacheField>
    <cacheField name="0-Debt Equity Score" numFmtId="43">
      <sharedItems containsSemiMixedTypes="0" containsString="0" containsNumber="1" containsInteger="1" minValue="0" maxValue="4"/>
    </cacheField>
    <cacheField name="Total" numFmtId="9">
      <sharedItems containsSemiMixedTypes="0" containsString="0" containsNumber="1" minValue="0.25" maxValue="0.9642857142857143"/>
    </cacheField>
    <cacheField name="Risk" numFmtId="0">
      <sharedItems count="3">
        <s v="Medium"/>
        <s v="Low"/>
        <s v="High"/>
      </sharedItems>
    </cacheField>
    <cacheField name="Amount to Invest" numFmtId="44">
      <sharedItems containsSemiMixedTypes="0" containsString="0" containsNumber="1" containsInteger="1" minValue="0" maxValue="2000" count="4">
        <n v="1000"/>
        <n v="0"/>
        <n v="500" u="1"/>
        <n v="2000" u="1"/>
      </sharedItems>
    </cacheField>
    <cacheField name="# Shares" numFmtId="43">
      <sharedItems containsSemiMixedTypes="0" containsString="0" containsNumber="1" minValue="0" maxValue="3.7792894935752077"/>
    </cacheField>
    <cacheField name="Profit" numFmtId="44">
      <sharedItems containsSemiMixedTypes="0" containsString="0" containsNumber="1" minValue="-500" maxValue="210.29313790806131"/>
    </cacheField>
    <cacheField name="Profit %" numFmtId="10">
      <sharedItems containsSemiMixedTypes="0" containsString="0" containsNumber="1" minValue="-0.5" maxValue="0.2102931379080613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dhanshu Aggarwal" refreshedDate="43941.010551504631" createdVersion="6" refreshedVersion="6" minRefreshableVersion="3" recordCount="6" xr:uid="{5ABAE335-53A1-4C63-9013-F332A66CD9F3}">
  <cacheSource type="worksheet">
    <worksheetSource name="Table224"/>
  </cacheSource>
  <cacheFields count="29">
    <cacheField name="TTL" numFmtId="0">
      <sharedItems count="6">
        <s v="United Spirits Ltd. (All Major Whiskey Brands)"/>
        <s v="United Brewries Ltd. (All Beer Brands)"/>
        <s v="Radico Khatan Ltd. (Brandy, Vodka)"/>
        <s v="ITC Ltd. (Cigrattes)"/>
        <s v="Godfrey Phillips India Ltd."/>
        <s v="VST Industries"/>
      </sharedItems>
    </cacheField>
    <cacheField name="P/B" numFmtId="0">
      <sharedItems containsSemiMixedTypes="0" containsString="0" containsNumber="1" minValue="2.2599999999999998" maxValue="22.55"/>
    </cacheField>
    <cacheField name="Promoter Holding" numFmtId="10">
      <sharedItems containsSemiMixedTypes="0" containsString="0" containsNumber="1" minValue="0" maxValue="0.72189999999999999"/>
    </cacheField>
    <cacheField name="P/E" numFmtId="43">
      <sharedItems containsSemiMixedTypes="0" containsString="0" containsNumber="1" minValue="13.24" maxValue="54.28"/>
    </cacheField>
    <cacheField name="P/C" numFmtId="43">
      <sharedItems containsSemiMixedTypes="0" containsString="0" containsNumber="1" minValue="14.18" maxValue="40.590000000000003"/>
    </cacheField>
    <cacheField name="P/E - P/C" numFmtId="43">
      <sharedItems containsSemiMixedTypes="0" containsString="0" containsNumber="1" minValue="-2.9400000000000013" maxValue="15.89"/>
    </cacheField>
    <cacheField name="ROE" numFmtId="10">
      <sharedItems containsSemiMixedTypes="0" containsString="0" containsNumber="1" minValue="0.1356" maxValue="0.36409999999999998"/>
    </cacheField>
    <cacheField name="ROCE" numFmtId="10">
      <sharedItems containsSemiMixedTypes="0" containsString="0" containsNumber="1" minValue="0.188" maxValue="0.56279999999999997"/>
    </cacheField>
    <cacheField name="CFO/PAT" numFmtId="43">
      <sharedItems containsSemiMixedTypes="0" containsString="0" containsNumber="1" minValue="1.05" maxValue="2.29"/>
    </cacheField>
    <cacheField name="1-CFO/PAT" numFmtId="43">
      <sharedItems containsSemiMixedTypes="0" containsString="0" containsNumber="1" minValue="5.0000000000000044E-2" maxValue="1.29"/>
    </cacheField>
    <cacheField name="Debt Equity" numFmtId="43">
      <sharedItems containsSemiMixedTypes="0" containsString="0" containsNumber="1" minValue="0" maxValue="0.93"/>
    </cacheField>
    <cacheField name="0-Debt Equity" numFmtId="43">
      <sharedItems containsSemiMixedTypes="0" containsString="0" containsNumber="1" minValue="0" maxValue="0.93"/>
    </cacheField>
    <cacheField name="Current Price" numFmtId="164">
      <sharedItems containsSemiMixedTypes="0" containsString="0" containsNumber="1" minValue="188.1" maxValue="3169.8" count="6">
        <n v="529.75"/>
        <n v="933.2"/>
        <n v="327.85"/>
        <n v="188.1"/>
        <n v="1004.45"/>
        <n v="3169.8"/>
      </sharedItems>
    </cacheField>
    <cacheField name="52 Week High" numFmtId="164">
      <sharedItems containsSemiMixedTypes="0" containsString="0" containsNumber="1" minValue="309.85000000000002" maxValue="4856.46"/>
    </cacheField>
    <cacheField name="52 Week Low" numFmtId="164">
      <sharedItems containsSemiMixedTypes="0" containsString="0" containsNumber="1" minValue="134.94999999999999" maxValue="2550"/>
    </cacheField>
    <cacheField name="D High" numFmtId="10">
      <sharedItems containsSemiMixedTypes="0" containsString="0" containsNumber="1" minValue="0.33902699405215792" maxValue="0.64726209463051587"/>
    </cacheField>
    <cacheField name="P/B Score" numFmtId="43">
      <sharedItems containsSemiMixedTypes="0" containsString="0" containsNumber="1" containsInteger="1" minValue="0" maxValue="3"/>
    </cacheField>
    <cacheField name="Promoter Holding Score" numFmtId="43">
      <sharedItems containsSemiMixedTypes="0" containsString="0" containsNumber="1" containsInteger="1" minValue="0" maxValue="4"/>
    </cacheField>
    <cacheField name="P/E-P/C Score" numFmtId="43">
      <sharedItems containsSemiMixedTypes="0" containsString="0" containsNumber="1" containsInteger="1" minValue="2" maxValue="4"/>
    </cacheField>
    <cacheField name="ROE Score" numFmtId="43">
      <sharedItems containsSemiMixedTypes="0" containsString="0" containsNumber="1" containsInteger="1" minValue="1" maxValue="4"/>
    </cacheField>
    <cacheField name="ROCE Score" numFmtId="43">
      <sharedItems containsSemiMixedTypes="0" containsString="0" containsNumber="1" containsInteger="1" minValue="2" maxValue="4"/>
    </cacheField>
    <cacheField name="1-CFO/PAT Score" numFmtId="43">
      <sharedItems containsSemiMixedTypes="0" containsString="0" containsNumber="1" containsInteger="1" minValue="0" maxValue="4"/>
    </cacheField>
    <cacheField name="0-Debt Equity Score" numFmtId="43">
      <sharedItems containsSemiMixedTypes="0" containsString="0" containsNumber="1" containsInteger="1" minValue="0" maxValue="4"/>
    </cacheField>
    <cacheField name="Total" numFmtId="9">
      <sharedItems containsSemiMixedTypes="0" containsString="0" containsNumber="1" minValue="0.42857142857142855" maxValue="0.7142857142857143"/>
    </cacheField>
    <cacheField name="Risk" numFmtId="0">
      <sharedItems count="3">
        <s v="High"/>
        <s v="Low"/>
        <s v="Medium"/>
      </sharedItems>
    </cacheField>
    <cacheField name="Amount to Invest" numFmtId="44">
      <sharedItems containsSemiMixedTypes="0" containsString="0" containsNumber="1" containsInteger="1" minValue="0" maxValue="1000" count="2">
        <n v="1000"/>
        <n v="0"/>
      </sharedItems>
    </cacheField>
    <cacheField name="# Shares" numFmtId="43">
      <sharedItems containsSemiMixedTypes="0" containsString="0" containsNumber="1" minValue="0" maxValue="5.3163211057947901" count="5">
        <n v="1.8876828692779613"/>
        <n v="1.0715816545220744"/>
        <n v="3.0501753850846423"/>
        <n v="5.3163211057947901"/>
        <n v="0"/>
      </sharedItems>
    </cacheField>
    <cacheField name="Profit" numFmtId="44">
      <sharedItems containsSemiMixedTypes="0" containsString="0" containsNumber="1" minValue="-330.48650297392106" maxValue="482.53588516746419"/>
    </cacheField>
    <cacheField name="Profit %" numFmtId="10">
      <sharedItems containsSemiMixedTypes="0" containsString="0" containsNumber="1" minValue="-0.33048650297392107" maxValue="0.4825358851674642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dhanshu Aggarwal" refreshedDate="43941.010551504631" createdVersion="6" refreshedVersion="6" minRefreshableVersion="3" recordCount="18" xr:uid="{EB057F0D-37D4-4B0F-9178-7BEA372DB7AF}">
  <cacheSource type="worksheet">
    <worksheetSource name="Table2"/>
  </cacheSource>
  <cacheFields count="27">
    <cacheField name="Bank Names" numFmtId="0">
      <sharedItems count="18">
        <s v="HDFC Bank"/>
        <s v="Bandhan Bank"/>
        <s v="Kotak Mahindra Bank"/>
        <s v="IndusInd Bank"/>
        <s v="RBL Bank"/>
        <s v="DCB Bank"/>
        <s v="City Union Bank"/>
        <s v="ICICI Bank"/>
        <s v="Yes Bank"/>
        <s v="Axis Bank"/>
        <s v="IDFC Bank"/>
        <s v="State Bank Of India"/>
        <s v="Bank of Baroda"/>
        <s v="Central Bank Of India"/>
        <s v="IDBI Bank"/>
        <s v="UCO Bank"/>
        <s v="Canara Bank"/>
        <s v="Punjab National Bank"/>
      </sharedItems>
    </cacheField>
    <cacheField name="P/B" numFmtId="0">
      <sharedItems containsSemiMixedTypes="0" containsString="0" containsNumber="1" minValue="0.32" maxValue="4.5999999999999996"/>
    </cacheField>
    <cacheField name="CASA" numFmtId="10">
      <sharedItems containsSemiMixedTypes="0" containsString="0" containsNumber="1" minValue="0.1293" maxValue="0.52500000000000002"/>
    </cacheField>
    <cacheField name="ROE" numFmtId="10">
      <sharedItems containsSemiMixedTypes="0" containsString="0" containsNumber="1" minValue="-0.64270000000000005" maxValue="0.18959999999999999"/>
    </cacheField>
    <cacheField name="ROA" numFmtId="10">
      <sharedItems containsSemiMixedTypes="0" containsString="0" containsNumber="1" minValue="-4.5100000000000001E-2" maxValue="0.16500000000000001"/>
    </cacheField>
    <cacheField name="NPA" numFmtId="10">
      <sharedItems containsSemiMixedTypes="0" containsString="0" containsNumber="1" minValue="3.8999999999999998E-3" maxValue="0.38990000000000002"/>
    </cacheField>
    <cacheField name="NIM" numFmtId="10">
      <sharedItems containsSemiMixedTypes="0" containsString="0" containsNumber="1" minValue="2.07E-2" maxValue="8.1000000000000003E-2"/>
    </cacheField>
    <cacheField name="Capital Adequacy" numFmtId="10">
      <sharedItems containsSemiMixedTypes="0" containsString="0" containsNumber="1" minValue="9.6100000000000005E-2" maxValue="0.29199999999999998"/>
    </cacheField>
    <cacheField name="Advances Growth" numFmtId="10">
      <sharedItems containsSemiMixedTypes="0" containsString="0" containsNumber="1" minValue="-0.14530000000000001" maxValue="0.65439999999999998"/>
    </cacheField>
    <cacheField name="Current Price" numFmtId="164">
      <sharedItems containsSemiMixedTypes="0" containsString="0" containsNumber="1" minValue="9.93" maxValue="1130.3499999999999" count="18">
        <n v="881.05"/>
        <n v="198.25"/>
        <n v="1130.3499999999999"/>
        <n v="435"/>
        <n v="124.1"/>
        <n v="84.95"/>
        <n v="126.2"/>
        <n v="342.1"/>
        <n v="24.55"/>
        <n v="423.15"/>
        <n v="24.05"/>
        <n v="188.6"/>
        <n v="49.55"/>
        <n v="12.85"/>
        <n v="20.75"/>
        <n v="9.93"/>
        <n v="85.9"/>
        <n v="31.1"/>
      </sharedItems>
    </cacheField>
    <cacheField name="52 Week High" numFmtId="164">
      <sharedItems containsSemiMixedTypes="0" containsString="0" containsNumber="1" minValue="22.2" maxValue="1822.15"/>
    </cacheField>
    <cacheField name="52 Week Low" numFmtId="164">
      <sharedItems containsSemiMixedTypes="0" containsString="0" containsNumber="1" minValue="5.55" maxValue="1000.35"/>
    </cacheField>
    <cacheField name="D High" numFmtId="10">
      <sharedItems containsSemiMixedTypes="0" containsString="0" containsNumber="1" minValue="0.48016571136711877" maxValue="9.9164969450101825"/>
    </cacheField>
    <cacheField name="P/B Score" numFmtId="43">
      <sharedItems containsSemiMixedTypes="0" containsString="0" containsNumber="1" containsInteger="1" minValue="0" maxValue="4"/>
    </cacheField>
    <cacheField name="CASA Score" numFmtId="43">
      <sharedItems containsSemiMixedTypes="0" containsString="0" containsNumber="1" containsInteger="1" minValue="0" maxValue="4"/>
    </cacheField>
    <cacheField name="ROE Score" numFmtId="43">
      <sharedItems containsSemiMixedTypes="0" containsString="0" containsNumber="1" containsInteger="1" minValue="0" maxValue="4"/>
    </cacheField>
    <cacheField name="ROA Score" numFmtId="43">
      <sharedItems containsSemiMixedTypes="0" containsString="0" containsNumber="1" containsInteger="1" minValue="0" maxValue="4"/>
    </cacheField>
    <cacheField name="NPA Score" numFmtId="43">
      <sharedItems containsSemiMixedTypes="0" containsString="0" containsNumber="1" containsInteger="1" minValue="0" maxValue="4"/>
    </cacheField>
    <cacheField name="NIM Score" numFmtId="43">
      <sharedItems containsSemiMixedTypes="0" containsString="0" containsNumber="1" containsInteger="1" minValue="2" maxValue="4"/>
    </cacheField>
    <cacheField name="CA Score" numFmtId="43">
      <sharedItems containsSemiMixedTypes="0" containsString="0" containsNumber="1" containsInteger="1" minValue="0" maxValue="4"/>
    </cacheField>
    <cacheField name="AG Score" numFmtId="43">
      <sharedItems containsSemiMixedTypes="0" containsString="0" containsNumber="1" containsInteger="1" minValue="0" maxValue="4"/>
    </cacheField>
    <cacheField name="Total" numFmtId="9">
      <sharedItems containsSemiMixedTypes="0" containsString="0" containsNumber="1" minValue="0.28125" maxValue="0.875"/>
    </cacheField>
    <cacheField name="Risk" numFmtId="0">
      <sharedItems count="3">
        <s v="Low"/>
        <s v="Medium"/>
        <s v="High"/>
      </sharedItems>
    </cacheField>
    <cacheField name="Amount to Invest" numFmtId="44">
      <sharedItems containsSemiMixedTypes="0" containsString="0" containsNumber="1" containsInteger="1" minValue="0" maxValue="2000" count="3">
        <n v="2000"/>
        <n v="1000"/>
        <n v="0"/>
      </sharedItems>
    </cacheField>
    <cacheField name="# Shares" numFmtId="43">
      <sharedItems containsSemiMixedTypes="0" containsString="0" containsNumber="1" minValue="0" maxValue="40.733197556008143" count="10">
        <n v="2.2700187276545032"/>
        <n v="10.088272383354351"/>
        <n v="1.7693634714911313"/>
        <n v="2.2988505747126435"/>
        <n v="8.058017727639001"/>
        <n v="0"/>
        <n v="5.8462437883659746"/>
        <n v="40.733197556008143"/>
        <n v="5.3022269353128317"/>
        <n v="2.3632281696797826" u="1"/>
      </sharedItems>
    </cacheField>
    <cacheField name="Profit" numFmtId="44">
      <sharedItems containsSemiMixedTypes="0" containsString="0" containsNumber="1" minValue="0" maxValue="4458.2484725050917"/>
    </cacheField>
    <cacheField name="Profit %" numFmtId="10">
      <sharedItems containsSemiMixedTypes="0" containsString="0" containsNumber="1" minValue="0" maxValue="4.4582484725050922"/>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dhanshu Aggarwal" refreshedDate="43941.010551504631" createdVersion="6" refreshedVersion="6" minRefreshableVersion="3" recordCount="17" xr:uid="{94EB1EB4-A115-424C-849B-FAC5F847FF34}">
  <cacheSource type="worksheet">
    <worksheetSource name="Table22"/>
  </cacheSource>
  <cacheFields count="29">
    <cacheField name="TTL" numFmtId="0">
      <sharedItems count="17">
        <s v="InDiGo"/>
        <s v="SpiceJet"/>
        <s v="The Indian Hotels Company Ltd. (Taj, Vivanta, Ginger)"/>
        <s v="EIH Limited (Trident &amp; Oberoi)"/>
        <s v="Chalet Hotels (Marriot, Sheratton, Hyatt)"/>
        <s v="Mahindra Hotels &amp; Resorts India Ltd."/>
        <s v="India Tourism Development Corporation Ltd."/>
        <s v="Lemon Tree Hotels Ltd."/>
        <s v="Taj GVK Hotels &amp; Resorts Ltd."/>
        <s v="EIH Associated Hotels Ltd."/>
        <s v="Indian Railways Catering &amp; Tourism"/>
        <s v="Thomas Cook Ltd."/>
        <s v="Aegis Logistics Ltd."/>
        <s v="Container Corporation of India Ltd."/>
        <s v="Mahindra Logisctics"/>
        <s v="AllCargo Logisctics"/>
        <s v="Transport Corporation of India Ltd."/>
      </sharedItems>
    </cacheField>
    <cacheField name="P/B" numFmtId="0">
      <sharedItems containsSemiMixedTypes="0" containsString="0" containsNumber="1" minValue="0" maxValue="10.87"/>
    </cacheField>
    <cacheField name="Promoter Holding" numFmtId="10">
      <sharedItems containsSemiMixedTypes="0" containsString="0" containsNumber="1" minValue="0.31240000000000001" maxValue="0.874"/>
    </cacheField>
    <cacheField name="P/E" numFmtId="43">
      <sharedItems containsSemiMixedTypes="0" containsString="0" containsNumber="1" minValue="0" maxValue="70.97"/>
    </cacheField>
    <cacheField name="P/C" numFmtId="43">
      <sharedItems containsSemiMixedTypes="0" containsString="0" containsNumber="1" minValue="-52.63" maxValue="43.5"/>
    </cacheField>
    <cacheField name="P/E - P/C" numFmtId="43">
      <sharedItems containsSemiMixedTypes="0" containsString="0" containsNumber="1" minValue="1.4699999999999998" maxValue="100"/>
    </cacheField>
    <cacheField name="ROE" numFmtId="10">
      <sharedItems containsSemiMixedTypes="0" containsString="0" containsNumber="1" minValue="-8.0000000000000002E-3" maxValue="0.65310000000000001"/>
    </cacheField>
    <cacheField name="ROCE" numFmtId="10">
      <sharedItems containsSemiMixedTypes="0" containsString="0" containsNumber="1" minValue="-0.13830000000000001" maxValue="0.4753"/>
    </cacheField>
    <cacheField name="CFO/PAT" numFmtId="43">
      <sharedItems containsSemiMixedTypes="0" containsString="0" containsNumber="1" minValue="-9.9600000000000009" maxValue="7.74"/>
    </cacheField>
    <cacheField name="1-CFO/PAT" numFmtId="43">
      <sharedItems containsSemiMixedTypes="0" containsString="0" containsNumber="1" minValue="7.0000000000000062E-2" maxValue="100"/>
    </cacheField>
    <cacheField name="Debt Equity" numFmtId="43">
      <sharedItems containsSemiMixedTypes="0" containsString="0" containsNumber="1" minValue="-3.12" maxValue="1.72"/>
    </cacheField>
    <cacheField name="0-Debt Equity" numFmtId="43">
      <sharedItems containsSemiMixedTypes="0" containsString="0" containsNumber="1" minValue="0" maxValue="100"/>
    </cacheField>
    <cacheField name="Current Price" numFmtId="164">
      <sharedItems containsSemiMixedTypes="0" containsString="0" containsNumber="1" minValue="18.05" maxValue="1356.9" count="17">
        <n v="1069.1500000000001"/>
        <n v="48.6"/>
        <n v="80.5"/>
        <n v="79.3"/>
        <n v="184.5"/>
        <n v="141.44999999999999"/>
        <n v="342.1"/>
        <n v="18.05"/>
        <n v="118.6"/>
        <n v="216"/>
        <n v="1356.9"/>
        <n v="34"/>
        <n v="163.69999999999999"/>
        <n v="377.15"/>
        <n v="299.75"/>
        <n v="80.45"/>
        <n v="189.1"/>
      </sharedItems>
    </cacheField>
    <cacheField name="52 Week High" numFmtId="164">
      <sharedItems containsSemiMixedTypes="0" containsString="0" containsNumber="1" minValue="84.5" maxValue="1995"/>
    </cacheField>
    <cacheField name="52 Week Low" numFmtId="164">
      <sharedItems containsSemiMixedTypes="0" containsString="0" containsNumber="1" minValue="17.2" maxValue="765.05"/>
    </cacheField>
    <cacheField name="D High" numFmtId="10">
      <sharedItems containsSemiMixedTypes="0" containsString="0" containsNumber="1" minValue="0.47026309971258007" maxValue="6.7602941176470592"/>
    </cacheField>
    <cacheField name="P/B Score" numFmtId="43">
      <sharedItems containsSemiMixedTypes="0" containsString="0" containsNumber="1" containsInteger="1" minValue="0" maxValue="4"/>
    </cacheField>
    <cacheField name="Promoter Holding Score" numFmtId="43">
      <sharedItems containsSemiMixedTypes="0" containsString="0" containsNumber="1" containsInteger="1" minValue="0" maxValue="4"/>
    </cacheField>
    <cacheField name="P/E-P/C Score" numFmtId="43">
      <sharedItems containsSemiMixedTypes="0" containsString="0" containsNumber="1" containsInteger="1" minValue="0" maxValue="4"/>
    </cacheField>
    <cacheField name="ROE Score" numFmtId="43">
      <sharedItems containsSemiMixedTypes="0" containsString="0" containsNumber="1" containsInteger="1" minValue="0" maxValue="4"/>
    </cacheField>
    <cacheField name="ROCE Score" numFmtId="43">
      <sharedItems containsSemiMixedTypes="0" containsString="0" containsNumber="1" containsInteger="1" minValue="0" maxValue="4"/>
    </cacheField>
    <cacheField name="1-CFO/PAT Score" numFmtId="43">
      <sharedItems containsSemiMixedTypes="0" containsString="0" containsNumber="1" containsInteger="1" minValue="0" maxValue="4"/>
    </cacheField>
    <cacheField name="0-Debt Equity Score" numFmtId="43">
      <sharedItems containsSemiMixedTypes="0" containsString="0" containsNumber="1" containsInteger="1" minValue="0" maxValue="4"/>
    </cacheField>
    <cacheField name="Total" numFmtId="9">
      <sharedItems containsSemiMixedTypes="0" containsString="0" containsNumber="1" minValue="0.10714285714285714" maxValue="0.8571428571428571"/>
    </cacheField>
    <cacheField name="Risk" numFmtId="0">
      <sharedItems count="3">
        <s v="High"/>
        <s v="Medium"/>
        <s v="Low"/>
      </sharedItems>
    </cacheField>
    <cacheField name="Amount to Invest" numFmtId="44">
      <sharedItems containsSemiMixedTypes="0" containsString="0" containsNumber="1" containsInteger="1" minValue="0" maxValue="2000" count="4">
        <n v="1000"/>
        <n v="0"/>
        <n v="500"/>
        <n v="2000"/>
      </sharedItems>
    </cacheField>
    <cacheField name="# Shares" numFmtId="43">
      <sharedItems containsSemiMixedTypes="0" containsString="0" containsNumber="1" minValue="0" maxValue="6.3051702395964693" count="12">
        <n v="0.93532245241547018"/>
        <n v="0"/>
        <n v="6.2111801242236027"/>
        <n v="6.3051702395964693"/>
        <n v="2.7100271002710028"/>
        <n v="3.5348179568752212"/>
        <n v="1.4739479696366717"/>
        <n v="3.0543677458766036"/>
        <n v="1.3257324671881214"/>
        <n v="1.6680567139282736"/>
        <n v="6.2150403977625857"/>
        <n v="2.6441036488630356"/>
      </sharedItems>
    </cacheField>
    <cacheField name="Profit" numFmtId="44">
      <sharedItems containsSemiMixedTypes="0" containsString="0" containsNumber="1" minValue="-106.29939671701827" maxValue="646.47357948264414"/>
    </cacheField>
    <cacheField name="Profit %" numFmtId="10">
      <sharedItems containsSemiMixedTypes="0" containsString="0" containsNumber="1" minValue="-0.10629939671701827" maxValue="0.89155107187894078"/>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dhanshu Aggarwal" refreshedDate="43941.011698263887" createdVersion="6" refreshedVersion="6" minRefreshableVersion="3" recordCount="9" xr:uid="{4FE47231-DF07-4597-8788-D2C82AD43531}">
  <cacheSource type="worksheet">
    <worksheetSource name="Table224568"/>
  </cacheSource>
  <cacheFields count="29">
    <cacheField name="TTL" numFmtId="0">
      <sharedItems count="9">
        <s v="Larsen &amp; Toubro Ltd."/>
        <s v="GMR Infrastructure (Delhi - T3)"/>
        <s v="KEC International Ltd. (Electric Grid Company)"/>
        <s v="Ircon International Ltd. (Govt Operated PSU)"/>
        <s v="PNC Infratech Ltd. (Highway Construction)"/>
        <s v="KNR Constructions (Highway Constructions)"/>
        <s v="GE Power India Ltd. (Power Plants)"/>
        <s v="IRB Infrastructure Ltd. (Highway Construction)"/>
        <s v="Rail Vikas Nigam"/>
      </sharedItems>
    </cacheField>
    <cacheField name="P/B" numFmtId="0">
      <sharedItems containsSemiMixedTypes="0" containsString="0" containsNumber="1" minValue="0" maxValue="3.26"/>
    </cacheField>
    <cacheField name="Promoter Holding" numFmtId="10">
      <sharedItems containsSemiMixedTypes="0" containsString="0" containsNumber="1" minValue="0" maxValue="0.89180000000000004"/>
    </cacheField>
    <cacheField name="P/E" numFmtId="43">
      <sharedItems containsSemiMixedTypes="0" containsString="0" containsNumber="1" minValue="0" maxValue="30.5"/>
    </cacheField>
    <cacheField name="P/C" numFmtId="43">
      <sharedItems containsSemiMixedTypes="0" containsString="0" containsNumber="1" minValue="-27.77" maxValue="24.2"/>
    </cacheField>
    <cacheField name="P/E - P/C" numFmtId="43">
      <sharedItems containsSemiMixedTypes="0" containsString="0" containsNumber="1" minValue="-15.78" maxValue="100"/>
    </cacheField>
    <cacheField name="ROE" numFmtId="10">
      <sharedItems containsSemiMixedTypes="0" containsString="0" containsNumber="1" minValue="-0.77400000000000002" maxValue="0.22370000000000001"/>
    </cacheField>
    <cacheField name="ROCE" numFmtId="10">
      <sharedItems containsSemiMixedTypes="0" containsString="0" containsNumber="1" minValue="-2.46E-2" maxValue="0.2868"/>
    </cacheField>
    <cacheField name="CFO/PAT" numFmtId="43">
      <sharedItems containsSemiMixedTypes="0" containsString="0" containsNumber="1" minValue="-34.659999999999997" maxValue="3.4"/>
    </cacheField>
    <cacheField name="1-CFO/PAT" numFmtId="43">
      <sharedItems containsSemiMixedTypes="0" containsString="0" containsNumber="1" minValue="0.55000000000000004" maxValue="100"/>
    </cacheField>
    <cacheField name="Debt Equity" numFmtId="43">
      <sharedItems containsSemiMixedTypes="0" containsString="0" containsNumber="1" minValue="-33.630000000000003" maxValue="2.63"/>
    </cacheField>
    <cacheField name="0-Debt Equity" numFmtId="43">
      <sharedItems containsSemiMixedTypes="0" containsString="0" containsNumber="1" minValue="0" maxValue="100"/>
    </cacheField>
    <cacheField name="Current Price" numFmtId="164">
      <sharedItems containsSemiMixedTypes="0" containsString="0" containsNumber="1" minValue="17.8" maxValue="933.15" count="9">
        <n v="933.15"/>
        <n v="17.8"/>
        <n v="187.1"/>
        <n v="92.75"/>
        <n v="131.44999999999999"/>
        <n v="220.75"/>
        <n v="438"/>
        <n v="77.75"/>
        <n v="18.5"/>
      </sharedItems>
    </cacheField>
    <cacheField name="52 Week High" numFmtId="164">
      <sharedItems containsSemiMixedTypes="0" containsString="0" containsNumber="1" minValue="26.55" maxValue="1606.7"/>
    </cacheField>
    <cacheField name="52 Week Low" numFmtId="164">
      <sharedItems containsSemiMixedTypes="0" containsString="0" containsNumber="1" minValue="10.199999999999999" maxValue="661.05"/>
    </cacheField>
    <cacheField name="D High" numFmtId="10">
      <sharedItems containsSemiMixedTypes="0" containsString="0" containsNumber="1" minValue="0.29121293800539089" maxValue="1.1301369863013699"/>
    </cacheField>
    <cacheField name="P/B Score" numFmtId="43">
      <sharedItems containsSemiMixedTypes="0" containsString="0" containsNumber="1" containsInteger="1" minValue="1" maxValue="4"/>
    </cacheField>
    <cacheField name="Promoter Holding Score" numFmtId="43">
      <sharedItems containsSemiMixedTypes="0" containsString="0" containsNumber="1" containsInteger="1" minValue="0" maxValue="4"/>
    </cacheField>
    <cacheField name="P/E-P/C Score" numFmtId="43">
      <sharedItems containsSemiMixedTypes="0" containsString="0" containsNumber="1" containsInteger="1" minValue="0" maxValue="4"/>
    </cacheField>
    <cacheField name="ROE Score" numFmtId="43">
      <sharedItems containsSemiMixedTypes="0" containsString="0" containsNumber="1" containsInteger="1" minValue="0" maxValue="3"/>
    </cacheField>
    <cacheField name="ROCE Score" numFmtId="43">
      <sharedItems containsSemiMixedTypes="0" containsString="0" containsNumber="1" containsInteger="1" minValue="0" maxValue="4"/>
    </cacheField>
    <cacheField name="1-CFO/PAT Score" numFmtId="43">
      <sharedItems containsSemiMixedTypes="0" containsString="0" containsNumber="1" containsInteger="1" minValue="0" maxValue="1"/>
    </cacheField>
    <cacheField name="0-Debt Equity Score" numFmtId="43">
      <sharedItems containsSemiMixedTypes="0" containsString="0" containsNumber="1" containsInteger="1" minValue="0" maxValue="4"/>
    </cacheField>
    <cacheField name="Total" numFmtId="9">
      <sharedItems containsSemiMixedTypes="0" containsString="0" containsNumber="1" minValue="0.21428571428571427" maxValue="0.5357142857142857"/>
    </cacheField>
    <cacheField name="Risk" numFmtId="0">
      <sharedItems count="2">
        <s v="High"/>
        <s v="Medium"/>
      </sharedItems>
    </cacheField>
    <cacheField name="Amount to Invest" numFmtId="44">
      <sharedItems containsSemiMixedTypes="0" containsString="0" containsNumber="1" containsInteger="1" minValue="0" maxValue="1000" count="2">
        <n v="1000"/>
        <n v="0"/>
      </sharedItems>
    </cacheField>
    <cacheField name="# Shares" numFmtId="43">
      <sharedItems containsSemiMixedTypes="0" containsString="0" containsNumber="1" minValue="0" maxValue="56.179775280898873"/>
    </cacheField>
    <cacheField name="Profit" numFmtId="44">
      <sharedItems containsSemiMixedTypes="0" containsString="0" containsNumber="1" minValue="-254.21348314606743" maxValue="597.60273972602738"/>
    </cacheField>
    <cacheField name="Profit %" numFmtId="10">
      <sharedItems containsSemiMixedTypes="0" containsString="0" containsNumber="1" minValue="-0.25421348314606745" maxValue="0.5976027397260274"/>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dhanshu Aggarwal" refreshedDate="43941.026876041666" createdVersion="6" refreshedVersion="6" minRefreshableVersion="3" recordCount="4" xr:uid="{88AEF253-1E01-4932-8500-911993D3DFA1}">
  <cacheSource type="worksheet">
    <worksheetSource name="Table2245"/>
  </cacheSource>
  <cacheFields count="29">
    <cacheField name="TTL" numFmtId="0">
      <sharedItems count="4">
        <s v="Info Edge India Ltd. (Naukri.com, Zomato)"/>
        <s v="eClerk Services Ltd. (Manges 50 of the fortune 500)"/>
        <s v="Hinduja Global Solutions (BPO Company)"/>
        <s v="Matrimony.com"/>
      </sharedItems>
    </cacheField>
    <cacheField name="P/B" numFmtId="0">
      <sharedItems containsSemiMixedTypes="0" containsString="0" containsNumber="1" minValue="0.67" maxValue="13.16"/>
    </cacheField>
    <cacheField name="Promoter Holding" numFmtId="10">
      <sharedItems containsSemiMixedTypes="0" containsString="0" containsNumber="1" minValue="0.40479999999999999" maxValue="0.6724"/>
    </cacheField>
    <cacheField name="P/E" numFmtId="43">
      <sharedItems containsSemiMixedTypes="0" containsString="0" containsNumber="1" minValue="0" maxValue="24.45"/>
    </cacheField>
    <cacheField name="P/C" numFmtId="43">
      <sharedItems containsSemiMixedTypes="0" containsString="0" containsNumber="1" minValue="6.73" maxValue="110.49"/>
    </cacheField>
    <cacheField name="P/E - P/C" numFmtId="43">
      <sharedItems containsSemiMixedTypes="0" containsString="0" containsNumber="1" minValue="-1.3600000000000003" maxValue="100"/>
    </cacheField>
    <cacheField name="ROE" numFmtId="10">
      <sharedItems containsSemiMixedTypes="0" containsString="0" containsNumber="1" minValue="0.1116" maxValue="0.4022"/>
    </cacheField>
    <cacheField name="ROCE" numFmtId="10">
      <sharedItems containsSemiMixedTypes="0" containsString="0" containsNumber="1" minValue="0.13270000000000001" maxValue="0.45040000000000002"/>
    </cacheField>
    <cacheField name="CFO/PAT" numFmtId="43">
      <sharedItems containsSemiMixedTypes="0" containsString="0" containsNumber="1" minValue="-2.2200000000000002" maxValue="1.51"/>
    </cacheField>
    <cacheField name="1-CFO/PAT" numFmtId="43">
      <sharedItems containsSemiMixedTypes="0" containsString="0" containsNumber="1" minValue="2.0000000000000018E-2" maxValue="100"/>
    </cacheField>
    <cacheField name="Debt Equity" numFmtId="43">
      <sharedItems containsSemiMixedTypes="0" containsString="0" containsNumber="1" minValue="0" maxValue="0.37"/>
    </cacheField>
    <cacheField name="0-Debt Equity" numFmtId="43">
      <sharedItems containsSemiMixedTypes="0" containsString="0" containsNumber="1" minValue="0" maxValue="0.37"/>
    </cacheField>
    <cacheField name="Current Price" numFmtId="164">
      <sharedItems containsSemiMixedTypes="0" containsString="0" containsNumber="1" minValue="322.60000000000002" maxValue="2486.15" count="4">
        <n v="2486.15"/>
        <n v="468.5"/>
        <n v="549.5"/>
        <n v="322.60000000000002"/>
      </sharedItems>
    </cacheField>
    <cacheField name="52 Week High" numFmtId="164">
      <sharedItems containsSemiMixedTypes="0" containsString="0" containsNumber="1" containsInteger="1" minValue="750" maxValue="3125"/>
    </cacheField>
    <cacheField name="52 Week Low" numFmtId="164">
      <sharedItems containsSemiMixedTypes="0" containsString="0" containsNumber="1" minValue="251" maxValue="1580"/>
    </cacheField>
    <cacheField name="D High" numFmtId="10">
      <sharedItems containsSemiMixedTypes="0" containsString="0" containsNumber="1" minValue="0.25696357822335736" maxValue="1.4674493062966916"/>
    </cacheField>
    <cacheField name="P/B Score" numFmtId="43">
      <sharedItems containsSemiMixedTypes="0" containsString="0" containsNumber="1" containsInteger="1" minValue="0" maxValue="4"/>
    </cacheField>
    <cacheField name="Promoter Holding Score" numFmtId="43">
      <sharedItems containsSemiMixedTypes="0" containsString="0" containsNumber="1" containsInteger="1" minValue="0" maxValue="3"/>
    </cacheField>
    <cacheField name="P/E-P/C Score" numFmtId="43">
      <sharedItems containsSemiMixedTypes="0" containsString="0" containsNumber="1" containsInteger="1" minValue="0" maxValue="4"/>
    </cacheField>
    <cacheField name="ROE Score" numFmtId="43">
      <sharedItems containsSemiMixedTypes="0" containsString="0" containsNumber="1" containsInteger="1" minValue="1" maxValue="4"/>
    </cacheField>
    <cacheField name="ROCE Score" numFmtId="43">
      <sharedItems containsSemiMixedTypes="0" containsString="0" containsNumber="1" containsInteger="1" minValue="1" maxValue="4"/>
    </cacheField>
    <cacheField name="1-CFO/PAT Score" numFmtId="43">
      <sharedItems containsSemiMixedTypes="0" containsString="0" containsNumber="1" containsInteger="1" minValue="0" maxValue="4"/>
    </cacheField>
    <cacheField name="0-Debt Equity Score" numFmtId="43">
      <sharedItems containsSemiMixedTypes="0" containsString="0" containsNumber="1" containsInteger="1" minValue="0" maxValue="4"/>
    </cacheField>
    <cacheField name="Total" numFmtId="9">
      <sharedItems containsSemiMixedTypes="0" containsString="0" containsNumber="1" minValue="0.5" maxValue="0.6071428571428571"/>
    </cacheField>
    <cacheField name="Risk" numFmtId="0">
      <sharedItems count="2">
        <s v="High"/>
        <s v="Medium"/>
      </sharedItems>
    </cacheField>
    <cacheField name="Amount to Invest" numFmtId="44">
      <sharedItems containsSemiMixedTypes="0" containsString="0" containsNumber="1" containsInteger="1" minValue="0" maxValue="1000" count="2">
        <n v="1000"/>
        <n v="0"/>
      </sharedItems>
    </cacheField>
    <cacheField name="# Shares" numFmtId="43">
      <sharedItems containsSemiMixedTypes="0" containsString="0" containsNumber="1" minValue="0" maxValue="3.0998140111593302" count="4">
        <n v="0.40222834503147437"/>
        <n v="2.134471718249733"/>
        <n v="0"/>
        <n v="3.0998140111593302"/>
      </sharedItems>
    </cacheField>
    <cacheField name="Profit" numFmtId="44">
      <sharedItems containsSemiMixedTypes="0" containsString="0" containsNumber="1" minValue="-371.51821088832133" maxValue="743.64538127712319"/>
    </cacheField>
    <cacheField name="Profit %" numFmtId="10">
      <sharedItems containsSemiMixedTypes="0" containsString="0" containsNumber="1" minValue="-0.37151821088832132" maxValue="0.7436453812771232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
  <r>
    <x v="0"/>
    <n v="86.43"/>
    <n v="0.62760000000000005"/>
    <n v="84.8"/>
    <n v="81.37"/>
    <n v="3.4299999999999926"/>
    <n v="0.45300000000000001"/>
    <n v="0.70930000000000004"/>
    <n v="1.51"/>
    <n v="0.51"/>
    <n v="0.01"/>
    <n v="0.01"/>
    <x v="0"/>
    <n v="18301"/>
    <n v="10126.450000000001"/>
    <n v="5.6508574282060742E-2"/>
    <n v="0"/>
    <n v="2"/>
    <n v="4"/>
    <n v="4"/>
    <n v="4"/>
    <n v="1"/>
    <n v="3"/>
    <n v="0.6428571428571429"/>
    <x v="0"/>
    <x v="0"/>
    <n v="5.772955435670514E-2"/>
    <n v="-207.61856928845444"/>
    <n v="-0.20761856928845443"/>
  </r>
  <r>
    <x v="1"/>
    <n v="17.079999999999998"/>
    <n v="0.50629999999999997"/>
    <n v="51.38"/>
    <n v="58.91"/>
    <n v="-7.529999999999994"/>
    <n v="0.30320000000000003"/>
    <n v="0.44359999999999999"/>
    <n v="0.95"/>
    <n v="5.0000000000000044E-2"/>
    <n v="0.04"/>
    <n v="0.04"/>
    <x v="1"/>
    <n v="3443.9"/>
    <n v="2100.5500000000002"/>
    <n v="0.21636703987567543"/>
    <n v="3"/>
    <n v="0"/>
    <n v="4"/>
    <n v="4"/>
    <n v="4"/>
    <n v="4"/>
    <n v="3"/>
    <n v="0.7857142857142857"/>
    <x v="1"/>
    <x v="0"/>
    <n v="0.35319464556917313"/>
    <n v="94.73033588810793"/>
    <n v="9.4730335888107933E-2"/>
  </r>
  <r>
    <x v="2"/>
    <n v="10.19"/>
    <n v="0.72460000000000002"/>
    <n v="39.130000000000003"/>
    <n v="67.39"/>
    <n v="-28.259999999999998"/>
    <n v="0.25929999999999997"/>
    <n v="0.3992"/>
    <n v="0.9"/>
    <n v="9.9999999999999978E-2"/>
    <n v="0"/>
    <n v="0"/>
    <x v="2"/>
    <n v="11290"/>
    <n v="6905"/>
    <n v="4.987608858387621E-2"/>
    <n v="3"/>
    <n v="4"/>
    <n v="4"/>
    <n v="4"/>
    <n v="4"/>
    <n v="4"/>
    <n v="4"/>
    <n v="0.9642857142857143"/>
    <x v="1"/>
    <x v="0"/>
    <n v="9.2991681894054573E-2"/>
    <n v="-55.111520274511406"/>
    <n v="-5.5111520274511404E-2"/>
  </r>
  <r>
    <x v="3"/>
    <n v="10.17"/>
    <n v="0.59599999999999997"/>
    <n v="31.56"/>
    <n v="38.07"/>
    <n v="-6.5100000000000016"/>
    <n v="0.41220000000000001"/>
    <n v="0.41510000000000002"/>
    <n v="0.93"/>
    <n v="6.9999999999999951E-2"/>
    <n v="0.12"/>
    <n v="0.12"/>
    <x v="3"/>
    <n v="403.7"/>
    <n v="233.8"/>
    <n v="0.34477015323117921"/>
    <n v="3"/>
    <n v="1"/>
    <n v="4"/>
    <n v="4"/>
    <n v="4"/>
    <n v="4"/>
    <n v="2"/>
    <n v="0.7857142857142857"/>
    <x v="1"/>
    <x v="0"/>
    <n v="3.3311125916055966"/>
    <n v="210.29313790806131"/>
    <n v="0.21029313790806131"/>
  </r>
  <r>
    <x v="4"/>
    <n v="17.27"/>
    <n v="0.4194"/>
    <n v="62.79"/>
    <n v="48.02"/>
    <n v="14.769999999999996"/>
    <n v="0.28660000000000002"/>
    <n v="0.43940000000000001"/>
    <n v="2.3199999999999998"/>
    <n v="1.3199999999999998"/>
    <n v="0"/>
    <n v="0"/>
    <x v="4"/>
    <n v="1973.05"/>
    <n v="1078.05"/>
    <n v="0.27388062110598188"/>
    <n v="3"/>
    <n v="0"/>
    <n v="3"/>
    <n v="4"/>
    <n v="4"/>
    <n v="0"/>
    <n v="4"/>
    <n v="0.6428571428571429"/>
    <x v="0"/>
    <x v="0"/>
    <n v="0.64564031378119258"/>
    <n v="-44.589534170513609"/>
    <n v="-4.458953417051361E-2"/>
  </r>
  <r>
    <x v="5"/>
    <n v="10.119999999999999"/>
    <n v="0.73580000000000001"/>
    <n v="67.599999999999994"/>
    <n v="22.45"/>
    <n v="45.149999999999991"/>
    <n v="0.1963"/>
    <n v="0.14119999999999999"/>
    <n v="2.94"/>
    <n v="1.94"/>
    <n v="1.28"/>
    <n v="1.28"/>
    <x v="5"/>
    <n v="774.9"/>
    <n v="375.05"/>
    <n v="0.48833189282627487"/>
    <n v="3"/>
    <n v="4"/>
    <n v="0"/>
    <n v="2"/>
    <n v="1"/>
    <n v="0"/>
    <n v="0"/>
    <n v="0.35714285714285715"/>
    <x v="2"/>
    <x v="1"/>
    <n v="0"/>
    <n v="0"/>
    <n v="0"/>
  </r>
  <r>
    <x v="6"/>
    <n v="2.42"/>
    <n v="0.98870000000000002"/>
    <n v="1.01"/>
    <n v="32.65"/>
    <n v="-31.639999999999997"/>
    <n v="0"/>
    <n v="3.39E-2"/>
    <n v="-1.1499999999999999"/>
    <n v="100"/>
    <n v="-1.64"/>
    <n v="100"/>
    <x v="6"/>
    <n v="264.60000000000002"/>
    <n v="3.28"/>
    <n v="0"/>
    <n v="2"/>
    <n v="4"/>
    <n v="4"/>
    <n v="0"/>
    <n v="0"/>
    <n v="0"/>
    <n v="0"/>
    <n v="0.35714285714285715"/>
    <x v="2"/>
    <x v="0"/>
    <n v="3.7792894935752077"/>
    <n v="-500"/>
    <n v="-0.5"/>
  </r>
  <r>
    <x v="7"/>
    <n v="2.2599999999999998"/>
    <n v="0.67720000000000002"/>
    <n v="57.37"/>
    <n v="51.82"/>
    <n v="5.5499999999999972"/>
    <n v="8.4000000000000005E-2"/>
    <n v="7.0800000000000002E-2"/>
    <n v="0.72"/>
    <n v="0.28000000000000003"/>
    <n v="0.46"/>
    <n v="0.46"/>
    <x v="7"/>
    <n v="1858.8"/>
    <n v="1070"/>
    <n v="0.38468414779499394"/>
    <n v="2"/>
    <n v="3"/>
    <n v="4"/>
    <n v="0"/>
    <n v="0"/>
    <n v="3"/>
    <n v="0"/>
    <n v="0.42857142857142855"/>
    <x v="2"/>
    <x v="0"/>
    <n v="0.74493444576877232"/>
    <n v="-307.65792610250304"/>
    <n v="-0.30765792610250303"/>
  </r>
  <r>
    <x v="8"/>
    <n v="1.68"/>
    <n v="0.59130000000000005"/>
    <n v="9.43"/>
    <n v="-45.08"/>
    <n v="100"/>
    <n v="0.2006"/>
    <n v="0.20830000000000001"/>
    <n v="0.67"/>
    <n v="0.32999999999999996"/>
    <n v="0.52"/>
    <n v="0.52"/>
    <x v="8"/>
    <n v="365"/>
    <n v="91.25"/>
    <n v="0.6681901279707495"/>
    <n v="3"/>
    <n v="1"/>
    <n v="0"/>
    <n v="3"/>
    <n v="3"/>
    <n v="2"/>
    <n v="0"/>
    <n v="0.42857142857142855"/>
    <x v="2"/>
    <x v="1"/>
    <n v="0"/>
    <n v="0"/>
    <n v="0"/>
  </r>
  <r>
    <x v="9"/>
    <n v="5.94"/>
    <n v="0.61870000000000003"/>
    <n v="76.290000000000006"/>
    <n v="-407.78"/>
    <n v="100"/>
    <n v="0.2019"/>
    <n v="0.1799"/>
    <n v="-0.16400000000000001"/>
    <n v="100"/>
    <n v="1.06"/>
    <n v="1.06"/>
    <x v="9"/>
    <n v="750"/>
    <n v="330"/>
    <n v="0.29533678756476683"/>
    <n v="0"/>
    <n v="2"/>
    <n v="0"/>
    <n v="3"/>
    <n v="2"/>
    <n v="0"/>
    <n v="0"/>
    <n v="0.25"/>
    <x v="2"/>
    <x v="0"/>
    <n v="1.7271157167530224"/>
    <n v="-352.33160621761658"/>
    <n v="-0.35233160621761656"/>
  </r>
  <r>
    <x v="10"/>
    <n v="10.87"/>
    <n v="0.51770000000000005"/>
    <n v="31.75"/>
    <n v="39.04"/>
    <n v="-7.2899999999999991"/>
    <n v="0.1002"/>
    <n v="0.14330000000000001"/>
    <n v="1.35"/>
    <n v="0.35000000000000009"/>
    <n v="0"/>
    <n v="0"/>
    <x v="10"/>
    <n v="738.1"/>
    <n v="350"/>
    <n v="0.47207818109293986"/>
    <n v="3"/>
    <n v="0"/>
    <n v="4"/>
    <n v="1"/>
    <n v="1"/>
    <n v="2"/>
    <n v="4"/>
    <n v="0.5357142857142857"/>
    <x v="0"/>
    <x v="1"/>
    <n v="0"/>
    <n v="0"/>
    <n v="0"/>
  </r>
  <r>
    <x v="11"/>
    <n v="5.25"/>
    <n v="0.68430000000000002"/>
    <n v="37.270000000000003"/>
    <n v="13.39"/>
    <n v="23.880000000000003"/>
    <n v="0.1757"/>
    <n v="0.1759"/>
    <n v="6.71"/>
    <n v="5.71"/>
    <n v="1.03"/>
    <n v="1.03"/>
    <x v="11"/>
    <n v="869.9"/>
    <n v="485.05"/>
    <n v="0.43666391412056149"/>
    <n v="0"/>
    <n v="3"/>
    <n v="1"/>
    <n v="2"/>
    <n v="2"/>
    <n v="0"/>
    <n v="0"/>
    <n v="0.2857142857142857"/>
    <x v="2"/>
    <x v="1"/>
    <n v="0"/>
    <n v="0"/>
    <n v="0"/>
  </r>
  <r>
    <x v="12"/>
    <n v="1.45"/>
    <n v="0.66839999999999999"/>
    <n v="9.41"/>
    <n v="7.94"/>
    <n v="1.4699999999999998"/>
    <n v="0.14630000000000001"/>
    <n v="0.1489"/>
    <n v="1.31"/>
    <n v="0.31000000000000005"/>
    <n v="0.53"/>
    <n v="0.53"/>
    <x v="12"/>
    <n v="326.64999999999998"/>
    <n v="121.25"/>
    <n v="0.72739291380222093"/>
    <n v="3"/>
    <n v="3"/>
    <n v="4"/>
    <n v="1"/>
    <n v="1"/>
    <n v="2"/>
    <n v="0"/>
    <n v="0.5"/>
    <x v="0"/>
    <x v="1"/>
    <n v="0"/>
    <n v="0"/>
    <n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
  <r>
    <x v="0"/>
    <n v="10.52"/>
    <n v="0.56759999999999999"/>
    <n v="53.2"/>
    <n v="40.590000000000003"/>
    <n v="12.61"/>
    <n v="0.24879999999999999"/>
    <n v="0.2117"/>
    <n v="2.29"/>
    <n v="1.29"/>
    <n v="0.93"/>
    <n v="0.93"/>
    <x v="0"/>
    <n v="742.95"/>
    <n v="443"/>
    <n v="0.40245398773006141"/>
    <n v="3"/>
    <n v="1"/>
    <n v="3"/>
    <n v="3"/>
    <n v="3"/>
    <n v="0"/>
    <n v="0"/>
    <n v="0.4642857142857143"/>
    <x v="0"/>
    <x v="0"/>
    <x v="0"/>
    <n v="-298.77300613496925"/>
    <n v="-0.29877300613496927"/>
  </r>
  <r>
    <x v="1"/>
    <n v="7.07"/>
    <n v="0.57720000000000005"/>
    <n v="54.28"/>
    <n v="38.39"/>
    <n v="15.89"/>
    <n v="0.1918"/>
    <n v="0.28460000000000002"/>
    <n v="2"/>
    <n v="1"/>
    <n v="7.0000000000000007E-2"/>
    <n v="7.0000000000000007E-2"/>
    <x v="1"/>
    <n v="1483.55"/>
    <n v="758.75"/>
    <n v="0.58974496356622363"/>
    <n v="0"/>
    <n v="1"/>
    <n v="2"/>
    <n v="2"/>
    <n v="4"/>
    <n v="0"/>
    <n v="3"/>
    <n v="0.42857142857142855"/>
    <x v="0"/>
    <x v="0"/>
    <x v="1"/>
    <n v="-205.12751821688818"/>
    <n v="-0.20512751821688818"/>
  </r>
  <r>
    <x v="2"/>
    <n v="22.55"/>
    <n v="0.4032"/>
    <n v="22.55"/>
    <n v="14.18"/>
    <n v="8.370000000000001"/>
    <n v="0.15090000000000001"/>
    <n v="0.188"/>
    <n v="1.36"/>
    <n v="0.3600000000000001"/>
    <n v="0.25"/>
    <n v="0.25"/>
    <x v="2"/>
    <n v="439"/>
    <n v="220"/>
    <n v="0.33902699405215792"/>
    <n v="2"/>
    <n v="0"/>
    <n v="4"/>
    <n v="2"/>
    <n v="2"/>
    <n v="2"/>
    <n v="1"/>
    <n v="0.4642857142857143"/>
    <x v="0"/>
    <x v="0"/>
    <x v="2"/>
    <n v="-330.48650297392106"/>
    <n v="-0.33048650297392107"/>
  </r>
  <r>
    <x v="3"/>
    <n v="3.7"/>
    <n v="0"/>
    <n v="15.43"/>
    <n v="18.37"/>
    <n v="-2.9400000000000013"/>
    <n v="0.23799999999999999"/>
    <n v="0.34389999999999998"/>
    <n v="1.05"/>
    <n v="5.0000000000000044E-2"/>
    <n v="0"/>
    <n v="0"/>
    <x v="3"/>
    <n v="309.85000000000002"/>
    <n v="134.94999999999999"/>
    <n v="0.64726209463051587"/>
    <n v="1"/>
    <n v="0"/>
    <n v="4"/>
    <n v="3"/>
    <n v="4"/>
    <n v="4"/>
    <n v="4"/>
    <n v="0.7142857142857143"/>
    <x v="1"/>
    <x v="0"/>
    <x v="3"/>
    <n v="482.53588516746419"/>
    <n v="0.48253588516746421"/>
  </r>
  <r>
    <x v="4"/>
    <n v="2.2599999999999998"/>
    <n v="0.72189999999999999"/>
    <n v="13.24"/>
    <n v="14.43"/>
    <n v="-1.1899999999999995"/>
    <n v="0.1356"/>
    <n v="0.1966"/>
    <n v="1.73"/>
    <n v="0.73"/>
    <n v="0.02"/>
    <n v="0.02"/>
    <x v="4"/>
    <n v="1480.4"/>
    <n v="675.3"/>
    <n v="0.47384140574443728"/>
    <n v="2"/>
    <n v="4"/>
    <n v="4"/>
    <n v="1"/>
    <n v="2"/>
    <n v="0"/>
    <n v="3"/>
    <n v="0.5714285714285714"/>
    <x v="2"/>
    <x v="1"/>
    <x v="4"/>
    <n v="0"/>
    <n v="0"/>
  </r>
  <r>
    <x v="5"/>
    <n v="6.8"/>
    <n v="0.3216"/>
    <n v="17.079999999999998"/>
    <n v="16.87"/>
    <n v="0.2099999999999973"/>
    <n v="0.36409999999999998"/>
    <n v="0.56279999999999997"/>
    <n v="1.24"/>
    <n v="0.24"/>
    <n v="0"/>
    <n v="0"/>
    <x v="5"/>
    <n v="4856.46"/>
    <n v="2550"/>
    <n v="0.53210297179632782"/>
    <n v="0"/>
    <n v="0"/>
    <n v="4"/>
    <n v="4"/>
    <n v="4"/>
    <n v="3"/>
    <n v="4"/>
    <n v="0.6785714285714286"/>
    <x v="2"/>
    <x v="1"/>
    <x v="4"/>
    <n v="0"/>
    <n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
  <r>
    <x v="0"/>
    <n v="2.95"/>
    <n v="0.42380000000000001"/>
    <n v="0.16500000000000001"/>
    <n v="0.16500000000000001"/>
    <n v="3.8999999999999998E-3"/>
    <n v="4.0500000000000001E-2"/>
    <n v="0.1711"/>
    <n v="0.2447"/>
    <x v="0"/>
    <n v="1304.0999999999999"/>
    <n v="738.9"/>
    <n v="0.48016571136711877"/>
    <n v="2"/>
    <n v="3"/>
    <n v="4"/>
    <n v="4"/>
    <n v="4"/>
    <n v="4"/>
    <n v="4"/>
    <n v="3"/>
    <n v="0.875"/>
    <x v="0"/>
    <x v="0"/>
    <x v="0"/>
    <n v="664.298280460814"/>
    <n v="0.33214914023040698"/>
  </r>
  <r>
    <x v="1"/>
    <n v="2.16"/>
    <n v="0.40749999999999997"/>
    <n v="0.18959999999999999"/>
    <n v="3.8699999999999998E-2"/>
    <n v="5.7999999999999996E-3"/>
    <n v="8.1000000000000003E-2"/>
    <n v="0.29199999999999998"/>
    <n v="0.3342"/>
    <x v="1"/>
    <n v="650"/>
    <n v="152.35"/>
    <n v="2.278688524590164"/>
    <n v="2"/>
    <n v="3"/>
    <n v="4"/>
    <n v="1"/>
    <n v="4"/>
    <n v="4"/>
    <n v="4"/>
    <n v="4"/>
    <n v="0.8125"/>
    <x v="1"/>
    <x v="0"/>
    <x v="1"/>
    <n v="2918.032786885246"/>
    <n v="1.459016393442623"/>
  </r>
  <r>
    <x v="2"/>
    <n v="4.5999999999999996"/>
    <n v="0.52500000000000002"/>
    <n v="0.12180000000000001"/>
    <n v="0.12180000000000001"/>
    <n v="1.6899999999999998E-2"/>
    <n v="3.73E-2"/>
    <n v="0.17449999999999999"/>
    <n v="0.21199999999999999"/>
    <x v="2"/>
    <n v="1739.95"/>
    <n v="1000.35"/>
    <n v="0.53930198611049696"/>
    <n v="0"/>
    <n v="4"/>
    <n v="3"/>
    <n v="4"/>
    <n v="3"/>
    <n v="3"/>
    <n v="4"/>
    <n v="3"/>
    <n v="0.75"/>
    <x v="0"/>
    <x v="0"/>
    <x v="2"/>
    <n v="770.7435749988947"/>
    <n v="0.38537178749944734"/>
  </r>
  <r>
    <x v="3"/>
    <n v="0.89"/>
    <n v="0.43140000000000001"/>
    <n v="0.13250000000000001"/>
    <n v="1.32E-2"/>
    <n v="1.21E-2"/>
    <n v="3.4000000000000002E-2"/>
    <n v="0.1416"/>
    <n v="0.28589999999999999"/>
    <x v="3"/>
    <n v="1822.15"/>
    <n v="235.6"/>
    <n v="3.1888505747126441"/>
    <n v="4"/>
    <n v="3"/>
    <n v="3"/>
    <n v="0"/>
    <n v="3"/>
    <n v="3"/>
    <n v="3"/>
    <n v="4"/>
    <n v="0.71875"/>
    <x v="2"/>
    <x v="1"/>
    <x v="3"/>
    <n v="1094.4252873563219"/>
    <n v="1.0944252873563218"/>
  </r>
  <r>
    <x v="4"/>
    <n v="0.6"/>
    <n v="0.24979999999999999"/>
    <n v="9.8900000000000002E-2"/>
    <n v="0.12189999999999999"/>
    <n v="6.8999999999999999E-3"/>
    <n v="3.27E-2"/>
    <n v="0.1346"/>
    <n v="0.34870000000000001"/>
    <x v="4"/>
    <n v="716.55"/>
    <n v="105.6"/>
    <n v="4.7739726027397253"/>
    <n v="4"/>
    <n v="0"/>
    <n v="2"/>
    <n v="4"/>
    <n v="4"/>
    <n v="3"/>
    <n v="2"/>
    <n v="4"/>
    <n v="0.71875"/>
    <x v="1"/>
    <x v="1"/>
    <x v="4"/>
    <n v="3330.4794520547939"/>
    <n v="3.330479452054794"/>
  </r>
  <r>
    <x v="5"/>
    <n v="0.85"/>
    <n v="0.23949999999999999"/>
    <n v="0.11990000000000001"/>
    <n v="9.9000000000000008E-3"/>
    <n v="6.4999999999999997E-3"/>
    <n v="3.3599999999999998E-2"/>
    <n v="0.1681"/>
    <n v="0.15890000000000001"/>
    <x v="5"/>
    <n v="244.6"/>
    <n v="73.25"/>
    <n v="1.8793407886992346"/>
    <n v="4"/>
    <n v="0"/>
    <n v="3"/>
    <n v="0"/>
    <n v="4"/>
    <n v="3"/>
    <n v="4"/>
    <n v="2"/>
    <n v="0.625"/>
    <x v="2"/>
    <x v="2"/>
    <x v="5"/>
    <n v="0"/>
    <n v="0"/>
  </r>
  <r>
    <x v="6"/>
    <n v="1.73"/>
    <n v="0.25219999999999998"/>
    <n v="0.1517"/>
    <n v="1.6E-2"/>
    <n v="1.8100000000000002E-2"/>
    <n v="3.7199999999999997E-2"/>
    <n v="0.1555"/>
    <n v="0.1731"/>
    <x v="6"/>
    <n v="249"/>
    <n v="110.1"/>
    <n v="0.97305863708399365"/>
    <n v="3"/>
    <n v="0"/>
    <n v="4"/>
    <n v="0"/>
    <n v="3"/>
    <n v="3"/>
    <n v="3"/>
    <n v="2"/>
    <n v="0.5625"/>
    <x v="2"/>
    <x v="2"/>
    <x v="5"/>
    <n v="0"/>
    <n v="0"/>
  </r>
  <r>
    <x v="7"/>
    <n v="1.98"/>
    <n v="0.49609999999999999"/>
    <n v="3.2399999999999998E-2"/>
    <n v="3.5999999999999999E-3"/>
    <n v="2.29E-2"/>
    <n v="3.09E-2"/>
    <n v="0.16889999999999999"/>
    <n v="0.1449"/>
    <x v="7"/>
    <n v="552.4"/>
    <n v="269"/>
    <n v="0.61473253434668207"/>
    <n v="3"/>
    <n v="4"/>
    <n v="1"/>
    <n v="0"/>
    <n v="2"/>
    <n v="3"/>
    <n v="4"/>
    <n v="1"/>
    <n v="0.5625"/>
    <x v="0"/>
    <x v="0"/>
    <x v="6"/>
    <n v="906.51856182402776"/>
    <n v="0.4532592809120139"/>
  </r>
  <r>
    <x v="8"/>
    <n v="1.6"/>
    <n v="0.3306"/>
    <n v="6.5299999999999997E-2"/>
    <n v="5.0000000000000001E-3"/>
    <n v="1.8599999999999998E-2"/>
    <n v="2.7400000000000001E-2"/>
    <n v="0.16500000000000001"/>
    <n v="0.1865"/>
    <x v="8"/>
    <n v="268"/>
    <n v="5.55"/>
    <n v="9.9164969450101825"/>
    <n v="3"/>
    <n v="1"/>
    <n v="2"/>
    <n v="0"/>
    <n v="3"/>
    <n v="2"/>
    <n v="4"/>
    <n v="2"/>
    <n v="0.53125"/>
    <x v="2"/>
    <x v="1"/>
    <x v="7"/>
    <n v="4458.2484725050917"/>
    <n v="4.4582484725050922"/>
  </r>
  <r>
    <x v="9"/>
    <n v="1.39"/>
    <n v="0.44379999999999997"/>
    <n v="7.1900000000000006E-2"/>
    <n v="6.3E-3"/>
    <n v="2.06E-2"/>
    <n v="2.9499999999999998E-2"/>
    <n v="0.15840000000000001"/>
    <n v="0.12540000000000001"/>
    <x v="9"/>
    <n v="826.55"/>
    <n v="285"/>
    <n v="0.95332624364882435"/>
    <n v="3"/>
    <n v="3"/>
    <n v="2"/>
    <n v="0"/>
    <n v="2"/>
    <n v="2"/>
    <n v="3"/>
    <n v="1"/>
    <n v="0.5"/>
    <x v="0"/>
    <x v="2"/>
    <x v="5"/>
    <n v="0"/>
    <n v="0"/>
  </r>
  <r>
    <x v="10"/>
    <n v="0.76"/>
    <n v="0.1293"/>
    <n v="-0.1164"/>
    <n v="-1.32E-2"/>
    <n v="1.2699999999999999E-2"/>
    <n v="2.07E-2"/>
    <n v="0.1547"/>
    <n v="0.65439999999999998"/>
    <x v="10"/>
    <n v="54"/>
    <n v="17.75"/>
    <n v="1.2453222453222452"/>
    <n v="4"/>
    <n v="0"/>
    <n v="0"/>
    <n v="0"/>
    <n v="3"/>
    <n v="2"/>
    <n v="3"/>
    <n v="4"/>
    <n v="0.5"/>
    <x v="2"/>
    <x v="2"/>
    <x v="5"/>
    <n v="0"/>
    <n v="0"/>
  </r>
  <r>
    <x v="11"/>
    <n v="0.81"/>
    <n v="0.44569999999999999"/>
    <n v="4.4000000000000003E-3"/>
    <n v="2.0000000000000001E-4"/>
    <n v="3.0099999999999998E-2"/>
    <n v="2.6200000000000001E-2"/>
    <n v="0.1285"/>
    <n v="0.12970000000000001"/>
    <x v="11"/>
    <n v="373.7"/>
    <n v="173.6"/>
    <n v="0.98144220572640506"/>
    <n v="4"/>
    <n v="3"/>
    <n v="1"/>
    <n v="0"/>
    <n v="1"/>
    <n v="2"/>
    <n v="2"/>
    <n v="1"/>
    <n v="0.4375"/>
    <x v="0"/>
    <x v="1"/>
    <x v="8"/>
    <n v="783.29798515376456"/>
    <n v="0.78329798515376459"/>
  </r>
  <r>
    <x v="12"/>
    <n v="0.32"/>
    <n v="0.35039999999999999"/>
    <n v="9.7000000000000003E-3"/>
    <n v="6.0000000000000001E-3"/>
    <n v="3.3000000000000002E-2"/>
    <n v="2.52E-2"/>
    <n v="0.13420000000000001"/>
    <n v="9.6799999999999997E-2"/>
    <x v="12"/>
    <n v="143.6"/>
    <n v="47"/>
    <n v="1.898082744702321"/>
    <n v="4"/>
    <n v="2"/>
    <n v="1"/>
    <n v="0"/>
    <n v="1"/>
    <n v="2"/>
    <n v="2"/>
    <n v="0"/>
    <n v="0.375"/>
    <x v="0"/>
    <x v="2"/>
    <x v="5"/>
    <n v="0"/>
    <n v="0"/>
  </r>
  <r>
    <x v="13"/>
    <n v="0.37"/>
    <n v="0.46210000000000001"/>
    <n v="-0.36730000000000002"/>
    <n v="-1.72E-2"/>
    <n v="0.38990000000000002"/>
    <n v="2.23E-2"/>
    <n v="9.6100000000000005E-2"/>
    <n v="-6.4000000000000001E-2"/>
    <x v="13"/>
    <n v="36"/>
    <n v="10.199999999999999"/>
    <n v="1.8015564202334631"/>
    <n v="4"/>
    <n v="4"/>
    <n v="0"/>
    <n v="0"/>
    <n v="0"/>
    <n v="2"/>
    <n v="0"/>
    <n v="0"/>
    <n v="0.3125"/>
    <x v="2"/>
    <x v="2"/>
    <x v="5"/>
    <n v="0"/>
    <n v="0"/>
  </r>
  <r>
    <x v="14"/>
    <n v="0.79"/>
    <n v="0.4254"/>
    <n v="-0.64270000000000005"/>
    <n v="-4.5100000000000001E-2"/>
    <n v="0.1011"/>
    <n v="2.2599999999999999E-2"/>
    <n v="0.1158"/>
    <n v="-0.14530000000000001"/>
    <x v="14"/>
    <n v="44.3"/>
    <n v="17.5"/>
    <n v="1.1349397590361445"/>
    <n v="4"/>
    <n v="3"/>
    <n v="0"/>
    <n v="0"/>
    <n v="0"/>
    <n v="2"/>
    <n v="1"/>
    <n v="0"/>
    <n v="0.3125"/>
    <x v="2"/>
    <x v="2"/>
    <x v="5"/>
    <n v="0"/>
    <n v="0"/>
  </r>
  <r>
    <x v="15"/>
    <n v="0.57999999999999996"/>
    <n v="0.4345"/>
    <n v="-0.45679999999999998"/>
    <n v="-1.9400000000000001E-2"/>
    <n v="9.7199999999999995E-2"/>
    <n v="2.0899999999999998E-2"/>
    <n v="0.107"/>
    <n v="-7.5899999999999995E-2"/>
    <x v="15"/>
    <n v="22.2"/>
    <n v="8.4"/>
    <n v="1.2356495468277946"/>
    <n v="4"/>
    <n v="3"/>
    <n v="0"/>
    <n v="0"/>
    <n v="0"/>
    <n v="2"/>
    <n v="1"/>
    <n v="0"/>
    <n v="0.3125"/>
    <x v="2"/>
    <x v="2"/>
    <x v="5"/>
    <n v="0"/>
    <n v="0"/>
  </r>
  <r>
    <x v="16"/>
    <n v="0.74"/>
    <n v="0.2918"/>
    <n v="1.18E-2"/>
    <n v="5.0000000000000001E-4"/>
    <n v="5.3699999999999998E-2"/>
    <n v="2.24E-2"/>
    <n v="0.11899999999999999"/>
    <n v="0.1206"/>
    <x v="16"/>
    <n v="296.5"/>
    <n v="73.849999999999994"/>
    <n v="2.4516880093131546"/>
    <n v="4"/>
    <n v="0"/>
    <n v="1"/>
    <n v="0"/>
    <n v="0"/>
    <n v="2"/>
    <n v="1"/>
    <n v="1"/>
    <n v="0.28125"/>
    <x v="2"/>
    <x v="2"/>
    <x v="5"/>
    <n v="0"/>
    <n v="0"/>
  </r>
  <r>
    <x v="17"/>
    <n v="0.48"/>
    <n v="0.42159999999999997"/>
    <n v="-0.25380000000000003"/>
    <n v="-1.29E-2"/>
    <n v="6.5600000000000006E-2"/>
    <n v="2.3300000000000001E-2"/>
    <n v="9.7299999999999998E-2"/>
    <n v="5.6500000000000002E-2"/>
    <x v="17"/>
    <n v="92.9"/>
    <n v="28.75"/>
    <n v="1.987138263665595"/>
    <n v="4"/>
    <n v="3"/>
    <n v="0"/>
    <n v="0"/>
    <n v="0"/>
    <n v="2"/>
    <n v="0"/>
    <n v="0"/>
    <n v="0.28125"/>
    <x v="1"/>
    <x v="2"/>
    <x v="5"/>
    <n v="0"/>
    <n v="0"/>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
  <r>
    <x v="0"/>
    <n v="6.1"/>
    <n v="0.74860000000000004"/>
    <n v="33.369999999999997"/>
    <n v="12.96"/>
    <n v="20.409999999999997"/>
    <n v="2.2599999999999999E-2"/>
    <n v="4.3999999999999997E-2"/>
    <n v="5.53"/>
    <n v="4.53"/>
    <n v="0.35000000000000003"/>
    <n v="0.35000000000000003"/>
    <x v="0"/>
    <n v="1911"/>
    <n v="765.05"/>
    <n v="0.78740120656596346"/>
    <n v="0"/>
    <n v="4"/>
    <n v="1"/>
    <n v="0"/>
    <n v="0"/>
    <n v="0"/>
    <n v="0"/>
    <n v="0.17857142857142858"/>
    <x v="0"/>
    <x v="0"/>
    <x v="0"/>
    <n v="-106.29939671701827"/>
    <n v="-0.10629939671701827"/>
  </r>
  <r>
    <x v="1"/>
    <n v="0"/>
    <n v="0.59960000000000002"/>
    <n v="0"/>
    <n v="8.64"/>
    <n v="100"/>
    <n v="0"/>
    <n v="-0.13830000000000001"/>
    <n v="0.82000000000000006"/>
    <n v="0.17999999999999994"/>
    <n v="-3.12"/>
    <n v="100"/>
    <x v="1"/>
    <n v="156.9"/>
    <n v="30.8"/>
    <n v="2.2283950617283952"/>
    <n v="4"/>
    <n v="1"/>
    <n v="0"/>
    <n v="0"/>
    <n v="0"/>
    <n v="3"/>
    <n v="0"/>
    <n v="0.2857142857142857"/>
    <x v="0"/>
    <x v="1"/>
    <x v="1"/>
    <n v="0"/>
    <n v="0"/>
  </r>
  <r>
    <x v="2"/>
    <n v="2.25"/>
    <n v="0.39090000000000003"/>
    <n v="24.23"/>
    <n v="13.46"/>
    <n v="10.77"/>
    <n v="5.74E-2"/>
    <n v="8.9700000000000002E-2"/>
    <n v="-1.002"/>
    <n v="100"/>
    <n v="0.53"/>
    <n v="0.53"/>
    <x v="2"/>
    <n v="164.1"/>
    <n v="69.05"/>
    <n v="1.0385093167701862"/>
    <n v="2"/>
    <n v="0"/>
    <n v="3"/>
    <n v="0"/>
    <n v="0"/>
    <n v="0"/>
    <n v="0"/>
    <n v="0.17857142857142858"/>
    <x v="0"/>
    <x v="2"/>
    <x v="2"/>
    <n v="9.6273291925465667"/>
    <n v="1.9254658385093132E-2"/>
  </r>
  <r>
    <x v="3"/>
    <n v="1.48"/>
    <n v="0.35249999999999998"/>
    <n v="34.46"/>
    <n v="15.56"/>
    <n v="18.899999999999999"/>
    <n v="4.65E-2"/>
    <n v="7.7700000000000005E-2"/>
    <n v="2.59"/>
    <n v="1.5899999999999999"/>
    <n v="0.18"/>
    <n v="0.18"/>
    <x v="3"/>
    <n v="200"/>
    <n v="55.75"/>
    <n v="1.5220680958385877"/>
    <n v="3"/>
    <n v="0"/>
    <n v="2"/>
    <n v="0"/>
    <n v="0"/>
    <n v="0"/>
    <n v="2"/>
    <n v="0.25"/>
    <x v="1"/>
    <x v="2"/>
    <x v="3"/>
    <n v="445.77553593947039"/>
    <n v="0.89155107187894078"/>
  </r>
  <r>
    <x v="4"/>
    <n v="2.5299999999999998"/>
    <n v="0.71409999999999996"/>
    <n v="51.67"/>
    <n v="10.35"/>
    <n v="41.32"/>
    <n v="-8.0000000000000002E-3"/>
    <n v="7.9899999999999999E-2"/>
    <n v="-9.9600000000000009"/>
    <n v="100"/>
    <n v="1.0900000000000001"/>
    <n v="1.0900000000000001"/>
    <x v="4"/>
    <n v="395"/>
    <n v="164"/>
    <n v="1.1409214092140922"/>
    <n v="2"/>
    <n v="4"/>
    <n v="0"/>
    <n v="0"/>
    <n v="0"/>
    <n v="0"/>
    <n v="0"/>
    <n v="0.21428571428571427"/>
    <x v="0"/>
    <x v="2"/>
    <x v="4"/>
    <n v="35.230352303523034"/>
    <n v="7.0460704607046065E-2"/>
  </r>
  <r>
    <x v="5"/>
    <n v="0"/>
    <n v="0.67310000000000003"/>
    <n v="24.01"/>
    <n v="7.18"/>
    <n v="16.830000000000002"/>
    <n v="0.65310000000000001"/>
    <n v="0.14960000000000001"/>
    <n v="3.13"/>
    <n v="2.13"/>
    <n v="-1.6"/>
    <n v="100"/>
    <x v="5"/>
    <n v="252.45"/>
    <n v="122.55"/>
    <n v="0.78472958642629909"/>
    <n v="4"/>
    <n v="3"/>
    <n v="2"/>
    <n v="4"/>
    <n v="1"/>
    <n v="0"/>
    <n v="0"/>
    <n v="0.5"/>
    <x v="1"/>
    <x v="2"/>
    <x v="5"/>
    <n v="169.27359490986211"/>
    <n v="0.3385471898197242"/>
  </r>
  <r>
    <x v="6"/>
    <n v="4.7300000000000004"/>
    <n v="0.87029999999999996"/>
    <n v="48.04"/>
    <n v="-52.63"/>
    <n v="100"/>
    <n v="0.1258"/>
    <n v="0.17680000000000001"/>
    <n v="-0.16"/>
    <n v="100"/>
    <n v="0"/>
    <n v="0"/>
    <x v="6"/>
    <n v="552.4"/>
    <n v="269"/>
    <n v="0.61473253434668207"/>
    <n v="0"/>
    <n v="4"/>
    <n v="0"/>
    <n v="1"/>
    <n v="2"/>
    <n v="0"/>
    <n v="4"/>
    <n v="0.39285714285714285"/>
    <x v="1"/>
    <x v="1"/>
    <x v="1"/>
    <n v="0"/>
    <n v="0"/>
  </r>
  <r>
    <x v="7"/>
    <n v="2.17"/>
    <n v="0.31240000000000001"/>
    <n v="35.020000000000003"/>
    <n v="7.66"/>
    <n v="27.360000000000003"/>
    <n v="8.4500000000000006E-2"/>
    <n v="7.3300000000000004E-2"/>
    <n v="-1.91"/>
    <n v="100"/>
    <n v="1.72"/>
    <n v="1.72"/>
    <x v="7"/>
    <n v="84.5"/>
    <n v="17.2"/>
    <n v="3.6814404432132966"/>
    <n v="2"/>
    <n v="0"/>
    <n v="1"/>
    <n v="0"/>
    <n v="0"/>
    <n v="0"/>
    <n v="0"/>
    <n v="0.10714285714285714"/>
    <x v="0"/>
    <x v="1"/>
    <x v="1"/>
    <n v="0"/>
    <n v="0"/>
  </r>
  <r>
    <x v="8"/>
    <n v="1.86"/>
    <n v="0.74990000000000001"/>
    <n v="27.35"/>
    <n v="12.61"/>
    <n v="14.740000000000002"/>
    <n v="6.3899999999999998E-2"/>
    <n v="0.1008"/>
    <n v="7.74"/>
    <n v="6.74"/>
    <n v="0.5"/>
    <n v="0.5"/>
    <x v="8"/>
    <n v="229.5"/>
    <n v="82"/>
    <n v="0.93507588532883656"/>
    <n v="3"/>
    <n v="4"/>
    <n v="3"/>
    <n v="0"/>
    <n v="1"/>
    <n v="0"/>
    <n v="0"/>
    <n v="0.39285714285714285"/>
    <x v="1"/>
    <x v="1"/>
    <x v="1"/>
    <n v="0"/>
    <n v="0"/>
  </r>
  <r>
    <x v="9"/>
    <n v="1.97"/>
    <n v="0.75"/>
    <n v="14.49"/>
    <n v="10.97"/>
    <n v="3.5199999999999996"/>
    <n v="0.1212"/>
    <n v="0.18690000000000001"/>
    <n v="1.73"/>
    <n v="0.73"/>
    <n v="0"/>
    <n v="0"/>
    <x v="9"/>
    <n v="414"/>
    <n v="164.1"/>
    <n v="0.91666666666666663"/>
    <n v="3"/>
    <n v="4"/>
    <n v="4"/>
    <n v="1"/>
    <n v="2"/>
    <n v="0"/>
    <n v="4"/>
    <n v="0.6428571428571429"/>
    <x v="2"/>
    <x v="1"/>
    <x v="1"/>
    <n v="0"/>
    <n v="0"/>
  </r>
  <r>
    <x v="10"/>
    <n v="10.87"/>
    <n v="0.874"/>
    <n v="70.97"/>
    <n v="43.5"/>
    <n v="27.47"/>
    <n v="0.30399999999999999"/>
    <n v="0.4753"/>
    <n v="1.07"/>
    <n v="7.0000000000000062E-2"/>
    <n v="0"/>
    <n v="0"/>
    <x v="10"/>
    <n v="1995"/>
    <n v="625"/>
    <n v="0.47026309971258007"/>
    <n v="3"/>
    <n v="4"/>
    <n v="1"/>
    <n v="4"/>
    <n v="4"/>
    <n v="4"/>
    <n v="4"/>
    <n v="0.8571428571428571"/>
    <x v="2"/>
    <x v="3"/>
    <x v="6"/>
    <n v="646.47357948264414"/>
    <n v="0.32323678974132208"/>
  </r>
  <r>
    <x v="11"/>
    <n v="0.15"/>
    <n v="0.65600000000000003"/>
    <n v="27.62"/>
    <n v="5.09"/>
    <n v="22.53"/>
    <n v="4.1999999999999997E-3"/>
    <n v="1.46E-2"/>
    <n v="1.1499999999999999"/>
    <n v="0.14999999999999991"/>
    <n v="0.04"/>
    <n v="0.04"/>
    <x v="11"/>
    <n v="263.85000000000002"/>
    <n v="21.8"/>
    <n v="6.7602941176470592"/>
    <n v="4"/>
    <n v="3"/>
    <n v="1"/>
    <n v="0"/>
    <n v="0"/>
    <n v="0"/>
    <n v="3"/>
    <n v="0.39285714285714285"/>
    <x v="1"/>
    <x v="1"/>
    <x v="1"/>
    <n v="0"/>
    <n v="0"/>
  </r>
  <r>
    <x v="12"/>
    <n v="3.54"/>
    <n v="0.59570000000000001"/>
    <n v="43.72"/>
    <n v="10"/>
    <n v="33.72"/>
    <n v="0.19400000000000001"/>
    <n v="0.2092"/>
    <n v="1.47"/>
    <n v="0.47"/>
    <n v="0.17"/>
    <n v="0.17"/>
    <x v="12"/>
    <n v="266.95"/>
    <n v="108.1"/>
    <n v="0.63072693952351866"/>
    <n v="1"/>
    <n v="1"/>
    <n v="0"/>
    <n v="2"/>
    <n v="3"/>
    <n v="1"/>
    <n v="2"/>
    <n v="0.35714285714285715"/>
    <x v="1"/>
    <x v="2"/>
    <x v="7"/>
    <n v="111.52260232131945"/>
    <n v="0.22304520464263891"/>
  </r>
  <r>
    <x v="13"/>
    <n v="2.35"/>
    <n v="0.54800000000000004"/>
    <n v="50.64"/>
    <n v="-12.23"/>
    <n v="100"/>
    <n v="0.1195"/>
    <n v="0.16170000000000001"/>
    <n v="0.47"/>
    <n v="0.53"/>
    <n v="7.0000000000000007E-2"/>
    <n v="7.0000000000000007E-2"/>
    <x v="13"/>
    <n v="665.05"/>
    <n v="263.2"/>
    <n v="0.76335675460692032"/>
    <n v="2"/>
    <n v="0"/>
    <n v="0"/>
    <n v="1"/>
    <n v="2"/>
    <n v="1"/>
    <n v="3"/>
    <n v="0.32142857142857145"/>
    <x v="1"/>
    <x v="2"/>
    <x v="8"/>
    <n v="161.2587829775951"/>
    <n v="0.32251756595519021"/>
  </r>
  <r>
    <x v="14"/>
    <n v="4.09"/>
    <n v="0.58489999999999998"/>
    <n v="31.11"/>
    <n v="22.58"/>
    <n v="8.5300000000000011"/>
    <n v="0.1888"/>
    <n v="0.27660000000000001"/>
    <n v="-0.02"/>
    <n v="100"/>
    <n v="0.08"/>
    <n v="0.08"/>
    <x v="14"/>
    <n v="545.15"/>
    <n v="199"/>
    <n v="0.81868223519599659"/>
    <n v="0"/>
    <n v="1"/>
    <n v="4"/>
    <n v="2"/>
    <n v="4"/>
    <n v="0"/>
    <n v="3"/>
    <n v="0.5"/>
    <x v="2"/>
    <x v="2"/>
    <x v="9"/>
    <n v="318.40700583819847"/>
    <n v="0.63681401167639695"/>
  </r>
  <r>
    <x v="15"/>
    <n v="0.91"/>
    <n v="0.70009999999999994"/>
    <n v="7.9"/>
    <n v="6.09"/>
    <n v="1.8100000000000005"/>
    <n v="0.12239999999999999"/>
    <n v="0.13220000000000001"/>
    <n v="1.65"/>
    <n v="0.64999999999999991"/>
    <n v="0.3"/>
    <n v="0.3"/>
    <x v="15"/>
    <n v="122.7"/>
    <n v="51.5"/>
    <n v="0.52517091361093848"/>
    <n v="4"/>
    <n v="4"/>
    <n v="4"/>
    <n v="1"/>
    <n v="1"/>
    <n v="0"/>
    <n v="0"/>
    <n v="0.5"/>
    <x v="2"/>
    <x v="2"/>
    <x v="10"/>
    <n v="186.32691112492233"/>
    <n v="0.37265382224984467"/>
  </r>
  <r>
    <x v="16"/>
    <n v="1.45"/>
    <n v="0.66839999999999999"/>
    <n v="9.41"/>
    <n v="7.94"/>
    <n v="1.4699999999999998"/>
    <n v="0.14630000000000001"/>
    <n v="0.1489"/>
    <n v="1.31"/>
    <n v="0.31000000000000005"/>
    <n v="0.53"/>
    <n v="0.53"/>
    <x v="16"/>
    <n v="326.64999999999998"/>
    <n v="121.25"/>
    <n v="0.72739291380222093"/>
    <n v="3"/>
    <n v="3"/>
    <n v="4"/>
    <n v="1"/>
    <n v="1"/>
    <n v="2"/>
    <n v="0"/>
    <n v="0.5"/>
    <x v="2"/>
    <x v="2"/>
    <x v="11"/>
    <n v="277.32681121099955"/>
    <n v="0.55465362242199912"/>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
  <r>
    <x v="0"/>
    <n v="1.99"/>
    <n v="0"/>
    <n v="13.41"/>
    <n v="-27.77"/>
    <n v="100"/>
    <n v="0.17560000000000001"/>
    <n v="0.13780000000000001"/>
    <n v="-0.37"/>
    <n v="100"/>
    <n v="2.02"/>
    <n v="2.02"/>
    <x v="0"/>
    <n v="1606.7"/>
    <n v="661.05"/>
    <n v="0.72180249691903775"/>
    <n v="3"/>
    <n v="0"/>
    <n v="0"/>
    <n v="2"/>
    <n v="1"/>
    <n v="0"/>
    <n v="0"/>
    <n v="0.21428571428571427"/>
    <x v="0"/>
    <x v="0"/>
    <n v="1.0716390719605637"/>
    <n v="-139.09875154048112"/>
    <n v="-0.13909875154048112"/>
  </r>
  <r>
    <x v="1"/>
    <n v="0"/>
    <n v="0.63600000000000001"/>
    <n v="0"/>
    <n v="5.24"/>
    <n v="100"/>
    <n v="-0.77400000000000002"/>
    <n v="-2.46E-2"/>
    <n v="-2.5299999999999998"/>
    <n v="100"/>
    <n v="-33.630000000000003"/>
    <n v="100"/>
    <x v="1"/>
    <n v="26.55"/>
    <n v="14.05"/>
    <n v="0.49157303370786515"/>
    <n v="4"/>
    <n v="2"/>
    <n v="0"/>
    <n v="0"/>
    <n v="0"/>
    <n v="0"/>
    <n v="0"/>
    <n v="0.21428571428571427"/>
    <x v="0"/>
    <x v="0"/>
    <n v="56.179775280898873"/>
    <n v="-254.21348314606743"/>
    <n v="-0.25421348314606745"/>
  </r>
  <r>
    <x v="2"/>
    <n v="1.76"/>
    <n v="0.51590000000000003"/>
    <n v="8.42"/>
    <n v="24.2"/>
    <n v="-15.78"/>
    <n v="0.22370000000000001"/>
    <n v="0.2868"/>
    <n v="1.55"/>
    <n v="0.55000000000000004"/>
    <n v="0.76"/>
    <n v="0.76"/>
    <x v="2"/>
    <n v="358.3"/>
    <n v="154.5"/>
    <n v="0.91501870657402473"/>
    <n v="3"/>
    <n v="0"/>
    <n v="4"/>
    <n v="3"/>
    <n v="4"/>
    <n v="1"/>
    <n v="0"/>
    <n v="0.5357142857142857"/>
    <x v="0"/>
    <x v="0"/>
    <n v="5.344735435595938"/>
    <n v="-42.490646712987648"/>
    <n v="-4.2490646712987648E-2"/>
  </r>
  <r>
    <x v="3"/>
    <n v="1.04"/>
    <n v="0.89180000000000004"/>
    <n v="9.2899999999999991"/>
    <n v="-3.58"/>
    <n v="100"/>
    <n v="0.1109"/>
    <n v="8.8200000000000001E-2"/>
    <n v="-0.47"/>
    <n v="100"/>
    <n v="0.78"/>
    <n v="0.78"/>
    <x v="3"/>
    <n v="119.76"/>
    <n v="58.2"/>
    <n v="0.29121293800539089"/>
    <n v="3"/>
    <n v="4"/>
    <n v="0"/>
    <n v="1"/>
    <n v="0"/>
    <n v="0"/>
    <n v="0"/>
    <n v="0.2857142857142857"/>
    <x v="1"/>
    <x v="1"/>
    <n v="0"/>
    <n v="0"/>
    <n v="0"/>
  </r>
  <r>
    <x v="4"/>
    <n v="1.37"/>
    <n v="0.56069999999999998"/>
    <n v="5.37"/>
    <n v="17.09"/>
    <n v="-11.719999999999999"/>
    <n v="0.18890000000000001"/>
    <n v="0.16619999999999999"/>
    <n v="1.71"/>
    <n v="0.71"/>
    <n v="1.37"/>
    <n v="1.37"/>
    <x v="4"/>
    <n v="219.4"/>
    <n v="80.849999999999994"/>
    <n v="0.66907569418029689"/>
    <n v="3"/>
    <n v="1"/>
    <n v="4"/>
    <n v="2"/>
    <n v="2"/>
    <n v="0"/>
    <n v="0"/>
    <n v="0.42857142857142855"/>
    <x v="0"/>
    <x v="0"/>
    <n v="7.6074553062000767"/>
    <n v="-165.46215290985157"/>
    <n v="-0.16546215290985156"/>
  </r>
  <r>
    <x v="5"/>
    <n v="2.09"/>
    <n v="0.55169999999999997"/>
    <n v="10.72"/>
    <n v="12.13"/>
    <n v="-1.4100000000000001"/>
    <n v="0.222"/>
    <n v="0.1951"/>
    <n v="1.67"/>
    <n v="0.66999999999999993"/>
    <n v="0.57999999999999996"/>
    <n v="0.57999999999999996"/>
    <x v="5"/>
    <n v="311.05"/>
    <n v="171.65"/>
    <n v="0.4090600226500567"/>
    <n v="2"/>
    <n v="1"/>
    <n v="4"/>
    <n v="3"/>
    <n v="2"/>
    <n v="0"/>
    <n v="0"/>
    <n v="0.42857142857142855"/>
    <x v="1"/>
    <x v="1"/>
    <n v="0"/>
    <n v="0"/>
    <n v="0"/>
  </r>
  <r>
    <x v="6"/>
    <n v="3.26"/>
    <n v="0.68579999999999997"/>
    <n v="30.5"/>
    <n v="-12.22"/>
    <n v="100"/>
    <n v="8.8200000000000001E-2"/>
    <n v="0.23380000000000001"/>
    <n v="-34.659999999999997"/>
    <n v="100"/>
    <n v="0"/>
    <n v="0"/>
    <x v="6"/>
    <n v="933"/>
    <n v="420"/>
    <n v="1.1301369863013699"/>
    <n v="1"/>
    <n v="3"/>
    <n v="0"/>
    <n v="0"/>
    <n v="3"/>
    <n v="0"/>
    <n v="4"/>
    <n v="0.39285714285714285"/>
    <x v="1"/>
    <x v="0"/>
    <n v="2.2831050228310503"/>
    <n v="597.60273972602738"/>
    <n v="0.5976027397260274"/>
  </r>
  <r>
    <x v="7"/>
    <n v="0.4"/>
    <n v="0.57640000000000002"/>
    <n v="3.53"/>
    <n v="1.01"/>
    <n v="2.5199999999999996"/>
    <n v="0.1419"/>
    <n v="0.1226"/>
    <n v="3.4"/>
    <n v="2.4"/>
    <n v="2.63"/>
    <n v="2.63"/>
    <x v="7"/>
    <n v="142.65"/>
    <n v="46"/>
    <n v="0.83472668810289397"/>
    <n v="4"/>
    <n v="1"/>
    <n v="4"/>
    <n v="1"/>
    <n v="1"/>
    <n v="0"/>
    <n v="0"/>
    <n v="0.39285714285714285"/>
    <x v="0"/>
    <x v="1"/>
    <n v="0"/>
    <n v="0"/>
    <n v="0"/>
  </r>
  <r>
    <x v="8"/>
    <n v="0.78"/>
    <n v="0.87839999999999996"/>
    <n v="5.53"/>
    <n v="-13.17"/>
    <n v="100"/>
    <n v="0.14580000000000001"/>
    <n v="0.13070000000000001"/>
    <n v="-3.27"/>
    <n v="100"/>
    <n v="0.52"/>
    <n v="0.52"/>
    <x v="8"/>
    <n v="29.85"/>
    <n v="10.199999999999999"/>
    <n v="0.61351351351351358"/>
    <n v="4"/>
    <n v="4"/>
    <n v="0"/>
    <n v="1"/>
    <n v="1"/>
    <n v="0"/>
    <n v="0"/>
    <n v="0.35714285714285715"/>
    <x v="1"/>
    <x v="0"/>
    <n v="54.054054054054056"/>
    <n v="210.1351351351353"/>
    <n v="0.21013513513513529"/>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
  <r>
    <x v="0"/>
    <n v="13.16"/>
    <n v="0.40479999999999999"/>
    <n v="0"/>
    <n v="110.49"/>
    <n v="100"/>
    <n v="0.4022"/>
    <n v="0.45040000000000002"/>
    <n v="-1.07"/>
    <n v="100"/>
    <n v="0"/>
    <n v="0"/>
    <x v="0"/>
    <n v="3125"/>
    <n v="1580"/>
    <n v="0.25696357822335736"/>
    <n v="3"/>
    <n v="0"/>
    <n v="0"/>
    <n v="4"/>
    <n v="4"/>
    <n v="0"/>
    <n v="4"/>
    <n v="0.5357142857142857"/>
    <x v="0"/>
    <x v="0"/>
    <x v="0"/>
    <n v="-371.51821088832133"/>
    <n v="-0.37151821088832132"/>
  </r>
  <r>
    <x v="1"/>
    <n v="7.07"/>
    <n v="0.50760000000000005"/>
    <n v="8.14"/>
    <n v="8.4"/>
    <n v="-0.25999999999999979"/>
    <n v="0.1794"/>
    <n v="0.24110000000000001"/>
    <n v="1.02"/>
    <n v="2.0000000000000018E-2"/>
    <n v="0"/>
    <n v="0"/>
    <x v="1"/>
    <n v="1156"/>
    <n v="323.14999999999998"/>
    <n v="1.4674493062966916"/>
    <n v="0"/>
    <n v="0"/>
    <n v="4"/>
    <n v="2"/>
    <n v="3"/>
    <n v="4"/>
    <n v="4"/>
    <n v="0.6071428571428571"/>
    <x v="0"/>
    <x v="0"/>
    <x v="1"/>
    <n v="233.72465314834577"/>
    <n v="0.23372465314834576"/>
  </r>
  <r>
    <x v="2"/>
    <n v="0.67"/>
    <n v="0.6724"/>
    <n v="5.37"/>
    <n v="6.73"/>
    <n v="-1.3600000000000003"/>
    <n v="0.1116"/>
    <n v="0.13270000000000001"/>
    <n v="1.51"/>
    <n v="0.51"/>
    <n v="0.37"/>
    <n v="0.37"/>
    <x v="2"/>
    <n v="1008"/>
    <n v="412.2"/>
    <n v="0.83439490445859876"/>
    <n v="4"/>
    <n v="3"/>
    <n v="4"/>
    <n v="1"/>
    <n v="1"/>
    <n v="1"/>
    <n v="0"/>
    <n v="0.5"/>
    <x v="0"/>
    <x v="1"/>
    <x v="2"/>
    <n v="0"/>
    <n v="0"/>
  </r>
  <r>
    <x v="3"/>
    <n v="3.32"/>
    <n v="0.505"/>
    <n v="24.45"/>
    <n v="14.63"/>
    <n v="9.8199999999999985"/>
    <n v="0.23150000000000001"/>
    <n v="0.31280000000000002"/>
    <n v="-2.2200000000000002"/>
    <n v="100"/>
    <n v="0"/>
    <n v="0"/>
    <x v="3"/>
    <n v="750"/>
    <n v="251"/>
    <n v="1.3248605083694978"/>
    <n v="1"/>
    <n v="0"/>
    <n v="4"/>
    <n v="3"/>
    <n v="4"/>
    <n v="0"/>
    <n v="4"/>
    <n v="0.5714285714285714"/>
    <x v="1"/>
    <x v="0"/>
    <x v="3"/>
    <n v="743.64538127712319"/>
    <n v="0.7436453812771232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016D668-A5CF-4CF3-9F4C-3DB4A8EA2F6B}" name="PivotTable3" cacheId="72"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location ref="B2:H11" firstHeaderRow="0" firstDataRow="1" firstDataCol="5"/>
  <pivotFields count="27">
    <pivotField axis="axisRow" compact="0" outline="0" showAll="0" defaultSubtotal="0">
      <items count="18">
        <item x="9"/>
        <item x="1"/>
        <item x="12"/>
        <item x="16"/>
        <item x="13"/>
        <item x="6"/>
        <item x="5"/>
        <item x="0"/>
        <item x="7"/>
        <item x="14"/>
        <item x="10"/>
        <item x="3"/>
        <item x="2"/>
        <item x="17"/>
        <item x="4"/>
        <item x="11"/>
        <item x="15"/>
        <item x="8"/>
      </items>
    </pivotField>
    <pivotField compact="0" outline="0" showAll="0" defaultSubtotal="0"/>
    <pivotField compact="0" numFmtId="10" outline="0" showAll="0" defaultSubtotal="0"/>
    <pivotField compact="0" numFmtId="10" outline="0" showAll="0" defaultSubtotal="0"/>
    <pivotField compact="0" numFmtId="10" outline="0" showAll="0" defaultSubtotal="0"/>
    <pivotField compact="0" numFmtId="10" outline="0" showAll="0" defaultSubtotal="0"/>
    <pivotField compact="0" numFmtId="10" outline="0" showAll="0" defaultSubtotal="0"/>
    <pivotField compact="0" numFmtId="10" outline="0" showAll="0" defaultSubtotal="0"/>
    <pivotField compact="0" numFmtId="10" outline="0" showAll="0" defaultSubtotal="0"/>
    <pivotField axis="axisRow" compact="0" numFmtId="164" outline="0" showAll="0" defaultSubtotal="0">
      <items count="18">
        <item x="15"/>
        <item x="13"/>
        <item x="14"/>
        <item x="10"/>
        <item x="8"/>
        <item x="17"/>
        <item x="12"/>
        <item x="5"/>
        <item x="16"/>
        <item x="4"/>
        <item x="6"/>
        <item x="11"/>
        <item x="1"/>
        <item x="7"/>
        <item x="9"/>
        <item x="3"/>
        <item x="0"/>
        <item x="2"/>
      </items>
    </pivotField>
    <pivotField compact="0" numFmtId="164" outline="0" showAll="0" defaultSubtotal="0"/>
    <pivotField compact="0" numFmtId="164" outline="0" showAll="0" defaultSubtotal="0"/>
    <pivotField compact="0" numFmtId="10" outline="0" showAll="0" defaultSubtotal="0"/>
    <pivotField compact="0" numFmtId="43" outline="0" showAll="0" defaultSubtotal="0"/>
    <pivotField compact="0" numFmtId="43" outline="0" showAll="0" defaultSubtotal="0"/>
    <pivotField compact="0" numFmtId="43" outline="0" showAll="0" defaultSubtotal="0"/>
    <pivotField compact="0" numFmtId="43" outline="0" showAll="0" defaultSubtotal="0"/>
    <pivotField compact="0" numFmtId="43" outline="0" showAll="0" defaultSubtotal="0"/>
    <pivotField compact="0" numFmtId="43" outline="0" showAll="0" defaultSubtotal="0"/>
    <pivotField compact="0" numFmtId="43" outline="0" showAll="0" defaultSubtotal="0"/>
    <pivotField compact="0" numFmtId="43" outline="0" showAll="0" defaultSubtotal="0"/>
    <pivotField compact="0" numFmtId="9" outline="0" showAll="0" defaultSubtotal="0"/>
    <pivotField axis="axisRow" compact="0" outline="0" showAll="0" defaultSubtotal="0">
      <items count="3">
        <item x="2"/>
        <item x="0"/>
        <item x="1"/>
      </items>
    </pivotField>
    <pivotField axis="axisRow" compact="0" numFmtId="44" outline="0" showAll="0" defaultSubtotal="0">
      <items count="3">
        <item h="1" x="2"/>
        <item x="1"/>
        <item x="0"/>
      </items>
    </pivotField>
    <pivotField axis="axisRow" compact="0" numFmtId="43" outline="0" showAll="0" defaultSubtotal="0">
      <items count="10">
        <item x="5"/>
        <item x="2"/>
        <item x="0"/>
        <item m="1" x="9"/>
        <item x="8"/>
        <item x="6"/>
        <item x="4"/>
        <item x="1"/>
        <item x="7"/>
        <item x="3"/>
      </items>
    </pivotField>
    <pivotField dataField="1" compact="0" numFmtId="44" outline="0" showAll="0" defaultSubtotal="0"/>
    <pivotField dataField="1" compact="0" numFmtId="10" outline="0" showAll="0" defaultSubtotal="0"/>
  </pivotFields>
  <rowFields count="5">
    <field x="0"/>
    <field x="22"/>
    <field x="23"/>
    <field x="9"/>
    <field x="24"/>
  </rowFields>
  <rowItems count="9">
    <i>
      <x v="1"/>
      <x v="2"/>
      <x v="2"/>
      <x v="12"/>
      <x v="7"/>
    </i>
    <i>
      <x v="7"/>
      <x v="1"/>
      <x v="2"/>
      <x v="16"/>
      <x v="2"/>
    </i>
    <i>
      <x v="8"/>
      <x v="1"/>
      <x v="2"/>
      <x v="13"/>
      <x v="5"/>
    </i>
    <i>
      <x v="11"/>
      <x/>
      <x v="1"/>
      <x v="15"/>
      <x v="9"/>
    </i>
    <i>
      <x v="12"/>
      <x v="1"/>
      <x v="2"/>
      <x v="17"/>
      <x v="1"/>
    </i>
    <i>
      <x v="14"/>
      <x v="2"/>
      <x v="1"/>
      <x v="9"/>
      <x v="6"/>
    </i>
    <i>
      <x v="15"/>
      <x v="1"/>
      <x v="1"/>
      <x v="11"/>
      <x v="4"/>
    </i>
    <i>
      <x v="17"/>
      <x/>
      <x v="1"/>
      <x v="4"/>
      <x v="8"/>
    </i>
    <i t="grand">
      <x/>
    </i>
  </rowItems>
  <colFields count="1">
    <field x="-2"/>
  </colFields>
  <colItems count="2">
    <i>
      <x/>
    </i>
    <i i="1">
      <x v="1"/>
    </i>
  </colItems>
  <dataFields count="2">
    <dataField name="Sum of Profit" fld="25" baseField="0" baseItem="0" numFmtId="164"/>
    <dataField name="Sum of Profit %" fld="26" baseField="0" baseItem="0" numFmtId="10"/>
  </dataFields>
  <formats count="21">
    <format dxfId="138">
      <pivotArea type="all" dataOnly="0" outline="0" fieldPosition="0"/>
    </format>
    <format dxfId="139">
      <pivotArea outline="0" collapsedLevelsAreSubtotals="1" fieldPosition="0"/>
    </format>
    <format dxfId="140">
      <pivotArea field="0" type="button" dataOnly="0" labelOnly="1" outline="0" axis="axisRow" fieldPosition="0"/>
    </format>
    <format dxfId="141">
      <pivotArea field="22" type="button" dataOnly="0" labelOnly="1" outline="0" axis="axisRow" fieldPosition="1"/>
    </format>
    <format dxfId="142">
      <pivotArea field="23" type="button" dataOnly="0" labelOnly="1" outline="0" axis="axisRow" fieldPosition="2"/>
    </format>
    <format dxfId="143">
      <pivotArea field="24" type="button" dataOnly="0" labelOnly="1" outline="0" axis="axisRow" fieldPosition="4"/>
    </format>
    <format dxfId="144">
      <pivotArea dataOnly="0" labelOnly="1" grandRow="1" outline="0" fieldPosition="0"/>
    </format>
    <format dxfId="145">
      <pivotArea dataOnly="0" labelOnly="1" outline="0" axis="axisValues" fieldPosition="0"/>
    </format>
    <format dxfId="146">
      <pivotArea outline="0" collapsedLevelsAreSubtotals="1" fieldPosition="0"/>
    </format>
    <format dxfId="147">
      <pivotArea dataOnly="0" labelOnly="1" outline="0" axis="axisValues" fieldPosition="0"/>
    </format>
    <format dxfId="148">
      <pivotArea outline="0" fieldPosition="0">
        <references count="1">
          <reference field="4294967294" count="1" selected="0">
            <x v="1"/>
          </reference>
        </references>
      </pivotArea>
    </format>
    <format dxfId="149">
      <pivotArea dataOnly="0" labelOnly="1" outline="0" fieldPosition="0">
        <references count="1">
          <reference field="4294967294" count="1">
            <x v="1"/>
          </reference>
        </references>
      </pivotArea>
    </format>
    <format dxfId="150">
      <pivotArea dataOnly="0" labelOnly="1" outline="0" fieldPosition="0">
        <references count="4">
          <reference field="0" count="1" selected="0">
            <x v="0"/>
          </reference>
          <reference field="22" count="1" selected="0">
            <x v="1"/>
          </reference>
          <reference field="23" count="1">
            <x v="1"/>
          </reference>
          <reference field="24" count="1" selected="0">
            <x v="3"/>
          </reference>
        </references>
      </pivotArea>
    </format>
    <format dxfId="151">
      <pivotArea dataOnly="0" labelOnly="1" outline="0" fieldPosition="0">
        <references count="4">
          <reference field="0" count="1" selected="0">
            <x v="1"/>
          </reference>
          <reference field="22" count="1" selected="0">
            <x v="2"/>
          </reference>
          <reference field="23" count="1">
            <x v="2"/>
          </reference>
          <reference field="24" count="1" selected="0">
            <x v="7"/>
          </reference>
        </references>
      </pivotArea>
    </format>
    <format dxfId="152">
      <pivotArea dataOnly="0" labelOnly="1" outline="0" fieldPosition="0">
        <references count="4">
          <reference field="0" count="1" selected="0">
            <x v="7"/>
          </reference>
          <reference field="22" count="1" selected="0">
            <x v="1"/>
          </reference>
          <reference field="23" count="1">
            <x v="2"/>
          </reference>
          <reference field="24" count="1" selected="0">
            <x v="2"/>
          </reference>
        </references>
      </pivotArea>
    </format>
    <format dxfId="153">
      <pivotArea dataOnly="0" labelOnly="1" outline="0" fieldPosition="0">
        <references count="4">
          <reference field="0" count="1" selected="0">
            <x v="8"/>
          </reference>
          <reference field="22" count="1" selected="0">
            <x v="1"/>
          </reference>
          <reference field="23" count="1">
            <x v="2"/>
          </reference>
          <reference field="24" count="1" selected="0">
            <x v="5"/>
          </reference>
        </references>
      </pivotArea>
    </format>
    <format dxfId="154">
      <pivotArea dataOnly="0" labelOnly="1" outline="0" fieldPosition="0">
        <references count="4">
          <reference field="0" count="1" selected="0">
            <x v="12"/>
          </reference>
          <reference field="22" count="1" selected="0">
            <x v="1"/>
          </reference>
          <reference field="23" count="1">
            <x v="2"/>
          </reference>
          <reference field="24" count="1" selected="0">
            <x v="1"/>
          </reference>
        </references>
      </pivotArea>
    </format>
    <format dxfId="155">
      <pivotArea dataOnly="0" labelOnly="1" outline="0" fieldPosition="0">
        <references count="4">
          <reference field="0" count="1" selected="0">
            <x v="14"/>
          </reference>
          <reference field="22" count="1" selected="0">
            <x v="2"/>
          </reference>
          <reference field="23" count="1">
            <x v="1"/>
          </reference>
          <reference field="24" count="1" selected="0">
            <x v="6"/>
          </reference>
        </references>
      </pivotArea>
    </format>
    <format dxfId="156">
      <pivotArea dataOnly="0" labelOnly="1" outline="0" fieldPosition="0">
        <references count="4">
          <reference field="0" count="1" selected="0">
            <x v="15"/>
          </reference>
          <reference field="22" count="1" selected="0">
            <x v="1"/>
          </reference>
          <reference field="23" count="1">
            <x v="1"/>
          </reference>
          <reference field="24" count="1" selected="0">
            <x v="4"/>
          </reference>
        </references>
      </pivotArea>
    </format>
    <format dxfId="157">
      <pivotArea dataOnly="0" labelOnly="1" outline="0" fieldPosition="0">
        <references count="4">
          <reference field="0" count="1" selected="0">
            <x v="17"/>
          </reference>
          <reference field="22" count="1" selected="0">
            <x v="0"/>
          </reference>
          <reference field="23" count="1">
            <x v="1"/>
          </reference>
          <reference field="24" count="1" selected="0">
            <x v="8"/>
          </reference>
        </references>
      </pivotArea>
    </format>
    <format dxfId="158">
      <pivotArea dataOnly="0" labelOnly="1" outline="0" fieldPosition="0">
        <references count="4">
          <reference field="0" count="1" selected="0">
            <x v="11"/>
          </reference>
          <reference field="22" count="1" selected="0">
            <x v="0"/>
          </reference>
          <reference field="23" count="1">
            <x v="1"/>
          </reference>
          <reference field="24" count="1" selected="0">
            <x v="9"/>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959FCB-C121-4536-8BDF-A1D164E7D8D0}" name="PivotTable1" cacheId="79"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location ref="B2:H14" firstHeaderRow="0" firstDataRow="1" firstDataCol="5"/>
  <pivotFields count="29">
    <pivotField axis="axisRow" compact="0" outline="0" subtotalTop="0" showAll="0" defaultSubtotal="0">
      <items count="17">
        <item x="12"/>
        <item x="15"/>
        <item x="4"/>
        <item x="13"/>
        <item x="9"/>
        <item x="3"/>
        <item x="6"/>
        <item x="10"/>
        <item x="0"/>
        <item x="7"/>
        <item x="5"/>
        <item x="14"/>
        <item x="1"/>
        <item x="8"/>
        <item x="2"/>
        <item x="11"/>
        <item x="16"/>
      </items>
    </pivotField>
    <pivotField compact="0" outline="0" showAll="0" defaultSubtotal="0"/>
    <pivotField compact="0" numFmtId="10" outline="0" showAll="0" defaultSubtotal="0"/>
    <pivotField compact="0" numFmtId="43" outline="0" showAll="0" defaultSubtotal="0"/>
    <pivotField compact="0" numFmtId="43" outline="0" showAll="0" defaultSubtotal="0"/>
    <pivotField compact="0" numFmtId="43" outline="0" showAll="0" defaultSubtotal="0"/>
    <pivotField compact="0" numFmtId="10" outline="0" showAll="0" defaultSubtotal="0"/>
    <pivotField compact="0" numFmtId="10" outline="0" showAll="0" defaultSubtotal="0"/>
    <pivotField compact="0" numFmtId="43" outline="0" showAll="0" defaultSubtotal="0"/>
    <pivotField compact="0" numFmtId="43" outline="0" showAll="0" defaultSubtotal="0"/>
    <pivotField compact="0" numFmtId="43" outline="0" showAll="0" defaultSubtotal="0"/>
    <pivotField compact="0" numFmtId="43" outline="0" showAll="0" defaultSubtotal="0"/>
    <pivotField axis="axisRow" compact="0" numFmtId="164" outline="0" showAll="0" defaultSubtotal="0">
      <items count="17">
        <item x="7"/>
        <item x="11"/>
        <item x="1"/>
        <item x="3"/>
        <item x="15"/>
        <item x="2"/>
        <item x="8"/>
        <item x="5"/>
        <item x="12"/>
        <item x="4"/>
        <item x="16"/>
        <item x="9"/>
        <item x="14"/>
        <item x="6"/>
        <item x="13"/>
        <item x="0"/>
        <item x="10"/>
      </items>
    </pivotField>
    <pivotField compact="0" numFmtId="164" outline="0" showAll="0" defaultSubtotal="0"/>
    <pivotField compact="0" numFmtId="164" outline="0" showAll="0" defaultSubtotal="0"/>
    <pivotField compact="0" numFmtId="10" outline="0" showAll="0" defaultSubtotal="0"/>
    <pivotField compact="0" numFmtId="43" outline="0" showAll="0" defaultSubtotal="0"/>
    <pivotField compact="0" numFmtId="43" outline="0" showAll="0" defaultSubtotal="0"/>
    <pivotField compact="0" numFmtId="43" outline="0" showAll="0" defaultSubtotal="0"/>
    <pivotField compact="0" numFmtId="43" outline="0" showAll="0" defaultSubtotal="0"/>
    <pivotField compact="0" numFmtId="43" outline="0" showAll="0" defaultSubtotal="0"/>
    <pivotField compact="0" numFmtId="43" outline="0" showAll="0" defaultSubtotal="0"/>
    <pivotField compact="0" numFmtId="43" outline="0" showAll="0" defaultSubtotal="0"/>
    <pivotField compact="0" numFmtId="9" outline="0" showAll="0" defaultSubtotal="0"/>
    <pivotField axis="axisRow" compact="0" outline="0" showAll="0" defaultSubtotal="0">
      <items count="3">
        <item x="0"/>
        <item x="2"/>
        <item x="1"/>
      </items>
    </pivotField>
    <pivotField axis="axisRow" compact="0" numFmtId="44" outline="0" showAll="0" defaultSubtotal="0">
      <items count="4">
        <item h="1" x="1"/>
        <item x="2"/>
        <item x="0"/>
        <item x="3"/>
      </items>
    </pivotField>
    <pivotField axis="axisRow" compact="0" numFmtId="43" outline="0" showAll="0" defaultSubtotal="0">
      <items count="12">
        <item x="1"/>
        <item x="0"/>
        <item x="8"/>
        <item x="6"/>
        <item x="9"/>
        <item x="11"/>
        <item x="4"/>
        <item x="7"/>
        <item x="5"/>
        <item x="2"/>
        <item x="10"/>
        <item x="3"/>
      </items>
    </pivotField>
    <pivotField dataField="1" compact="0" numFmtId="44" outline="0" showAll="0" defaultSubtotal="0"/>
    <pivotField dataField="1" compact="0" numFmtId="10" outline="0" showAll="0" defaultSubtotal="0"/>
  </pivotFields>
  <rowFields count="5">
    <field x="0"/>
    <field x="24"/>
    <field x="12"/>
    <field x="25"/>
    <field x="26"/>
  </rowFields>
  <rowItems count="12">
    <i>
      <x/>
      <x v="2"/>
      <x v="8"/>
      <x v="1"/>
      <x v="7"/>
    </i>
    <i>
      <x v="1"/>
      <x v="1"/>
      <x v="4"/>
      <x v="1"/>
      <x v="10"/>
    </i>
    <i>
      <x v="2"/>
      <x/>
      <x v="9"/>
      <x v="1"/>
      <x v="6"/>
    </i>
    <i>
      <x v="3"/>
      <x v="2"/>
      <x v="14"/>
      <x v="1"/>
      <x v="2"/>
    </i>
    <i>
      <x v="5"/>
      <x v="2"/>
      <x v="3"/>
      <x v="1"/>
      <x v="11"/>
    </i>
    <i>
      <x v="7"/>
      <x v="1"/>
      <x v="16"/>
      <x v="3"/>
      <x v="3"/>
    </i>
    <i>
      <x v="8"/>
      <x/>
      <x v="15"/>
      <x v="2"/>
      <x v="1"/>
    </i>
    <i>
      <x v="10"/>
      <x v="2"/>
      <x v="7"/>
      <x v="1"/>
      <x v="8"/>
    </i>
    <i>
      <x v="11"/>
      <x v="1"/>
      <x v="12"/>
      <x v="1"/>
      <x v="4"/>
    </i>
    <i>
      <x v="14"/>
      <x/>
      <x v="5"/>
      <x v="1"/>
      <x v="9"/>
    </i>
    <i>
      <x v="16"/>
      <x v="1"/>
      <x v="10"/>
      <x v="1"/>
      <x v="5"/>
    </i>
    <i t="grand">
      <x/>
    </i>
  </rowItems>
  <colFields count="1">
    <field x="-2"/>
  </colFields>
  <colItems count="2">
    <i>
      <x/>
    </i>
    <i i="1">
      <x v="1"/>
    </i>
  </colItems>
  <dataFields count="2">
    <dataField name="Sum of Profit" fld="27" baseField="0" baseItem="0" numFmtId="164"/>
    <dataField name="Sum of Profit %" fld="28" baseField="0" baseItem="0" numFmtId="9"/>
  </dataFields>
  <formats count="10">
    <format dxfId="325">
      <pivotArea type="all" dataOnly="0" outline="0" fieldPosition="0"/>
    </format>
    <format dxfId="324">
      <pivotArea outline="0" collapsedLevelsAreSubtotals="1" fieldPosition="0"/>
    </format>
    <format dxfId="323">
      <pivotArea field="24" type="button" dataOnly="0" labelOnly="1" outline="0" axis="axisRow" fieldPosition="1"/>
    </format>
    <format dxfId="322">
      <pivotArea field="26" type="button" dataOnly="0" labelOnly="1" outline="0" axis="axisRow" fieldPosition="4"/>
    </format>
    <format dxfId="321">
      <pivotArea field="25" type="button" dataOnly="0" labelOnly="1" outline="0" axis="axisRow" fieldPosition="3"/>
    </format>
    <format dxfId="320">
      <pivotArea dataOnly="0" labelOnly="1" grandRow="1" outline="0" fieldPosition="0"/>
    </format>
    <format dxfId="319">
      <pivotArea dataOnly="0" labelOnly="1" outline="0" fieldPosition="0">
        <references count="1">
          <reference field="4294967294" count="2">
            <x v="0"/>
            <x v="1"/>
          </reference>
        </references>
      </pivotArea>
    </format>
    <format dxfId="137">
      <pivotArea outline="0" fieldPosition="0">
        <references count="1">
          <reference field="4294967294" count="1" selected="0">
            <x v="1"/>
          </reference>
        </references>
      </pivotArea>
    </format>
    <format dxfId="136">
      <pivotArea outline="0" fieldPosition="0">
        <references count="1">
          <reference field="4294967294" count="1" selected="0">
            <x v="0"/>
          </reference>
        </references>
      </pivotArea>
    </format>
    <format dxfId="135">
      <pivotArea dataOnly="0" labelOnly="1"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C90F8C2-BFBA-4875-9485-D99068D539A4}" name="PivotTable1" cacheId="65"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location ref="B2:H7" firstHeaderRow="0" firstDataRow="1" firstDataCol="5"/>
  <pivotFields count="29">
    <pivotField axis="axisRow" compact="0" outline="0" showAll="0" defaultSubtotal="0">
      <items count="6">
        <item x="4"/>
        <item x="3"/>
        <item x="2"/>
        <item x="1"/>
        <item x="0"/>
        <item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numFmtId="10" outline="0" showAll="0" defaultSubtotal="0">
      <extLst>
        <ext xmlns:x14="http://schemas.microsoft.com/office/spreadsheetml/2009/9/main" uri="{2946ED86-A175-432a-8AC1-64E0C546D7DE}">
          <x14:pivotField fillDownLabels="1"/>
        </ext>
      </extLst>
    </pivotField>
    <pivotField compact="0" numFmtId="43" outline="0" showAll="0" defaultSubtotal="0">
      <extLst>
        <ext xmlns:x14="http://schemas.microsoft.com/office/spreadsheetml/2009/9/main" uri="{2946ED86-A175-432a-8AC1-64E0C546D7DE}">
          <x14:pivotField fillDownLabels="1"/>
        </ext>
      </extLst>
    </pivotField>
    <pivotField compact="0" numFmtId="43" outline="0" showAll="0" defaultSubtotal="0">
      <extLst>
        <ext xmlns:x14="http://schemas.microsoft.com/office/spreadsheetml/2009/9/main" uri="{2946ED86-A175-432a-8AC1-64E0C546D7DE}">
          <x14:pivotField fillDownLabels="1"/>
        </ext>
      </extLst>
    </pivotField>
    <pivotField compact="0" numFmtId="43" outline="0" showAll="0" defaultSubtotal="0">
      <extLst>
        <ext xmlns:x14="http://schemas.microsoft.com/office/spreadsheetml/2009/9/main" uri="{2946ED86-A175-432a-8AC1-64E0C546D7DE}">
          <x14:pivotField fillDownLabels="1"/>
        </ext>
      </extLst>
    </pivotField>
    <pivotField compact="0" numFmtId="10" outline="0" showAll="0" defaultSubtotal="0">
      <extLst>
        <ext xmlns:x14="http://schemas.microsoft.com/office/spreadsheetml/2009/9/main" uri="{2946ED86-A175-432a-8AC1-64E0C546D7DE}">
          <x14:pivotField fillDownLabels="1"/>
        </ext>
      </extLst>
    </pivotField>
    <pivotField compact="0" numFmtId="10" outline="0" showAll="0" defaultSubtotal="0">
      <extLst>
        <ext xmlns:x14="http://schemas.microsoft.com/office/spreadsheetml/2009/9/main" uri="{2946ED86-A175-432a-8AC1-64E0C546D7DE}">
          <x14:pivotField fillDownLabels="1"/>
        </ext>
      </extLst>
    </pivotField>
    <pivotField compact="0" numFmtId="43" outline="0" showAll="0" defaultSubtotal="0">
      <extLst>
        <ext xmlns:x14="http://schemas.microsoft.com/office/spreadsheetml/2009/9/main" uri="{2946ED86-A175-432a-8AC1-64E0C546D7DE}">
          <x14:pivotField fillDownLabels="1"/>
        </ext>
      </extLst>
    </pivotField>
    <pivotField compact="0" numFmtId="43" outline="0" showAll="0" defaultSubtotal="0">
      <extLst>
        <ext xmlns:x14="http://schemas.microsoft.com/office/spreadsheetml/2009/9/main" uri="{2946ED86-A175-432a-8AC1-64E0C546D7DE}">
          <x14:pivotField fillDownLabels="1"/>
        </ext>
      </extLst>
    </pivotField>
    <pivotField compact="0" numFmtId="43" outline="0" showAll="0" defaultSubtotal="0">
      <extLst>
        <ext xmlns:x14="http://schemas.microsoft.com/office/spreadsheetml/2009/9/main" uri="{2946ED86-A175-432a-8AC1-64E0C546D7DE}">
          <x14:pivotField fillDownLabels="1"/>
        </ext>
      </extLst>
    </pivotField>
    <pivotField compact="0" numFmtId="43" outline="0" showAll="0" defaultSubtotal="0">
      <extLst>
        <ext xmlns:x14="http://schemas.microsoft.com/office/spreadsheetml/2009/9/main" uri="{2946ED86-A175-432a-8AC1-64E0C546D7DE}">
          <x14:pivotField fillDownLabels="1"/>
        </ext>
      </extLst>
    </pivotField>
    <pivotField axis="axisRow" compact="0" numFmtId="164" outline="0" showAll="0" defaultSubtotal="0">
      <items count="6">
        <item x="3"/>
        <item x="2"/>
        <item x="0"/>
        <item x="1"/>
        <item x="4"/>
        <item x="5"/>
      </items>
      <extLst>
        <ext xmlns:x14="http://schemas.microsoft.com/office/spreadsheetml/2009/9/main" uri="{2946ED86-A175-432a-8AC1-64E0C546D7DE}">
          <x14:pivotField fillDownLabels="1"/>
        </ext>
      </extLst>
    </pivotField>
    <pivotField compact="0" numFmtId="164" outline="0" showAll="0" defaultSubtotal="0">
      <extLst>
        <ext xmlns:x14="http://schemas.microsoft.com/office/spreadsheetml/2009/9/main" uri="{2946ED86-A175-432a-8AC1-64E0C546D7DE}">
          <x14:pivotField fillDownLabels="1"/>
        </ext>
      </extLst>
    </pivotField>
    <pivotField compact="0" numFmtId="164" outline="0" showAll="0" defaultSubtotal="0">
      <extLst>
        <ext xmlns:x14="http://schemas.microsoft.com/office/spreadsheetml/2009/9/main" uri="{2946ED86-A175-432a-8AC1-64E0C546D7DE}">
          <x14:pivotField fillDownLabels="1"/>
        </ext>
      </extLst>
    </pivotField>
    <pivotField compact="0" numFmtId="10" outline="0" showAll="0" defaultSubtotal="0">
      <extLst>
        <ext xmlns:x14="http://schemas.microsoft.com/office/spreadsheetml/2009/9/main" uri="{2946ED86-A175-432a-8AC1-64E0C546D7DE}">
          <x14:pivotField fillDownLabels="1"/>
        </ext>
      </extLst>
    </pivotField>
    <pivotField compact="0" numFmtId="43" outline="0" showAll="0" defaultSubtotal="0">
      <extLst>
        <ext xmlns:x14="http://schemas.microsoft.com/office/spreadsheetml/2009/9/main" uri="{2946ED86-A175-432a-8AC1-64E0C546D7DE}">
          <x14:pivotField fillDownLabels="1"/>
        </ext>
      </extLst>
    </pivotField>
    <pivotField compact="0" numFmtId="43" outline="0" showAll="0" defaultSubtotal="0">
      <extLst>
        <ext xmlns:x14="http://schemas.microsoft.com/office/spreadsheetml/2009/9/main" uri="{2946ED86-A175-432a-8AC1-64E0C546D7DE}">
          <x14:pivotField fillDownLabels="1"/>
        </ext>
      </extLst>
    </pivotField>
    <pivotField compact="0" numFmtId="43" outline="0" showAll="0" defaultSubtotal="0">
      <extLst>
        <ext xmlns:x14="http://schemas.microsoft.com/office/spreadsheetml/2009/9/main" uri="{2946ED86-A175-432a-8AC1-64E0C546D7DE}">
          <x14:pivotField fillDownLabels="1"/>
        </ext>
      </extLst>
    </pivotField>
    <pivotField compact="0" numFmtId="43" outline="0" showAll="0" defaultSubtotal="0">
      <extLst>
        <ext xmlns:x14="http://schemas.microsoft.com/office/spreadsheetml/2009/9/main" uri="{2946ED86-A175-432a-8AC1-64E0C546D7DE}">
          <x14:pivotField fillDownLabels="1"/>
        </ext>
      </extLst>
    </pivotField>
    <pivotField compact="0" numFmtId="43" outline="0" showAll="0" defaultSubtotal="0">
      <extLst>
        <ext xmlns:x14="http://schemas.microsoft.com/office/spreadsheetml/2009/9/main" uri="{2946ED86-A175-432a-8AC1-64E0C546D7DE}">
          <x14:pivotField fillDownLabels="1"/>
        </ext>
      </extLst>
    </pivotField>
    <pivotField compact="0" numFmtId="43" outline="0" showAll="0" defaultSubtotal="0">
      <extLst>
        <ext xmlns:x14="http://schemas.microsoft.com/office/spreadsheetml/2009/9/main" uri="{2946ED86-A175-432a-8AC1-64E0C546D7DE}">
          <x14:pivotField fillDownLabels="1"/>
        </ext>
      </extLst>
    </pivotField>
    <pivotField compact="0" numFmtId="43" outline="0" showAll="0" defaultSubtotal="0">
      <extLst>
        <ext xmlns:x14="http://schemas.microsoft.com/office/spreadsheetml/2009/9/main" uri="{2946ED86-A175-432a-8AC1-64E0C546D7DE}">
          <x14:pivotField fillDownLabels="1"/>
        </ext>
      </extLst>
    </pivotField>
    <pivotField compact="0" numFmtId="9" outline="0" showAll="0" defaultSubtotal="0">
      <extLst>
        <ext xmlns:x14="http://schemas.microsoft.com/office/spreadsheetml/2009/9/main" uri="{2946ED86-A175-432a-8AC1-64E0C546D7DE}">
          <x14:pivotField fillDownLabels="1"/>
        </ext>
      </extLst>
    </pivotField>
    <pivotField axis="axisRow" compact="0" outline="0" showAll="0" defaultSubtotal="0">
      <items count="3">
        <item x="0"/>
        <item x="2"/>
        <item x="1"/>
      </items>
      <extLst>
        <ext xmlns:x14="http://schemas.microsoft.com/office/spreadsheetml/2009/9/main" uri="{2946ED86-A175-432a-8AC1-64E0C546D7DE}">
          <x14:pivotField fillDownLabels="1"/>
        </ext>
      </extLst>
    </pivotField>
    <pivotField axis="axisRow" compact="0" numFmtId="44" outline="0" showAll="0" defaultSubtotal="0">
      <items count="2">
        <item h="1" x="1"/>
        <item x="0"/>
      </items>
      <extLst>
        <ext xmlns:x14="http://schemas.microsoft.com/office/spreadsheetml/2009/9/main" uri="{2946ED86-A175-432a-8AC1-64E0C546D7DE}">
          <x14:pivotField fillDownLabels="1"/>
        </ext>
      </extLst>
    </pivotField>
    <pivotField axis="axisRow" compact="0" numFmtId="43" outline="0" showAll="0" defaultSubtotal="0">
      <items count="5">
        <item x="4"/>
        <item x="1"/>
        <item x="0"/>
        <item x="2"/>
        <item x="3"/>
      </items>
      <extLst>
        <ext xmlns:x14="http://schemas.microsoft.com/office/spreadsheetml/2009/9/main" uri="{2946ED86-A175-432a-8AC1-64E0C546D7DE}">
          <x14:pivotField fillDownLabels="1"/>
        </ext>
      </extLst>
    </pivotField>
    <pivotField dataField="1" compact="0" numFmtId="44" outline="0" showAll="0" defaultSubtotal="0">
      <extLst>
        <ext xmlns:x14="http://schemas.microsoft.com/office/spreadsheetml/2009/9/main" uri="{2946ED86-A175-432a-8AC1-64E0C546D7DE}">
          <x14:pivotField fillDownLabels="1"/>
        </ext>
      </extLst>
    </pivotField>
    <pivotField dataField="1" compact="0" numFmtId="10" outline="0" showAll="0" defaultSubtotal="0">
      <extLst>
        <ext xmlns:x14="http://schemas.microsoft.com/office/spreadsheetml/2009/9/main" uri="{2946ED86-A175-432a-8AC1-64E0C546D7DE}">
          <x14:pivotField fillDownLabels="1"/>
        </ext>
      </extLst>
    </pivotField>
  </pivotFields>
  <rowFields count="5">
    <field x="0"/>
    <field x="24"/>
    <field x="12"/>
    <field x="25"/>
    <field x="26"/>
  </rowFields>
  <rowItems count="5">
    <i>
      <x v="1"/>
      <x v="2"/>
      <x/>
      <x v="1"/>
      <x v="4"/>
    </i>
    <i>
      <x v="2"/>
      <x/>
      <x v="1"/>
      <x v="1"/>
      <x v="3"/>
    </i>
    <i>
      <x v="3"/>
      <x/>
      <x v="3"/>
      <x v="1"/>
      <x v="1"/>
    </i>
    <i>
      <x v="4"/>
      <x/>
      <x v="2"/>
      <x v="1"/>
      <x v="2"/>
    </i>
    <i t="grand">
      <x/>
    </i>
  </rowItems>
  <colFields count="1">
    <field x="-2"/>
  </colFields>
  <colItems count="2">
    <i>
      <x/>
    </i>
    <i i="1">
      <x v="1"/>
    </i>
  </colItems>
  <dataFields count="2">
    <dataField name="Sum of Profit" fld="27" baseField="0" baseItem="0" numFmtId="164"/>
    <dataField name="Sum of Profit %" fld="28" baseField="0" baseItem="0" numFmtId="9"/>
  </dataFields>
  <formats count="4">
    <format dxfId="134">
      <pivotArea outline="0" fieldPosition="0">
        <references count="1">
          <reference field="4294967294" count="1" selected="0">
            <x v="0"/>
          </reference>
        </references>
      </pivotArea>
    </format>
    <format dxfId="133">
      <pivotArea dataOnly="0" labelOnly="1" outline="0" fieldPosition="0">
        <references count="1">
          <reference field="4294967294" count="1">
            <x v="0"/>
          </reference>
        </references>
      </pivotArea>
    </format>
    <format dxfId="132">
      <pivotArea outline="0" fieldPosition="0">
        <references count="1">
          <reference field="4294967294" count="1" selected="0">
            <x v="1"/>
          </reference>
        </references>
      </pivotArea>
    </format>
    <format dxfId="131">
      <pivotArea dataOnly="0" labelOnly="1" outline="0" fieldPosition="0">
        <references count="1">
          <reference field="4294967294"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B4FACD8-D4C1-4EA3-A8FB-81277388FB34}" name="PivotTable2" cacheId="58"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location ref="B2:G16" firstHeaderRow="0" firstDataRow="1" firstDataCol="4"/>
  <pivotFields count="29">
    <pivotField axis="axisRow" compact="0" outline="0" showAll="0" defaultSubtotal="0">
      <items count="13">
        <item x="10"/>
        <item x="1"/>
        <item x="2"/>
        <item x="5"/>
        <item x="9"/>
        <item x="4"/>
        <item x="8"/>
        <item x="3"/>
        <item x="0"/>
        <item x="6"/>
        <item x="12"/>
        <item x="11"/>
        <item x="7"/>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numFmtId="10" outline="0" showAll="0" defaultSubtotal="0">
      <extLst>
        <ext xmlns:x14="http://schemas.microsoft.com/office/spreadsheetml/2009/9/main" uri="{2946ED86-A175-432a-8AC1-64E0C546D7DE}">
          <x14:pivotField fillDownLabels="1"/>
        </ext>
      </extLst>
    </pivotField>
    <pivotField compact="0" numFmtId="43" outline="0" showAll="0" defaultSubtotal="0">
      <extLst>
        <ext xmlns:x14="http://schemas.microsoft.com/office/spreadsheetml/2009/9/main" uri="{2946ED86-A175-432a-8AC1-64E0C546D7DE}">
          <x14:pivotField fillDownLabels="1"/>
        </ext>
      </extLst>
    </pivotField>
    <pivotField compact="0" numFmtId="43" outline="0" showAll="0" defaultSubtotal="0">
      <extLst>
        <ext xmlns:x14="http://schemas.microsoft.com/office/spreadsheetml/2009/9/main" uri="{2946ED86-A175-432a-8AC1-64E0C546D7DE}">
          <x14:pivotField fillDownLabels="1"/>
        </ext>
      </extLst>
    </pivotField>
    <pivotField compact="0" numFmtId="43" outline="0" showAll="0" defaultSubtotal="0">
      <extLst>
        <ext xmlns:x14="http://schemas.microsoft.com/office/spreadsheetml/2009/9/main" uri="{2946ED86-A175-432a-8AC1-64E0C546D7DE}">
          <x14:pivotField fillDownLabels="1"/>
        </ext>
      </extLst>
    </pivotField>
    <pivotField compact="0" numFmtId="10" outline="0" showAll="0" defaultSubtotal="0">
      <extLst>
        <ext xmlns:x14="http://schemas.microsoft.com/office/spreadsheetml/2009/9/main" uri="{2946ED86-A175-432a-8AC1-64E0C546D7DE}">
          <x14:pivotField fillDownLabels="1"/>
        </ext>
      </extLst>
    </pivotField>
    <pivotField compact="0" numFmtId="10" outline="0" showAll="0" defaultSubtotal="0">
      <extLst>
        <ext xmlns:x14="http://schemas.microsoft.com/office/spreadsheetml/2009/9/main" uri="{2946ED86-A175-432a-8AC1-64E0C546D7DE}">
          <x14:pivotField fillDownLabels="1"/>
        </ext>
      </extLst>
    </pivotField>
    <pivotField compact="0" numFmtId="43" outline="0" showAll="0" defaultSubtotal="0">
      <extLst>
        <ext xmlns:x14="http://schemas.microsoft.com/office/spreadsheetml/2009/9/main" uri="{2946ED86-A175-432a-8AC1-64E0C546D7DE}">
          <x14:pivotField fillDownLabels="1"/>
        </ext>
      </extLst>
    </pivotField>
    <pivotField compact="0" numFmtId="43" outline="0" showAll="0" defaultSubtotal="0">
      <extLst>
        <ext xmlns:x14="http://schemas.microsoft.com/office/spreadsheetml/2009/9/main" uri="{2946ED86-A175-432a-8AC1-64E0C546D7DE}">
          <x14:pivotField fillDownLabels="1"/>
        </ext>
      </extLst>
    </pivotField>
    <pivotField compact="0" numFmtId="43" outline="0" showAll="0" defaultSubtotal="0">
      <extLst>
        <ext xmlns:x14="http://schemas.microsoft.com/office/spreadsheetml/2009/9/main" uri="{2946ED86-A175-432a-8AC1-64E0C546D7DE}">
          <x14:pivotField fillDownLabels="1"/>
        </ext>
      </extLst>
    </pivotField>
    <pivotField compact="0" numFmtId="43" outline="0" showAll="0" defaultSubtotal="0">
      <extLst>
        <ext xmlns:x14="http://schemas.microsoft.com/office/spreadsheetml/2009/9/main" uri="{2946ED86-A175-432a-8AC1-64E0C546D7DE}">
          <x14:pivotField fillDownLabels="1"/>
        </ext>
      </extLst>
    </pivotField>
    <pivotField axis="axisRow" compact="0" numFmtId="164" outline="0" showAll="0" defaultSubtotal="0">
      <items count="13">
        <item x="12"/>
        <item x="8"/>
        <item x="6"/>
        <item x="3"/>
        <item x="10"/>
        <item x="5"/>
        <item x="9"/>
        <item x="11"/>
        <item x="7"/>
        <item x="4"/>
        <item x="1"/>
        <item x="2"/>
        <item x="0"/>
      </items>
      <extLst>
        <ext xmlns:x14="http://schemas.microsoft.com/office/spreadsheetml/2009/9/main" uri="{2946ED86-A175-432a-8AC1-64E0C546D7DE}">
          <x14:pivotField fillDownLabels="1"/>
        </ext>
      </extLst>
    </pivotField>
    <pivotField compact="0" numFmtId="164" outline="0" showAll="0" defaultSubtotal="0">
      <extLst>
        <ext xmlns:x14="http://schemas.microsoft.com/office/spreadsheetml/2009/9/main" uri="{2946ED86-A175-432a-8AC1-64E0C546D7DE}">
          <x14:pivotField fillDownLabels="1"/>
        </ext>
      </extLst>
    </pivotField>
    <pivotField compact="0" numFmtId="164" outline="0" showAll="0" defaultSubtotal="0">
      <extLst>
        <ext xmlns:x14="http://schemas.microsoft.com/office/spreadsheetml/2009/9/main" uri="{2946ED86-A175-432a-8AC1-64E0C546D7DE}">
          <x14:pivotField fillDownLabels="1"/>
        </ext>
      </extLst>
    </pivotField>
    <pivotField compact="0" numFmtId="10" outline="0" showAll="0" defaultSubtotal="0">
      <extLst>
        <ext xmlns:x14="http://schemas.microsoft.com/office/spreadsheetml/2009/9/main" uri="{2946ED86-A175-432a-8AC1-64E0C546D7DE}">
          <x14:pivotField fillDownLabels="1"/>
        </ext>
      </extLst>
    </pivotField>
    <pivotField compact="0" numFmtId="43" outline="0" showAll="0" defaultSubtotal="0">
      <extLst>
        <ext xmlns:x14="http://schemas.microsoft.com/office/spreadsheetml/2009/9/main" uri="{2946ED86-A175-432a-8AC1-64E0C546D7DE}">
          <x14:pivotField fillDownLabels="1"/>
        </ext>
      </extLst>
    </pivotField>
    <pivotField compact="0" numFmtId="43" outline="0" showAll="0" defaultSubtotal="0">
      <extLst>
        <ext xmlns:x14="http://schemas.microsoft.com/office/spreadsheetml/2009/9/main" uri="{2946ED86-A175-432a-8AC1-64E0C546D7DE}">
          <x14:pivotField fillDownLabels="1"/>
        </ext>
      </extLst>
    </pivotField>
    <pivotField compact="0" numFmtId="43" outline="0" showAll="0" defaultSubtotal="0">
      <extLst>
        <ext xmlns:x14="http://schemas.microsoft.com/office/spreadsheetml/2009/9/main" uri="{2946ED86-A175-432a-8AC1-64E0C546D7DE}">
          <x14:pivotField fillDownLabels="1"/>
        </ext>
      </extLst>
    </pivotField>
    <pivotField compact="0" numFmtId="43" outline="0" showAll="0" defaultSubtotal="0">
      <extLst>
        <ext xmlns:x14="http://schemas.microsoft.com/office/spreadsheetml/2009/9/main" uri="{2946ED86-A175-432a-8AC1-64E0C546D7DE}">
          <x14:pivotField fillDownLabels="1"/>
        </ext>
      </extLst>
    </pivotField>
    <pivotField compact="0" numFmtId="43" outline="0" showAll="0" defaultSubtotal="0">
      <extLst>
        <ext xmlns:x14="http://schemas.microsoft.com/office/spreadsheetml/2009/9/main" uri="{2946ED86-A175-432a-8AC1-64E0C546D7DE}">
          <x14:pivotField fillDownLabels="1"/>
        </ext>
      </extLst>
    </pivotField>
    <pivotField compact="0" numFmtId="43" outline="0" showAll="0" defaultSubtotal="0">
      <extLst>
        <ext xmlns:x14="http://schemas.microsoft.com/office/spreadsheetml/2009/9/main" uri="{2946ED86-A175-432a-8AC1-64E0C546D7DE}">
          <x14:pivotField fillDownLabels="1"/>
        </ext>
      </extLst>
    </pivotField>
    <pivotField compact="0" numFmtId="43" outline="0" showAll="0" defaultSubtotal="0">
      <extLst>
        <ext xmlns:x14="http://schemas.microsoft.com/office/spreadsheetml/2009/9/main" uri="{2946ED86-A175-432a-8AC1-64E0C546D7DE}">
          <x14:pivotField fillDownLabels="1"/>
        </ext>
      </extLst>
    </pivotField>
    <pivotField compact="0" numFmtId="9" outline="0" showAll="0" defaultSubtotal="0">
      <extLst>
        <ext xmlns:x14="http://schemas.microsoft.com/office/spreadsheetml/2009/9/main" uri="{2946ED86-A175-432a-8AC1-64E0C546D7DE}">
          <x14:pivotField fillDownLabels="1"/>
        </ext>
      </extLst>
    </pivotField>
    <pivotField axis="axisRow" compact="0" outline="0" showAll="0" defaultSubtotal="0">
      <items count="3">
        <item x="2"/>
        <item x="1"/>
        <item x="0"/>
      </items>
      <extLst>
        <ext xmlns:x14="http://schemas.microsoft.com/office/spreadsheetml/2009/9/main" uri="{2946ED86-A175-432a-8AC1-64E0C546D7DE}">
          <x14:pivotField fillDownLabels="1"/>
        </ext>
      </extLst>
    </pivotField>
    <pivotField axis="axisRow" compact="0" numFmtId="44" outline="0" showAll="0" defaultSubtotal="0">
      <items count="4">
        <item x="1"/>
        <item m="1" x="2"/>
        <item x="0"/>
        <item m="1" x="3"/>
      </items>
      <extLst>
        <ext xmlns:x14="http://schemas.microsoft.com/office/spreadsheetml/2009/9/main" uri="{2946ED86-A175-432a-8AC1-64E0C546D7DE}">
          <x14:pivotField fillDownLabels="1"/>
        </ext>
      </extLst>
    </pivotField>
    <pivotField compact="0" numFmtId="43" outline="0" showAll="0" defaultSubtotal="0">
      <extLst>
        <ext xmlns:x14="http://schemas.microsoft.com/office/spreadsheetml/2009/9/main" uri="{2946ED86-A175-432a-8AC1-64E0C546D7DE}">
          <x14:pivotField fillDownLabels="1"/>
        </ext>
      </extLst>
    </pivotField>
    <pivotField dataField="1" compact="0" numFmtId="44" outline="0" showAll="0" defaultSubtotal="0">
      <extLst>
        <ext xmlns:x14="http://schemas.microsoft.com/office/spreadsheetml/2009/9/main" uri="{2946ED86-A175-432a-8AC1-64E0C546D7DE}">
          <x14:pivotField fillDownLabels="1"/>
        </ext>
      </extLst>
    </pivotField>
    <pivotField dataField="1" compact="0" numFmtId="10" outline="0" showAll="0" defaultSubtotal="0">
      <extLst>
        <ext xmlns:x14="http://schemas.microsoft.com/office/spreadsheetml/2009/9/main" uri="{2946ED86-A175-432a-8AC1-64E0C546D7DE}">
          <x14:pivotField fillDownLabels="1"/>
        </ext>
      </extLst>
    </pivotField>
  </pivotFields>
  <rowFields count="4">
    <field x="0"/>
    <field x="24"/>
    <field x="12"/>
    <field x="25"/>
  </rowFields>
  <rowItems count="14">
    <i>
      <x/>
      <x v="2"/>
      <x v="4"/>
      <x/>
    </i>
    <i>
      <x v="1"/>
      <x v="1"/>
      <x v="10"/>
      <x v="2"/>
    </i>
    <i>
      <x v="2"/>
      <x v="1"/>
      <x v="11"/>
      <x v="2"/>
    </i>
    <i>
      <x v="3"/>
      <x/>
      <x v="5"/>
      <x/>
    </i>
    <i>
      <x v="4"/>
      <x/>
      <x v="6"/>
      <x v="2"/>
    </i>
    <i>
      <x v="5"/>
      <x v="2"/>
      <x v="9"/>
      <x v="2"/>
    </i>
    <i>
      <x v="6"/>
      <x/>
      <x v="1"/>
      <x/>
    </i>
    <i>
      <x v="7"/>
      <x v="1"/>
      <x v="3"/>
      <x v="2"/>
    </i>
    <i>
      <x v="8"/>
      <x v="2"/>
      <x v="12"/>
      <x v="2"/>
    </i>
    <i>
      <x v="9"/>
      <x/>
      <x v="2"/>
      <x v="2"/>
    </i>
    <i>
      <x v="10"/>
      <x v="2"/>
      <x/>
      <x/>
    </i>
    <i>
      <x v="11"/>
      <x/>
      <x v="7"/>
      <x/>
    </i>
    <i>
      <x v="12"/>
      <x/>
      <x v="8"/>
      <x v="2"/>
    </i>
    <i t="grand">
      <x/>
    </i>
  </rowItems>
  <colFields count="1">
    <field x="-2"/>
  </colFields>
  <colItems count="2">
    <i>
      <x/>
    </i>
    <i i="1">
      <x v="1"/>
    </i>
  </colItems>
  <dataFields count="2">
    <dataField name="Sum of Profit" fld="27" baseField="0" baseItem="0" numFmtId="164"/>
    <dataField name="Sum of Profit %" fld="28" baseField="0" baseItem="0" numFmtId="9"/>
  </dataFields>
  <formats count="4">
    <format dxfId="130">
      <pivotArea outline="0" fieldPosition="0">
        <references count="1">
          <reference field="4294967294" count="1" selected="0">
            <x v="0"/>
          </reference>
        </references>
      </pivotArea>
    </format>
    <format dxfId="129">
      <pivotArea dataOnly="0" labelOnly="1" outline="0" fieldPosition="0">
        <references count="1">
          <reference field="4294967294" count="1">
            <x v="0"/>
          </reference>
        </references>
      </pivotArea>
    </format>
    <format dxfId="128">
      <pivotArea outline="0" fieldPosition="0">
        <references count="1">
          <reference field="4294967294" count="1" selected="0">
            <x v="1"/>
          </reference>
        </references>
      </pivotArea>
    </format>
    <format dxfId="127">
      <pivotArea dataOnly="0" labelOnly="1" outline="0" fieldPosition="0">
        <references count="1">
          <reference field="4294967294"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B3CF6C1-004B-4050-B2A5-6234CF3AA49B}" name="PivotTable3" cacheId="85"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location ref="B2:G12" firstHeaderRow="0" firstDataRow="1" firstDataCol="4"/>
  <pivotFields count="29">
    <pivotField axis="axisRow" compact="0" outline="0" showAll="0" defaultSubtotal="0">
      <items count="9">
        <item x="6"/>
        <item x="1"/>
        <item x="7"/>
        <item x="3"/>
        <item x="2"/>
        <item x="5"/>
        <item x="0"/>
        <item x="4"/>
        <item x="8"/>
      </items>
    </pivotField>
    <pivotField compact="0" outline="0" showAll="0" defaultSubtotal="0"/>
    <pivotField compact="0" numFmtId="10" outline="0" showAll="0" defaultSubtotal="0"/>
    <pivotField compact="0" numFmtId="43" outline="0" showAll="0" defaultSubtotal="0"/>
    <pivotField compact="0" numFmtId="43" outline="0" showAll="0" defaultSubtotal="0"/>
    <pivotField compact="0" numFmtId="43" outline="0" showAll="0" defaultSubtotal="0"/>
    <pivotField compact="0" numFmtId="10" outline="0" showAll="0" defaultSubtotal="0"/>
    <pivotField compact="0" numFmtId="10" outline="0" showAll="0" defaultSubtotal="0"/>
    <pivotField compact="0" numFmtId="43" outline="0" showAll="0" defaultSubtotal="0"/>
    <pivotField compact="0" numFmtId="43" outline="0" showAll="0" defaultSubtotal="0"/>
    <pivotField compact="0" numFmtId="43" outline="0" showAll="0" defaultSubtotal="0"/>
    <pivotField compact="0" numFmtId="43" outline="0" showAll="0" defaultSubtotal="0"/>
    <pivotField axis="axisRow" compact="0" numFmtId="164" outline="0" showAll="0" defaultSubtotal="0">
      <items count="9">
        <item x="1"/>
        <item x="8"/>
        <item x="7"/>
        <item x="3"/>
        <item x="4"/>
        <item x="2"/>
        <item x="5"/>
        <item x="6"/>
        <item x="0"/>
      </items>
    </pivotField>
    <pivotField compact="0" numFmtId="164" outline="0" showAll="0" defaultSubtotal="0"/>
    <pivotField compact="0" numFmtId="164" outline="0" showAll="0" defaultSubtotal="0"/>
    <pivotField compact="0" numFmtId="10" outline="0" showAll="0" defaultSubtotal="0"/>
    <pivotField compact="0" numFmtId="43" outline="0" showAll="0" defaultSubtotal="0"/>
    <pivotField compact="0" numFmtId="43" outline="0" showAll="0" defaultSubtotal="0"/>
    <pivotField compact="0" numFmtId="43" outline="0" showAll="0" defaultSubtotal="0"/>
    <pivotField compact="0" numFmtId="43" outline="0" showAll="0" defaultSubtotal="0"/>
    <pivotField compact="0" numFmtId="43" outline="0" showAll="0" defaultSubtotal="0"/>
    <pivotField compact="0" numFmtId="43" outline="0" showAll="0" defaultSubtotal="0"/>
    <pivotField compact="0" numFmtId="43" outline="0" showAll="0" defaultSubtotal="0"/>
    <pivotField compact="0" numFmtId="9" outline="0" showAll="0" defaultSubtotal="0"/>
    <pivotField axis="axisRow" compact="0" outline="0" showAll="0" defaultSubtotal="0">
      <items count="2">
        <item x="0"/>
        <item x="1"/>
      </items>
    </pivotField>
    <pivotField axis="axisRow" compact="0" numFmtId="44" outline="0" showAll="0" defaultSubtotal="0">
      <items count="2">
        <item x="1"/>
        <item x="0"/>
      </items>
    </pivotField>
    <pivotField compact="0" numFmtId="43" outline="0" showAll="0" defaultSubtotal="0"/>
    <pivotField dataField="1" compact="0" numFmtId="44" outline="0" showAll="0" defaultSubtotal="0"/>
    <pivotField dataField="1" compact="0" numFmtId="10" outline="0" showAll="0" defaultSubtotal="0"/>
  </pivotFields>
  <rowFields count="4">
    <field x="0"/>
    <field x="24"/>
    <field x="12"/>
    <field x="25"/>
  </rowFields>
  <rowItems count="10">
    <i>
      <x/>
      <x v="1"/>
      <x v="7"/>
      <x v="1"/>
    </i>
    <i>
      <x v="1"/>
      <x/>
      <x/>
      <x v="1"/>
    </i>
    <i>
      <x v="2"/>
      <x/>
      <x v="2"/>
      <x/>
    </i>
    <i>
      <x v="3"/>
      <x v="1"/>
      <x v="3"/>
      <x/>
    </i>
    <i>
      <x v="4"/>
      <x/>
      <x v="5"/>
      <x v="1"/>
    </i>
    <i>
      <x v="5"/>
      <x v="1"/>
      <x v="6"/>
      <x/>
    </i>
    <i>
      <x v="6"/>
      <x/>
      <x v="8"/>
      <x v="1"/>
    </i>
    <i>
      <x v="7"/>
      <x/>
      <x v="4"/>
      <x v="1"/>
    </i>
    <i>
      <x v="8"/>
      <x v="1"/>
      <x v="1"/>
      <x v="1"/>
    </i>
    <i t="grand">
      <x/>
    </i>
  </rowItems>
  <colFields count="1">
    <field x="-2"/>
  </colFields>
  <colItems count="2">
    <i>
      <x/>
    </i>
    <i i="1">
      <x v="1"/>
    </i>
  </colItems>
  <dataFields count="2">
    <dataField name="Sum of Profit" fld="27" baseField="0" baseItem="0" numFmtId="164"/>
    <dataField name="Sum of Profit %" fld="28" baseField="0" baseItem="0" numFmtId="9"/>
  </dataFields>
  <formats count="4">
    <format dxfId="126">
      <pivotArea outline="0" fieldPosition="0">
        <references count="1">
          <reference field="4294967294" count="1" selected="0">
            <x v="0"/>
          </reference>
        </references>
      </pivotArea>
    </format>
    <format dxfId="125">
      <pivotArea dataOnly="0" labelOnly="1" outline="0" fieldPosition="0">
        <references count="1">
          <reference field="4294967294" count="1">
            <x v="0"/>
          </reference>
        </references>
      </pivotArea>
    </format>
    <format dxfId="124">
      <pivotArea outline="0" fieldPosition="0">
        <references count="1">
          <reference field="4294967294" count="1" selected="0">
            <x v="1"/>
          </reference>
        </references>
      </pivotArea>
    </format>
    <format dxfId="123">
      <pivotArea dataOnly="0" labelOnly="1" outline="0" fieldPosition="0">
        <references count="1">
          <reference field="4294967294"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5EC6749-4BF6-4E00-8483-A06E3D50D07C}" name="PivotTable4" cacheId="92"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location ref="B2:H6" firstHeaderRow="0" firstDataRow="1" firstDataCol="5"/>
  <pivotFields count="29">
    <pivotField axis="axisRow" compact="0" outline="0" showAll="0" defaultSubtotal="0">
      <items count="4">
        <item x="1"/>
        <item x="2"/>
        <item x="0"/>
        <item x="3"/>
      </items>
    </pivotField>
    <pivotField compact="0" outline="0" showAll="0" defaultSubtotal="0"/>
    <pivotField compact="0" numFmtId="10" outline="0" showAll="0" defaultSubtotal="0"/>
    <pivotField compact="0" numFmtId="43" outline="0" showAll="0" defaultSubtotal="0"/>
    <pivotField compact="0" numFmtId="43" outline="0" showAll="0" defaultSubtotal="0"/>
    <pivotField compact="0" numFmtId="43" outline="0" showAll="0" defaultSubtotal="0"/>
    <pivotField compact="0" numFmtId="10" outline="0" showAll="0" defaultSubtotal="0"/>
    <pivotField compact="0" numFmtId="10" outline="0" showAll="0" defaultSubtotal="0"/>
    <pivotField compact="0" numFmtId="43" outline="0" showAll="0" defaultSubtotal="0"/>
    <pivotField compact="0" numFmtId="43" outline="0" showAll="0" defaultSubtotal="0"/>
    <pivotField compact="0" numFmtId="43" outline="0" showAll="0" defaultSubtotal="0"/>
    <pivotField compact="0" numFmtId="43" outline="0" showAll="0" defaultSubtotal="0"/>
    <pivotField axis="axisRow" compact="0" numFmtId="164" outline="0" showAll="0" defaultSubtotal="0">
      <items count="4">
        <item x="3"/>
        <item x="1"/>
        <item x="2"/>
        <item x="0"/>
      </items>
    </pivotField>
    <pivotField compact="0" numFmtId="164" outline="0" showAll="0" defaultSubtotal="0"/>
    <pivotField compact="0" numFmtId="164" outline="0" showAll="0" defaultSubtotal="0"/>
    <pivotField compact="0" numFmtId="10" outline="0" showAll="0" defaultSubtotal="0"/>
    <pivotField compact="0" numFmtId="43" outline="0" showAll="0" defaultSubtotal="0"/>
    <pivotField compact="0" numFmtId="43" outline="0" showAll="0" defaultSubtotal="0"/>
    <pivotField compact="0" numFmtId="43" outline="0" showAll="0" defaultSubtotal="0"/>
    <pivotField compact="0" numFmtId="43" outline="0" showAll="0" defaultSubtotal="0"/>
    <pivotField compact="0" numFmtId="43" outline="0" showAll="0" defaultSubtotal="0"/>
    <pivotField compact="0" numFmtId="43" outline="0" showAll="0" defaultSubtotal="0"/>
    <pivotField compact="0" numFmtId="43" outline="0" showAll="0" defaultSubtotal="0"/>
    <pivotField compact="0" numFmtId="9" outline="0" showAll="0" defaultSubtotal="0"/>
    <pivotField axis="axisRow" compact="0" outline="0" showAll="0" defaultSubtotal="0">
      <items count="2">
        <item x="0"/>
        <item x="1"/>
      </items>
    </pivotField>
    <pivotField axis="axisRow" compact="0" numFmtId="44" outline="0" showAll="0" defaultSubtotal="0">
      <items count="2">
        <item h="1" x="1"/>
        <item x="0"/>
      </items>
    </pivotField>
    <pivotField axis="axisRow" compact="0" numFmtId="43" outline="0" showAll="0" defaultSubtotal="0">
      <items count="4">
        <item x="2"/>
        <item x="0"/>
        <item x="1"/>
        <item x="3"/>
      </items>
    </pivotField>
    <pivotField dataField="1" compact="0" numFmtId="44" outline="0" showAll="0" defaultSubtotal="0"/>
    <pivotField dataField="1" compact="0" numFmtId="10" outline="0" showAll="0" defaultSubtotal="0"/>
  </pivotFields>
  <rowFields count="5">
    <field x="0"/>
    <field x="24"/>
    <field x="12"/>
    <field x="25"/>
    <field x="26"/>
  </rowFields>
  <rowItems count="4">
    <i>
      <x/>
      <x/>
      <x v="1"/>
      <x v="1"/>
      <x v="2"/>
    </i>
    <i>
      <x v="2"/>
      <x/>
      <x v="3"/>
      <x v="1"/>
      <x v="1"/>
    </i>
    <i>
      <x v="3"/>
      <x v="1"/>
      <x/>
      <x v="1"/>
      <x v="3"/>
    </i>
    <i t="grand">
      <x/>
    </i>
  </rowItems>
  <colFields count="1">
    <field x="-2"/>
  </colFields>
  <colItems count="2">
    <i>
      <x/>
    </i>
    <i i="1">
      <x v="1"/>
    </i>
  </colItems>
  <dataFields count="2">
    <dataField name="Sum of Profit" fld="27" baseField="0" baseItem="0" numFmtId="164"/>
    <dataField name="Sum of Profit %" fld="28" baseField="0" baseItem="0" numFmtId="9"/>
  </dataFields>
  <formats count="27">
    <format dxfId="122">
      <pivotArea type="all" dataOnly="0" outline="0" fieldPosition="0"/>
    </format>
    <format dxfId="121">
      <pivotArea outline="0" collapsedLevelsAreSubtotals="1" fieldPosition="0"/>
    </format>
    <format dxfId="120">
      <pivotArea field="0" type="button" dataOnly="0" labelOnly="1" outline="0" axis="axisRow" fieldPosition="0"/>
    </format>
    <format dxfId="119">
      <pivotArea field="24" type="button" dataOnly="0" labelOnly="1" outline="0" axis="axisRow" fieldPosition="1"/>
    </format>
    <format dxfId="118">
      <pivotArea field="12" type="button" dataOnly="0" labelOnly="1" outline="0" axis="axisRow" fieldPosition="2"/>
    </format>
    <format dxfId="117">
      <pivotArea field="25" type="button" dataOnly="0" labelOnly="1" outline="0" axis="axisRow" fieldPosition="3"/>
    </format>
    <format dxfId="116">
      <pivotArea field="26" type="button" dataOnly="0" labelOnly="1" outline="0" axis="axisRow" fieldPosition="4"/>
    </format>
    <format dxfId="115">
      <pivotArea dataOnly="0" labelOnly="1" outline="0" fieldPosition="0">
        <references count="1">
          <reference field="0" count="0"/>
        </references>
      </pivotArea>
    </format>
    <format dxfId="114">
      <pivotArea dataOnly="0" labelOnly="1" grandRow="1" outline="0" fieldPosition="0"/>
    </format>
    <format dxfId="113">
      <pivotArea dataOnly="0" labelOnly="1" outline="0" fieldPosition="0">
        <references count="2">
          <reference field="0" count="1" selected="0">
            <x v="0"/>
          </reference>
          <reference field="24" count="1">
            <x v="0"/>
          </reference>
        </references>
      </pivotArea>
    </format>
    <format dxfId="112">
      <pivotArea dataOnly="0" labelOnly="1" outline="0" fieldPosition="0">
        <references count="2">
          <reference field="0" count="1" selected="0">
            <x v="3"/>
          </reference>
          <reference field="24" count="1">
            <x v="1"/>
          </reference>
        </references>
      </pivotArea>
    </format>
    <format dxfId="111">
      <pivotArea dataOnly="0" labelOnly="1" outline="0" fieldPosition="0">
        <references count="3">
          <reference field="0" count="1" selected="0">
            <x v="0"/>
          </reference>
          <reference field="12" count="1">
            <x v="1"/>
          </reference>
          <reference field="24" count="1" selected="0">
            <x v="0"/>
          </reference>
        </references>
      </pivotArea>
    </format>
    <format dxfId="110">
      <pivotArea dataOnly="0" labelOnly="1" outline="0" fieldPosition="0">
        <references count="3">
          <reference field="0" count="1" selected="0">
            <x v="1"/>
          </reference>
          <reference field="12" count="1">
            <x v="2"/>
          </reference>
          <reference field="24" count="1" selected="0">
            <x v="0"/>
          </reference>
        </references>
      </pivotArea>
    </format>
    <format dxfId="109">
      <pivotArea dataOnly="0" labelOnly="1" outline="0" fieldPosition="0">
        <references count="3">
          <reference field="0" count="1" selected="0">
            <x v="2"/>
          </reference>
          <reference field="12" count="1">
            <x v="3"/>
          </reference>
          <reference field="24" count="1" selected="0">
            <x v="0"/>
          </reference>
        </references>
      </pivotArea>
    </format>
    <format dxfId="108">
      <pivotArea dataOnly="0" labelOnly="1" outline="0" fieldPosition="0">
        <references count="3">
          <reference field="0" count="1" selected="0">
            <x v="3"/>
          </reference>
          <reference field="12" count="1">
            <x v="0"/>
          </reference>
          <reference field="24" count="1" selected="0">
            <x v="1"/>
          </reference>
        </references>
      </pivotArea>
    </format>
    <format dxfId="107">
      <pivotArea dataOnly="0" labelOnly="1" outline="0" fieldPosition="0">
        <references count="4">
          <reference field="0" count="1" selected="0">
            <x v="0"/>
          </reference>
          <reference field="12" count="1" selected="0">
            <x v="1"/>
          </reference>
          <reference field="24" count="1" selected="0">
            <x v="0"/>
          </reference>
          <reference field="25" count="1">
            <x v="1"/>
          </reference>
        </references>
      </pivotArea>
    </format>
    <format dxfId="106">
      <pivotArea dataOnly="0" labelOnly="1" outline="0" fieldPosition="0">
        <references count="4">
          <reference field="0" count="1" selected="0">
            <x v="1"/>
          </reference>
          <reference field="12" count="1" selected="0">
            <x v="2"/>
          </reference>
          <reference field="24" count="1" selected="0">
            <x v="0"/>
          </reference>
          <reference field="25" count="1">
            <x v="0"/>
          </reference>
        </references>
      </pivotArea>
    </format>
    <format dxfId="105">
      <pivotArea dataOnly="0" labelOnly="1" outline="0" fieldPosition="0">
        <references count="4">
          <reference field="0" count="1" selected="0">
            <x v="2"/>
          </reference>
          <reference field="12" count="1" selected="0">
            <x v="3"/>
          </reference>
          <reference field="24" count="1" selected="0">
            <x v="0"/>
          </reference>
          <reference field="25" count="1">
            <x v="1"/>
          </reference>
        </references>
      </pivotArea>
    </format>
    <format dxfId="104">
      <pivotArea dataOnly="0" labelOnly="1" outline="0" fieldPosition="0">
        <references count="5">
          <reference field="0" count="1" selected="0">
            <x v="0"/>
          </reference>
          <reference field="12" count="1" selected="0">
            <x v="1"/>
          </reference>
          <reference field="24" count="1" selected="0">
            <x v="0"/>
          </reference>
          <reference field="25" count="1" selected="0">
            <x v="1"/>
          </reference>
          <reference field="26" count="1">
            <x v="2"/>
          </reference>
        </references>
      </pivotArea>
    </format>
    <format dxfId="103">
      <pivotArea dataOnly="0" labelOnly="1" outline="0" fieldPosition="0">
        <references count="5">
          <reference field="0" count="1" selected="0">
            <x v="1"/>
          </reference>
          <reference field="12" count="1" selected="0">
            <x v="2"/>
          </reference>
          <reference field="24" count="1" selected="0">
            <x v="0"/>
          </reference>
          <reference field="25" count="1" selected="0">
            <x v="0"/>
          </reference>
          <reference field="26" count="1">
            <x v="0"/>
          </reference>
        </references>
      </pivotArea>
    </format>
    <format dxfId="102">
      <pivotArea dataOnly="0" labelOnly="1" outline="0" fieldPosition="0">
        <references count="5">
          <reference field="0" count="1" selected="0">
            <x v="2"/>
          </reference>
          <reference field="12" count="1" selected="0">
            <x v="3"/>
          </reference>
          <reference field="24" count="1" selected="0">
            <x v="0"/>
          </reference>
          <reference field="25" count="1" selected="0">
            <x v="1"/>
          </reference>
          <reference field="26" count="1">
            <x v="1"/>
          </reference>
        </references>
      </pivotArea>
    </format>
    <format dxfId="101">
      <pivotArea dataOnly="0" labelOnly="1" outline="0" fieldPosition="0">
        <references count="5">
          <reference field="0" count="1" selected="0">
            <x v="3"/>
          </reference>
          <reference field="12" count="1" selected="0">
            <x v="0"/>
          </reference>
          <reference field="24" count="1" selected="0">
            <x v="1"/>
          </reference>
          <reference field="25" count="1" selected="0">
            <x v="1"/>
          </reference>
          <reference field="26" count="1">
            <x v="3"/>
          </reference>
        </references>
      </pivotArea>
    </format>
    <format dxfId="100">
      <pivotArea dataOnly="0" labelOnly="1" outline="0" fieldPosition="0">
        <references count="1">
          <reference field="4294967294" count="2">
            <x v="0"/>
            <x v="1"/>
          </reference>
        </references>
      </pivotArea>
    </format>
    <format dxfId="99">
      <pivotArea outline="0" fieldPosition="0">
        <references count="1">
          <reference field="4294967294" count="1" selected="0">
            <x v="0"/>
          </reference>
        </references>
      </pivotArea>
    </format>
    <format dxfId="98">
      <pivotArea dataOnly="0" labelOnly="1" outline="0" fieldPosition="0">
        <references count="1">
          <reference field="4294967294" count="1">
            <x v="0"/>
          </reference>
        </references>
      </pivotArea>
    </format>
    <format dxfId="97">
      <pivotArea outline="0" fieldPosition="0">
        <references count="1">
          <reference field="4294967294" count="1" selected="0">
            <x v="1"/>
          </reference>
        </references>
      </pivotArea>
    </format>
    <format dxfId="96">
      <pivotArea dataOnly="0" labelOnly="1" outline="0" fieldPosition="0">
        <references count="1">
          <reference field="4294967294"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63A8A00-310C-4B64-BDC0-C1766C729B57}" name="Table2" displayName="Table2" ref="A2:AA20" totalsRowShown="0" headerRowBorderDxfId="387" tableBorderDxfId="386" totalsRowBorderDxfId="385">
  <autoFilter ref="A2:AA20" xr:uid="{8DEC5EFC-B30F-4018-8A91-2D49549BDAC6}"/>
  <tableColumns count="27">
    <tableColumn id="1" xr3:uid="{C1ED750F-2C4C-4188-9AB4-C02F38A34823}" name="Bank Names" dataDxfId="384"/>
    <tableColumn id="2" xr3:uid="{B7455891-8BF3-4333-8C13-E2595B8B2BE5}" name="P/B" dataDxfId="383"/>
    <tableColumn id="3" xr3:uid="{E526B783-3D6C-46FD-8482-76B134E687A3}" name="CASA" dataDxfId="382" dataCellStyle="Percent"/>
    <tableColumn id="4" xr3:uid="{8CC9B7D2-F125-4F34-9FA3-11FCE735EA44}" name="ROE" dataDxfId="381" dataCellStyle="Percent"/>
    <tableColumn id="5" xr3:uid="{243E9948-3605-4FE3-89BC-F25C3A25177A}" name="ROA" dataDxfId="380" dataCellStyle="Percent"/>
    <tableColumn id="6" xr3:uid="{065817D8-7B4B-480E-B0F8-DEC0857C37D5}" name="NPA" dataDxfId="379" dataCellStyle="Percent"/>
    <tableColumn id="7" xr3:uid="{BB43F7FE-D6FB-45B3-B689-5ED5C80C7011}" name="NIM" dataDxfId="378" dataCellStyle="Percent"/>
    <tableColumn id="8" xr3:uid="{AD1F189C-8DA7-4A8B-B7DD-2D3E49CE39DE}" name="Capital Adequacy" dataDxfId="377" dataCellStyle="Percent"/>
    <tableColumn id="9" xr3:uid="{8E821DD7-DE24-412F-ADD5-AD1BB504D346}" name="Advances Growth" dataDxfId="376" dataCellStyle="Percent"/>
    <tableColumn id="10" xr3:uid="{EBB47D75-E901-4ABC-90E0-60B9208E627D}" name="Current Price" dataDxfId="375"/>
    <tableColumn id="11" xr3:uid="{DEADE9BF-51DB-4F95-B061-CD9CD80AD99F}" name="52 Week High" dataDxfId="374"/>
    <tableColumn id="12" xr3:uid="{C1983505-B276-45E1-A47B-7AA7264205FF}" name="52 Week Low" dataDxfId="373"/>
    <tableColumn id="13" xr3:uid="{8C17F9C2-988D-4C69-AEDF-439762F0E12F}" name="D High" dataDxfId="372" dataCellStyle="Percent">
      <calculatedColumnFormula>(K3-J3)/J3</calculatedColumnFormula>
    </tableColumn>
    <tableColumn id="14" xr3:uid="{DDC11537-3AC5-4001-8A0D-FD388D29CBEF}" name="P/B Score" dataDxfId="371" dataCellStyle="Comma">
      <calculatedColumnFormula>IF(LEFT(B3,1)="0",4,IF(LEFT(B3,1)="1",3,IF(LEFT(B3,1)="2",2,IF(LEFT(B3,1)="3",1,0))))</calculatedColumnFormula>
    </tableColumn>
    <tableColumn id="15" xr3:uid="{1ED764B5-91ED-46B2-9DD1-7A15C8981D0F}" name="CASA Score" dataDxfId="370" dataCellStyle="Comma">
      <calculatedColumnFormula>IF(C3&gt;0.45,4,IF(AND(C3&lt;0.45,C3&gt;0.4),3,IF(AND(C3&lt;0.4,C3&gt;0.35),2,IF(AND(C3&lt;0.35,C3&gt;0.3),1,0))))</calculatedColumnFormula>
    </tableColumn>
    <tableColumn id="16" xr3:uid="{3F75EB64-8FBD-4F36-90DF-8F233002BE4B}" name="ROE Score" dataDxfId="369" dataCellStyle="Comma">
      <calculatedColumnFormula>IF(D3&gt;0.15,4,IF(AND(D3&lt;0.15,D3&gt;0.1),3,IF(AND(D3&lt;0.1,D3&gt;0.05),2,IF(AND(D3&lt;0.05,D3&gt;0),1,0))))</calculatedColumnFormula>
    </tableColumn>
    <tableColumn id="17" xr3:uid="{9D263D82-E7B6-4348-896F-AAA4A3C232C9}" name="ROA Score" dataDxfId="368" dataCellStyle="Comma">
      <calculatedColumnFormula>IF(E3&gt;0.1,4,IF(AND(E3&lt;0.1,E3&gt;0.075),3,IF(AND(E3&lt;0.075,E3&gt;0.05),2,IF(AND(E3&lt;0.05,E3&gt;0.025),1,0))))</calculatedColumnFormula>
    </tableColumn>
    <tableColumn id="18" xr3:uid="{15841E15-3ED6-48A3-8771-6BB471B6331C}" name="NPA Score" dataDxfId="367" dataCellStyle="Comma">
      <calculatedColumnFormula>IF(F3&lt;0.01,4,IF(AND(F3&gt;0.01,F3&lt;0.02),3,IF(AND(F3&gt;0.02,F3&lt;0.03),2,IF(AND(F3&gt;0.03,F3&lt;0.04),1,0))))</calculatedColumnFormula>
    </tableColumn>
    <tableColumn id="19" xr3:uid="{AE0909F8-A9FB-444D-9A75-D0D7567816D5}" name="NIM Score" dataDxfId="366" dataCellStyle="Comma">
      <calculatedColumnFormula>IF(G3&gt;0.04,4,IF(AND(G3&lt;0.04,G3&gt;0.03),3,IF(AND(G3&lt;0.03,G3&gt;0.02),2,IF(AND(G3&lt;0.02,G3&gt;0.01),1,0))))</calculatedColumnFormula>
    </tableColumn>
    <tableColumn id="20" xr3:uid="{83D186DA-E314-4BDD-8C5A-0126D4A9E5A9}" name="CA Score" dataDxfId="365" dataCellStyle="Comma">
      <calculatedColumnFormula>IF(H3&gt;0.16,4,IF(AND(H3&lt;0.16,H3&gt;0.14),3,IF(AND(H3&lt;0.14,H3&gt;0.12),2,IF(AND(H3&lt;0.12,H3&gt;0.1),1,0))))</calculatedColumnFormula>
    </tableColumn>
    <tableColumn id="21" xr3:uid="{4BBE87E0-23BE-4516-9393-9C4117B785D8}" name="AG Score" dataDxfId="364" dataCellStyle="Comma">
      <calculatedColumnFormula>IF(I3&gt;0.25,4,IF(AND(I3&lt;0.25,I3&gt;0.2),3,IF(AND(I3&lt;0.2,I3&gt;0.15),2,IF(AND(I3&lt;0.15,I3&gt;0.1),1,0))))</calculatedColumnFormula>
    </tableColumn>
    <tableColumn id="22" xr3:uid="{B7950838-D2EE-4C53-82CF-C8429661F8D6}" name="Total" dataDxfId="363" dataCellStyle="Percent">
      <calculatedColumnFormula>SUM(N3:U3)/32</calculatedColumnFormula>
    </tableColumn>
    <tableColumn id="23" xr3:uid="{C0D684A0-13F8-4BFA-81BA-3335DD394621}" name="Risk" dataDxfId="362"/>
    <tableColumn id="24" xr3:uid="{F02FCE49-455B-4E6C-8C3E-7A95B5DDDBD0}" name="Amount to Invest" dataDxfId="361" dataCellStyle="Currency"/>
    <tableColumn id="25" xr3:uid="{054E6B93-BCEE-4191-ABD8-A5F3495936CC}" name="# Shares" dataDxfId="360" dataCellStyle="Comma">
      <calculatedColumnFormula>X3/J3</calculatedColumnFormula>
    </tableColumn>
    <tableColumn id="26" xr3:uid="{974A3600-04E6-4D4B-8F06-70711EE6A29D}" name="Profit" dataDxfId="359">
      <calculatedColumnFormula>Y3*(K3*(IF(W3="Low",0.9,IF(W3="Medium",0.75,0.5)))-J3)</calculatedColumnFormula>
    </tableColumn>
    <tableColumn id="27" xr3:uid="{A87DAEFB-3E9B-4436-89EF-13F53172CA91}" name="Profit %" dataDxfId="358" dataCellStyle="Percent">
      <calculatedColumnFormula>IFERROR(Z3/X3,0)</calculatedColumnFormula>
    </tableColumn>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2563417-F6BE-43DA-A982-2F6A804A3406}" name="Table22" displayName="Table22" ref="A2:AC19" totalsRowShown="0" headerRowBorderDxfId="357" tableBorderDxfId="356" totalsRowBorderDxfId="355">
  <autoFilter ref="A2:AC19" xr:uid="{8DEC5EFC-B30F-4018-8A91-2D49549BDAC6}"/>
  <tableColumns count="29">
    <tableColumn id="1" xr3:uid="{79BF8F18-3AA4-436B-A865-58ECF33E00C9}" name="TTL" dataDxfId="354"/>
    <tableColumn id="2" xr3:uid="{9D212551-18AA-4676-9BA1-BB1AE06C7C53}" name="P/B" dataDxfId="353"/>
    <tableColumn id="5" xr3:uid="{57F55E23-B022-40D4-9702-04324749CAF9}" name="Promoter Holding" dataDxfId="352" dataCellStyle="Percent"/>
    <tableColumn id="6" xr3:uid="{BC508F8F-CCFB-414C-9FF3-6912D2D4E834}" name="P/E" dataDxfId="351" dataCellStyle="Comma"/>
    <tableColumn id="7" xr3:uid="{20CFE215-0B68-4205-ACFE-32AB9C3ADA09}" name="P/C" dataDxfId="350" dataCellStyle="Comma"/>
    <tableColumn id="33" xr3:uid="{37392444-7216-4838-91EC-85EADCDE282F}" name="P/E - P/C" dataDxfId="349" dataCellStyle="Comma">
      <calculatedColumnFormula>IF(OR(Table22[[#This Row],[P/C]]&lt;=0,Table22[[#This Row],[P/E]]&lt;=0),100,Table22[[#This Row],[P/E]]-Table22[[#This Row],[P/C]])</calculatedColumnFormula>
    </tableColumn>
    <tableColumn id="9" xr3:uid="{9B56EC52-A2EB-4C49-A299-73224B9D2219}" name="ROE" dataDxfId="348" dataCellStyle="Percent"/>
    <tableColumn id="28" xr3:uid="{DEBF68E6-AB3A-40AF-AC80-68607012B6D7}" name="ROCE" dataDxfId="347" dataCellStyle="Percent"/>
    <tableColumn id="30" xr3:uid="{04B28509-0457-4839-9A07-71148AA7416F}" name="CFO/PAT" dataDxfId="346" dataCellStyle="Comma"/>
    <tableColumn id="41" xr3:uid="{13040CFE-F48F-48F8-A3D8-3DF6F1BBB22B}" name="1-CFO/PAT" dataDxfId="345" dataCellStyle="Comma">
      <calculatedColumnFormula>ABS(IF(Table22[[#This Row],[CFO/PAT]]&lt;0,100,1-Table22[[#This Row],[CFO/PAT]]))</calculatedColumnFormula>
    </tableColumn>
    <tableColumn id="31" xr3:uid="{A3E6A60E-E84A-4BCC-A4CC-55496D36E4EA}" name="Debt Equity" dataDxfId="344" dataCellStyle="Comma"/>
    <tableColumn id="42" xr3:uid="{4CA9AECC-B42E-45CB-A9AD-0E95C7C955E3}" name="0-Debt Equity" dataDxfId="343" dataCellStyle="Comma">
      <calculatedColumnFormula>ABS(IF(Table22[[#This Row],[Debt Equity]]&lt;0,100,0-Table22[[#This Row],[Debt Equity]]))</calculatedColumnFormula>
    </tableColumn>
    <tableColumn id="10" xr3:uid="{5B51FC95-B0C5-42D5-B6CC-70A76F4A3848}" name="Current Price" dataDxfId="342"/>
    <tableColumn id="11" xr3:uid="{2169BBFD-9221-4F83-8C37-1E65B79ABFF4}" name="52 Week High" dataDxfId="341"/>
    <tableColumn id="12" xr3:uid="{DDA56513-D00A-4715-BA1E-888BB2A67555}" name="52 Week Low" dataDxfId="340"/>
    <tableColumn id="13" xr3:uid="{0FBD3A35-AB3C-4FD9-BC44-A460714BE946}" name="D High" dataDxfId="339" dataCellStyle="Percent">
      <calculatedColumnFormula>(N3-M3)/M3</calculatedColumnFormula>
    </tableColumn>
    <tableColumn id="14" xr3:uid="{02D6D2DA-2942-4881-99A7-9EB41A557FC6}" name="P/B Score" dataDxfId="338" dataCellStyle="Comma">
      <calculatedColumnFormula>IF(LEFT(B3,1)="0",4,IF(LEFT(B3,1)="1",3,IF(LEFT(B3,1)="2",2,IF(LEFT(B3,1)="3",1,0))))</calculatedColumnFormula>
    </tableColumn>
    <tableColumn id="15" xr3:uid="{15434911-C7F7-4681-A196-38C31CFD31AF}" name="Promoter Holding Score" dataDxfId="337" dataCellStyle="Comma">
      <calculatedColumnFormula>IF(C3&gt;0.7,4,IF(AND(C3&lt;0.7,C3&gt;0.65),3,IF(AND(C3&lt;0.65,C3&gt;0.6),2,IF(AND(C3&lt;0.6,C3&gt;0.55),1,0))))</calculatedColumnFormula>
    </tableColumn>
    <tableColumn id="16" xr3:uid="{191FCD73-3210-4442-A2A0-C62CA1F26C6D}" name="P/E-P/C Score" dataDxfId="336" dataCellStyle="Comma">
      <calculatedColumnFormula>IF(F3&lt;10,4,IF(AND(F3&lt;15,F3&gt;10),3,IF(AND(F3&lt;20,F3&gt;15),2,IF(AND(F3&lt;30,F3&gt;20),1,0))))</calculatedColumnFormula>
    </tableColumn>
    <tableColumn id="18" xr3:uid="{E0F18B7C-53A3-4F5F-B62B-C099C5239871}" name="ROE Score" dataDxfId="335" dataCellStyle="Comma">
      <calculatedColumnFormula>IF(G3&gt;0.25,4,IF(AND(G3&lt;0.25,G3&gt;0.2),3,IF(AND(G3&lt;0.2,G3&gt;0.15),2,IF(AND(G3&lt;0.15,G3&gt;0.1),1,0))))</calculatedColumnFormula>
    </tableColumn>
    <tableColumn id="19" xr3:uid="{1E926DCE-73F9-492F-B9E0-02F5C9F327CB}" name="ROCE Score" dataDxfId="334" dataCellStyle="Comma">
      <calculatedColumnFormula>IF(H3&gt;0.25,4,IF(AND(H3&lt;0.25,H3&gt;0.2),3,IF(AND(H3&lt;0.2,H3&gt;0.15),2,IF(AND(H3&lt;0.15,H3&gt;0.1),1,0))))</calculatedColumnFormula>
    </tableColumn>
    <tableColumn id="21" xr3:uid="{4A611214-1CAF-4FBA-81E0-DE20794DFF4C}" name="1-CFO/PAT Score" dataDxfId="333" dataCellStyle="Comma">
      <calculatedColumnFormula>IF(J3&lt;0.15,4,IF(AND(J3&lt;0.3,J3&gt;0.15),3,IF(AND(J3&lt;0.45,J3&gt;0.3),2,IF(AND(J3&lt;0.6,J3&gt;0.45),1,0))))</calculatedColumnFormula>
    </tableColumn>
    <tableColumn id="43" xr3:uid="{AC507092-D5E7-4A30-B59F-D399AE80E164}" name="0-Debt Equity Score" dataDxfId="332" dataCellStyle="Comma">
      <calculatedColumnFormula>IF(L3=0,4,IF(AND(L3&lt;0.1,L3&gt;0),3,IF(AND(L3&lt;0.2,L3&gt;0.1),2,IF(AND(L3&lt;0.3,L3&gt;0.2),1,0))))</calculatedColumnFormula>
    </tableColumn>
    <tableColumn id="22" xr3:uid="{839C4A35-043B-4CBD-8FC4-93D505D04D9C}" name="Total" dataDxfId="331" dataCellStyle="Percent">
      <calculatedColumnFormula>SUM(Q3:W3)/28</calculatedColumnFormula>
    </tableColumn>
    <tableColumn id="23" xr3:uid="{A1FAFEEE-F476-4F92-8B03-DE78A48E778E}" name="Risk" dataDxfId="330"/>
    <tableColumn id="24" xr3:uid="{735063E2-4454-4158-8298-3016E1DC6A3B}" name="Amount to Invest" dataDxfId="329" dataCellStyle="Currency"/>
    <tableColumn id="25" xr3:uid="{BF22FC1E-3405-42D7-9968-3C99940D4BC7}" name="# Shares" dataDxfId="328" dataCellStyle="Comma">
      <calculatedColumnFormula>Z3/M3</calculatedColumnFormula>
    </tableColumn>
    <tableColumn id="26" xr3:uid="{A7982C76-DED4-487D-8565-E105DDE1CF2B}" name="Profit" dataDxfId="327">
      <calculatedColumnFormula>AA3*(N3*(IF(Y3="Low",0.9,IF(Y3="Medium",0.75,0.5)))-M3)</calculatedColumnFormula>
    </tableColumn>
    <tableColumn id="27" xr3:uid="{44924ADC-4BC5-48B7-9B39-F1EE51F63D5D}" name="Profit %" dataDxfId="326" dataCellStyle="Percent">
      <calculatedColumnFormula>IFERROR(AB3/Z3,0)</calculatedColumnFormula>
    </tableColumn>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B858449-497E-4722-9FF8-FA3B630405F1}" name="Table224" displayName="Table224" ref="A2:AC8" totalsRowShown="0" headerRowBorderDxfId="318" tableBorderDxfId="317" totalsRowBorderDxfId="316">
  <autoFilter ref="A2:AC8" xr:uid="{8DEC5EFC-B30F-4018-8A91-2D49549BDAC6}"/>
  <tableColumns count="29">
    <tableColumn id="1" xr3:uid="{AAD94961-765B-4AA9-A911-25F2CA3E8B89}" name="TTL" dataDxfId="315"/>
    <tableColumn id="2" xr3:uid="{7D696011-7C59-4460-97E0-6A441A88A5C8}" name="P/B" dataDxfId="314"/>
    <tableColumn id="5" xr3:uid="{8E23E061-731D-411B-B1A9-B93F903113E1}" name="Promoter Holding" dataDxfId="313" dataCellStyle="Percent"/>
    <tableColumn id="6" xr3:uid="{BC46D53A-1215-4A0C-A8CB-2D2B0270839F}" name="P/E" dataDxfId="312" dataCellStyle="Comma"/>
    <tableColumn id="7" xr3:uid="{7A0B2693-2F10-447B-8670-C3D14BD69DE8}" name="P/C" dataDxfId="311" dataCellStyle="Comma"/>
    <tableColumn id="33" xr3:uid="{BD9A207D-13F0-4C47-BB9E-FC3E31933535}" name="P/E - P/C" dataDxfId="310" dataCellStyle="Comma">
      <calculatedColumnFormula>IF(OR(Table224[[#This Row],[P/C]]&lt;=0,Table224[[#This Row],[P/E]]&lt;=0),100,Table224[[#This Row],[P/E]]-Table224[[#This Row],[P/C]])</calculatedColumnFormula>
    </tableColumn>
    <tableColumn id="9" xr3:uid="{0C74134F-60E1-46A2-9E94-79F4D133B7FB}" name="ROE" dataDxfId="309" dataCellStyle="Percent"/>
    <tableColumn id="28" xr3:uid="{FCBA0E1E-1556-472D-9618-4FA8184A5890}" name="ROCE" dataDxfId="308" dataCellStyle="Percent"/>
    <tableColumn id="30" xr3:uid="{A6FDACB6-DA1A-4D88-8DF7-AAF0C4B1CD44}" name="CFO/PAT" dataDxfId="307" dataCellStyle="Comma"/>
    <tableColumn id="41" xr3:uid="{705E558B-856A-43FA-8785-46ABFCA24F84}" name="1-CFO/PAT" dataDxfId="306" dataCellStyle="Comma">
      <calculatedColumnFormula>ABS(IF(Table224[[#This Row],[CFO/PAT]]&lt;0,100,1-Table224[[#This Row],[CFO/PAT]]))</calculatedColumnFormula>
    </tableColumn>
    <tableColumn id="31" xr3:uid="{3316A099-EB9D-43DA-B6D1-92B48371DAAE}" name="Debt Equity" dataDxfId="305" dataCellStyle="Comma"/>
    <tableColumn id="42" xr3:uid="{54436CDF-A892-42FB-84E3-94EEE6A110CF}" name="0-Debt Equity" dataDxfId="304" dataCellStyle="Comma">
      <calculatedColumnFormula>ABS(IF(Table224[[#This Row],[Debt Equity]]&lt;0,100,0-Table224[[#This Row],[Debt Equity]]))</calculatedColumnFormula>
    </tableColumn>
    <tableColumn id="10" xr3:uid="{78AC688D-1E58-41FD-A743-DF725A2F23C1}" name="Current Price" dataDxfId="303"/>
    <tableColumn id="11" xr3:uid="{708EF0D4-1FE1-4866-936E-F895C55ADE9F}" name="52 Week High" dataDxfId="302"/>
    <tableColumn id="12" xr3:uid="{B40F04DF-60BC-4423-A25D-E5AC25620199}" name="52 Week Low" dataDxfId="301"/>
    <tableColumn id="13" xr3:uid="{0B199085-39F2-4289-8A7B-BCE44AC04A9F}" name="D High" dataDxfId="300" dataCellStyle="Percent">
      <calculatedColumnFormula>(N3-M3)/M3</calculatedColumnFormula>
    </tableColumn>
    <tableColumn id="14" xr3:uid="{E1E9E932-51C4-45DF-AB95-9771FEA31F2E}" name="P/B Score" dataDxfId="299" dataCellStyle="Comma">
      <calculatedColumnFormula>IF(LEFT(B3,1)="0",4,IF(LEFT(B3,1)="1",3,IF(LEFT(B3,1)="2",2,IF(LEFT(B3,1)="3",1,0))))</calculatedColumnFormula>
    </tableColumn>
    <tableColumn id="15" xr3:uid="{A1955040-D1C9-4380-AE05-EFE144B69972}" name="Promoter Holding Score" dataDxfId="298" dataCellStyle="Comma">
      <calculatedColumnFormula>IF(C3&gt;0.7,4,IF(AND(C3&lt;0.7,C3&gt;0.65),3,IF(AND(C3&lt;0.65,C3&gt;0.6),2,IF(AND(C3&lt;0.6,C3&gt;0.55),1,0))))</calculatedColumnFormula>
    </tableColumn>
    <tableColumn id="16" xr3:uid="{5DD98F0B-23E5-4BAB-8C91-A11AE18190E2}" name="P/E-P/C Score" dataDxfId="297" dataCellStyle="Comma">
      <calculatedColumnFormula>IF(F3&lt;10,4,IF(AND(F3&lt;15,F3&gt;10),3,IF(AND(F3&lt;20,F3&gt;15),2,IF(AND(F3&lt;30,F3&gt;20),1,0))))</calculatedColumnFormula>
    </tableColumn>
    <tableColumn id="18" xr3:uid="{06C90CFF-605F-42E8-A3DE-6B3842D0195D}" name="ROE Score" dataDxfId="296" dataCellStyle="Comma">
      <calculatedColumnFormula>IF(G3&gt;0.25,4,IF(AND(G3&lt;0.25,G3&gt;0.2),3,IF(AND(G3&lt;0.2,G3&gt;0.15),2,IF(AND(G3&lt;0.15,G3&gt;0.1),1,0))))</calculatedColumnFormula>
    </tableColumn>
    <tableColumn id="19" xr3:uid="{FE302036-4827-4921-8CA0-CD236B261FC9}" name="ROCE Score" dataDxfId="295" dataCellStyle="Comma">
      <calculatedColumnFormula>IF(H3&gt;0.25,4,IF(AND(H3&lt;0.25,H3&gt;0.2),3,IF(AND(H3&lt;0.2,H3&gt;0.15),2,IF(AND(H3&lt;0.15,H3&gt;0.1),1,0))))</calculatedColumnFormula>
    </tableColumn>
    <tableColumn id="21" xr3:uid="{CA1EB588-194F-45AC-9A0B-1F9473FC05F6}" name="1-CFO/PAT Score" dataDxfId="294" dataCellStyle="Comma">
      <calculatedColumnFormula>IF(J3&lt;0.15,4,IF(AND(J3&lt;0.3,J3&gt;0.15),3,IF(AND(J3&lt;0.45,J3&gt;0.3),2,IF(AND(J3&lt;0.6,J3&gt;0.45),1,0))))</calculatedColumnFormula>
    </tableColumn>
    <tableColumn id="43" xr3:uid="{8BD3C58E-D71C-4BA4-B49F-B608BB010004}" name="0-Debt Equity Score" dataDxfId="293" dataCellStyle="Comma">
      <calculatedColumnFormula>IF(L3=0,4,IF(AND(L3&lt;0.1,L3&gt;0),3,IF(AND(L3&lt;0.2,L3&gt;0.1),2,IF(AND(L3&lt;0.3,L3&gt;0.2),1,0))))</calculatedColumnFormula>
    </tableColumn>
    <tableColumn id="22" xr3:uid="{CA41CBD2-7008-4613-9254-B39544CB0544}" name="Total" dataDxfId="292" dataCellStyle="Percent">
      <calculatedColumnFormula>SUM(Q3:W3)/28</calculatedColumnFormula>
    </tableColumn>
    <tableColumn id="23" xr3:uid="{17BB5C6B-AFBA-4BEE-9FCF-F2E1747DF4DF}" name="Risk" dataDxfId="291"/>
    <tableColumn id="24" xr3:uid="{8B30A475-5BCC-4B8F-B024-8C8104061A6F}" name="Amount to Invest" dataDxfId="290" dataCellStyle="Currency"/>
    <tableColumn id="25" xr3:uid="{C705830E-8D41-4511-980E-D404CBA6DCC8}" name="# Shares" dataDxfId="289" dataCellStyle="Comma">
      <calculatedColumnFormula>Z3/M3</calculatedColumnFormula>
    </tableColumn>
    <tableColumn id="26" xr3:uid="{644BDCCD-9C7A-473F-9CE5-2024F2FDE51D}" name="Profit" dataDxfId="288">
      <calculatedColumnFormula>AA3*(N3*(IF(Y3="Low",0.9,IF(Y3="Medium",0.75,0.5)))-M3)</calculatedColumnFormula>
    </tableColumn>
    <tableColumn id="27" xr3:uid="{9501CAF6-C42D-4035-A012-D91A7C873B00}" name="Profit %" dataDxfId="287" dataCellStyle="Percent">
      <calculatedColumnFormula>IFERROR(AB3/Z3,0)</calculatedColumnFormula>
    </tableColumn>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FDC6F02-14E8-4D7F-A8F7-845A1C568322}" name="Table22456" displayName="Table22456" ref="A2:AC15" totalsRowShown="0" headerRowBorderDxfId="286" tableBorderDxfId="285" totalsRowBorderDxfId="284">
  <autoFilter ref="A2:AC15" xr:uid="{8DEC5EFC-B30F-4018-8A91-2D49549BDAC6}"/>
  <tableColumns count="29">
    <tableColumn id="1" xr3:uid="{8246EF49-9776-405F-88B7-9DFE4EE4705D}" name="TTL" dataDxfId="283"/>
    <tableColumn id="2" xr3:uid="{DF6B6A30-1C96-4717-BC85-33D81FF85C44}" name="P/B" dataDxfId="282"/>
    <tableColumn id="5" xr3:uid="{0ED2049C-EA51-433D-A59C-B72CF7009307}" name="Promoter Holding" dataDxfId="281" dataCellStyle="Percent"/>
    <tableColumn id="6" xr3:uid="{FBE75EA2-2BE7-4C5E-8F1D-9C745DC86325}" name="P/E" dataDxfId="280" dataCellStyle="Comma"/>
    <tableColumn id="7" xr3:uid="{49803756-562C-4149-86BB-1E5C13348FE9}" name="P/C" dataDxfId="279" dataCellStyle="Comma"/>
    <tableColumn id="33" xr3:uid="{CC0D6EC5-6A52-4406-A5EF-DB1588874BDC}" name="P/E - P/C" dataDxfId="278" dataCellStyle="Comma">
      <calculatedColumnFormula>IF(OR(Table22456[[#This Row],[P/C]]&lt;=0,Table22456[[#This Row],[P/E]]&lt;=0),100,Table22456[[#This Row],[P/E]]-Table22456[[#This Row],[P/C]])</calculatedColumnFormula>
    </tableColumn>
    <tableColumn id="9" xr3:uid="{3F815002-17D4-4CDF-A7CB-AA30182D4E98}" name="ROE" dataDxfId="277" dataCellStyle="Percent"/>
    <tableColumn id="28" xr3:uid="{3D3DC37C-8D50-4D34-8F2B-31E885996CCB}" name="ROCE" dataDxfId="276" dataCellStyle="Percent"/>
    <tableColumn id="30" xr3:uid="{11DED2B8-6990-4A63-8160-CE3BFCAB813F}" name="CFO/PAT" dataDxfId="275" dataCellStyle="Comma"/>
    <tableColumn id="41" xr3:uid="{53B60458-FEE5-4513-8688-874900D5F844}" name="1-CFO/PAT" dataDxfId="274" dataCellStyle="Comma">
      <calculatedColumnFormula>ABS(IF(Table22456[[#This Row],[CFO/PAT]]&lt;0,100,1-Table22456[[#This Row],[CFO/PAT]]))</calculatedColumnFormula>
    </tableColumn>
    <tableColumn id="31" xr3:uid="{6C2DAC2F-E0A4-42FA-9C4C-52D6FCEBB00E}" name="Debt Equity" dataDxfId="273" dataCellStyle="Comma"/>
    <tableColumn id="42" xr3:uid="{8B27FBFC-EA36-42E7-8DBD-9DDFD69E8422}" name="0-Debt Equity" dataDxfId="272" dataCellStyle="Comma">
      <calculatedColumnFormula>ABS(IF(Table22456[[#This Row],[Debt Equity]]&lt;0,100,0-Table22456[[#This Row],[Debt Equity]]))</calculatedColumnFormula>
    </tableColumn>
    <tableColumn id="10" xr3:uid="{35B5D29F-9310-4530-88F7-3D07D957C1BD}" name="Current Price" dataDxfId="271"/>
    <tableColumn id="11" xr3:uid="{95143182-8383-41B1-B18B-312CEE3A4396}" name="52 Week High" dataDxfId="270"/>
    <tableColumn id="12" xr3:uid="{1033E7CF-F339-4E6B-B9BE-CC6ECDA88092}" name="52 Week Low" dataDxfId="269"/>
    <tableColumn id="13" xr3:uid="{4250C920-7910-476E-887C-37720F6A027E}" name="D High" dataDxfId="268" dataCellStyle="Percent">
      <calculatedColumnFormula>(N3-M3)/M3</calculatedColumnFormula>
    </tableColumn>
    <tableColumn id="14" xr3:uid="{016463A1-0FA3-44F5-9701-D399642FF1FF}" name="P/B Score" dataDxfId="267" dataCellStyle="Comma">
      <calculatedColumnFormula>IF(LEFT(B3,1)="0",4,IF(LEFT(B3,1)="1",3,IF(LEFT(B3,1)="2",2,IF(LEFT(B3,1)="3",1,0))))</calculatedColumnFormula>
    </tableColumn>
    <tableColumn id="15" xr3:uid="{B47AA0C3-2832-46EE-8FAB-2A544CE8ACEF}" name="Promoter Holding Score" dataDxfId="266" dataCellStyle="Comma">
      <calculatedColumnFormula>IF(C3&gt;0.7,4,IF(AND(C3&lt;0.7,C3&gt;0.65),3,IF(AND(C3&lt;0.65,C3&gt;0.6),2,IF(AND(C3&lt;0.6,C3&gt;0.55),1,0))))</calculatedColumnFormula>
    </tableColumn>
    <tableColumn id="16" xr3:uid="{D4A82B13-6CF1-4414-A9F8-6D7E37480E63}" name="P/E-P/C Score" dataDxfId="265" dataCellStyle="Comma">
      <calculatedColumnFormula>IF(F3&lt;10,4,IF(AND(F3&lt;15,F3&gt;10),3,IF(AND(F3&lt;20,F3&gt;15),2,IF(AND(F3&lt;30,F3&gt;20),1,0))))</calculatedColumnFormula>
    </tableColumn>
    <tableColumn id="18" xr3:uid="{0C192FA8-1C95-4ADA-9FFD-6A567B1B4AB4}" name="ROE Score" dataDxfId="264" dataCellStyle="Comma">
      <calculatedColumnFormula>IF(G3&gt;0.25,4,IF(AND(G3&lt;0.25,G3&gt;0.2),3,IF(AND(G3&lt;0.2,G3&gt;0.15),2,IF(AND(G3&lt;0.15,G3&gt;0.1),1,0))))</calculatedColumnFormula>
    </tableColumn>
    <tableColumn id="19" xr3:uid="{C3989843-4072-4D7A-86D7-1A72792871BA}" name="ROCE Score" dataDxfId="263" dataCellStyle="Comma">
      <calculatedColumnFormula>IF(H3&gt;0.25,4,IF(AND(H3&lt;0.25,H3&gt;0.2),3,IF(AND(H3&lt;0.2,H3&gt;0.15),2,IF(AND(H3&lt;0.15,H3&gt;0.1),1,0))))</calculatedColumnFormula>
    </tableColumn>
    <tableColumn id="21" xr3:uid="{7FFE292A-EC62-45C9-B9A4-C390E224CB7D}" name="1-CFO/PAT Score" dataDxfId="262" dataCellStyle="Comma">
      <calculatedColumnFormula>IF(J3&lt;0.15,4,IF(AND(J3&lt;0.3,J3&gt;0.15),3,IF(AND(J3&lt;0.45,J3&gt;0.3),2,IF(AND(J3&lt;0.6,J3&gt;0.45),1,0))))</calculatedColumnFormula>
    </tableColumn>
    <tableColumn id="43" xr3:uid="{F93F2797-D5B0-4B0E-AD36-D417EAB744B9}" name="0-Debt Equity Score" dataDxfId="261" dataCellStyle="Comma">
      <calculatedColumnFormula>IF(L3=0,4,IF(AND(L3&lt;0.1,L3&gt;0),3,IF(AND(L3&lt;0.2,L3&gt;0.1),2,IF(AND(L3&lt;0.3,L3&gt;0.2),1,0))))</calculatedColumnFormula>
    </tableColumn>
    <tableColumn id="22" xr3:uid="{B46CA09C-2D84-42FE-9A46-9FC91E288C43}" name="Total" dataDxfId="260" dataCellStyle="Percent">
      <calculatedColumnFormula>SUM(Q3:W3)/28</calculatedColumnFormula>
    </tableColumn>
    <tableColumn id="23" xr3:uid="{A82198F1-5F09-437D-9959-DEFA875E37CA}" name="Risk" dataDxfId="259"/>
    <tableColumn id="24" xr3:uid="{908DA58B-D666-4E89-8710-ACF4175BBB73}" name="Amount to Invest" dataDxfId="258" dataCellStyle="Currency"/>
    <tableColumn id="25" xr3:uid="{8A03616A-6F0C-4D05-9228-CC6EEF371991}" name="# Shares" dataDxfId="257" dataCellStyle="Comma">
      <calculatedColumnFormula>Z3/M3</calculatedColumnFormula>
    </tableColumn>
    <tableColumn id="26" xr3:uid="{2056C019-3340-440C-93CD-0624AF31F566}" name="Profit" dataDxfId="256">
      <calculatedColumnFormula>AA3*(N3*(IF(Y3="Low",0.9,IF(Y3="Medium",0.75,0.5)))-M3)</calculatedColumnFormula>
    </tableColumn>
    <tableColumn id="27" xr3:uid="{0F19ADA5-94BA-40A2-AF43-0F7A771E3C47}" name="Profit %" dataDxfId="255" dataCellStyle="Percent">
      <calculatedColumnFormula>IFERROR(AB3/Z3,0)</calculatedColumnFormula>
    </tableColumn>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7C3CE88-388F-4A96-B592-DB158092B686}" name="Table224568" displayName="Table224568" ref="A2:AC11" totalsRowShown="0" headerRowBorderDxfId="254" tableBorderDxfId="253" totalsRowBorderDxfId="252">
  <autoFilter ref="A2:AC11" xr:uid="{8DEC5EFC-B30F-4018-8A91-2D49549BDAC6}"/>
  <tableColumns count="29">
    <tableColumn id="1" xr3:uid="{8FABAE45-11E0-4C70-A7F9-AA8536489823}" name="TTL" dataDxfId="251"/>
    <tableColumn id="2" xr3:uid="{78489499-C92E-4AFF-84D2-F20D57F18938}" name="P/B" dataDxfId="250"/>
    <tableColumn id="5" xr3:uid="{90645A01-B6A8-4D44-8319-0B8735E71958}" name="Promoter Holding" dataDxfId="249" dataCellStyle="Percent"/>
    <tableColumn id="6" xr3:uid="{EBEEFB03-2C3B-4E4F-A875-8EAC52A0EED3}" name="P/E" dataDxfId="248" dataCellStyle="Comma"/>
    <tableColumn id="7" xr3:uid="{529F1017-2D49-424C-962D-0980A8A952DF}" name="P/C" dataDxfId="247" dataCellStyle="Comma"/>
    <tableColumn id="33" xr3:uid="{A163B282-C967-4341-870A-CED7DFFE04DE}" name="P/E - P/C" dataDxfId="246" dataCellStyle="Comma">
      <calculatedColumnFormula>IF(OR(Table224568[[#This Row],[P/C]]&lt;=0,Table224568[[#This Row],[P/E]]&lt;=0),100,Table224568[[#This Row],[P/E]]-Table224568[[#This Row],[P/C]])</calculatedColumnFormula>
    </tableColumn>
    <tableColumn id="9" xr3:uid="{776B8105-9B66-4C05-B486-FDD5A577E292}" name="ROE" dataDxfId="245" dataCellStyle="Percent"/>
    <tableColumn id="28" xr3:uid="{1074CB98-68DA-4B28-8A57-0942BA0EFE29}" name="ROCE" dataDxfId="244" dataCellStyle="Percent"/>
    <tableColumn id="30" xr3:uid="{1C3ADF5D-7BD4-4E82-96F7-B11DC9858995}" name="CFO/PAT" dataDxfId="243" dataCellStyle="Comma"/>
    <tableColumn id="41" xr3:uid="{008FB4ED-4873-47A3-8374-EA05F5E0BD0E}" name="1-CFO/PAT" dataDxfId="242" dataCellStyle="Comma">
      <calculatedColumnFormula>ABS(IF(Table224568[[#This Row],[CFO/PAT]]&lt;0,100,1-Table224568[[#This Row],[CFO/PAT]]))</calculatedColumnFormula>
    </tableColumn>
    <tableColumn id="31" xr3:uid="{2F41CF1C-063D-4901-B40B-C4D241B5FF12}" name="Debt Equity" dataDxfId="241" dataCellStyle="Comma"/>
    <tableColumn id="42" xr3:uid="{7ABEE588-6716-4336-80F5-8ABA6F4D331C}" name="0-Debt Equity" dataDxfId="240" dataCellStyle="Comma">
      <calculatedColumnFormula>ABS(IF(Table224568[[#This Row],[Debt Equity]]&lt;0,100,0-Table224568[[#This Row],[Debt Equity]]))</calculatedColumnFormula>
    </tableColumn>
    <tableColumn id="10" xr3:uid="{0119B286-17D2-4D04-B106-514D2AA2C8E7}" name="Current Price" dataDxfId="239"/>
    <tableColumn id="11" xr3:uid="{137EDEDA-810C-4102-B6F8-2256383C60BA}" name="52 Week High" dataDxfId="238"/>
    <tableColumn id="12" xr3:uid="{1C5008AE-1363-4E82-84BB-CF55AAA81BA9}" name="52 Week Low" dataDxfId="237"/>
    <tableColumn id="13" xr3:uid="{61F7ADFE-5C51-4E24-B074-CF54DFC20926}" name="D High" dataDxfId="236" dataCellStyle="Percent">
      <calculatedColumnFormula>(N3-M3)/M3</calculatedColumnFormula>
    </tableColumn>
    <tableColumn id="14" xr3:uid="{F82DBCD0-0C60-4ED0-9BD1-9C87631709F5}" name="P/B Score" dataDxfId="235" dataCellStyle="Comma">
      <calculatedColumnFormula>IF(LEFT(B3,1)="0",4,IF(LEFT(B3,1)="1",3,IF(LEFT(B3,1)="2",2,IF(LEFT(B3,1)="3",1,0))))</calculatedColumnFormula>
    </tableColumn>
    <tableColumn id="15" xr3:uid="{15E77E3B-BA6F-45BC-8556-86F79D2EBB6E}" name="Promoter Holding Score" dataDxfId="234" dataCellStyle="Comma">
      <calculatedColumnFormula>IF(C3&gt;0.7,4,IF(AND(C3&lt;0.7,C3&gt;0.65),3,IF(AND(C3&lt;0.65,C3&gt;0.6),2,IF(AND(C3&lt;0.6,C3&gt;0.55),1,0))))</calculatedColumnFormula>
    </tableColumn>
    <tableColumn id="16" xr3:uid="{9179FCF8-9257-4CC2-9596-6B00A25122AF}" name="P/E-P/C Score" dataDxfId="233" dataCellStyle="Comma">
      <calculatedColumnFormula>IF(F3&lt;10,4,IF(AND(F3&lt;15,F3&gt;10),3,IF(AND(F3&lt;20,F3&gt;15),2,IF(AND(F3&lt;30,F3&gt;20),1,0))))</calculatedColumnFormula>
    </tableColumn>
    <tableColumn id="18" xr3:uid="{DEC6CC6E-160C-4BB9-AFF7-EDDC5F167545}" name="ROE Score" dataDxfId="232" dataCellStyle="Comma">
      <calculatedColumnFormula>IF(G3&gt;0.25,4,IF(AND(G3&lt;0.25,G3&gt;0.2),3,IF(AND(G3&lt;0.2,G3&gt;0.15),2,IF(AND(G3&lt;0.15,G3&gt;0.1),1,0))))</calculatedColumnFormula>
    </tableColumn>
    <tableColumn id="19" xr3:uid="{7E1EA306-0837-4A06-A2D2-8B35882EC4C4}" name="ROCE Score" dataDxfId="231" dataCellStyle="Comma">
      <calculatedColumnFormula>IF(H3&gt;0.25,4,IF(AND(H3&lt;0.25,H3&gt;0.2),3,IF(AND(H3&lt;0.2,H3&gt;0.15),2,IF(AND(H3&lt;0.15,H3&gt;0.1),1,0))))</calculatedColumnFormula>
    </tableColumn>
    <tableColumn id="21" xr3:uid="{B54373B4-EED8-484B-BC35-9E3B3EA010F6}" name="1-CFO/PAT Score" dataDxfId="230" dataCellStyle="Comma">
      <calculatedColumnFormula>IF(J3&lt;0.15,4,IF(AND(J3&lt;0.3,J3&gt;0.15),3,IF(AND(J3&lt;0.45,J3&gt;0.3),2,IF(AND(J3&lt;0.6,J3&gt;0.45),1,0))))</calculatedColumnFormula>
    </tableColumn>
    <tableColumn id="43" xr3:uid="{0B6CF545-1FBF-43EC-827E-3593D0D92C6C}" name="0-Debt Equity Score" dataDxfId="229" dataCellStyle="Comma">
      <calculatedColumnFormula>IF(L3=0,4,IF(AND(L3&lt;0.1,L3&gt;0),3,IF(AND(L3&lt;0.2,L3&gt;0.1),2,IF(AND(L3&lt;0.3,L3&gt;0.2),1,0))))</calculatedColumnFormula>
    </tableColumn>
    <tableColumn id="22" xr3:uid="{0526983A-F8A8-4F7F-9A84-78359A4D5225}" name="Total" dataDxfId="228" dataCellStyle="Percent">
      <calculatedColumnFormula>SUM(Q3:W3)/28</calculatedColumnFormula>
    </tableColumn>
    <tableColumn id="23" xr3:uid="{7304AB32-57CA-40D3-AA6C-1EBBE9156132}" name="Risk" dataDxfId="227"/>
    <tableColumn id="24" xr3:uid="{FDC6FD60-EF89-48F8-B2C3-7F19C3351655}" name="Amount to Invest" dataDxfId="226" dataCellStyle="Currency"/>
    <tableColumn id="25" xr3:uid="{42BE5FEE-ABBE-4E57-B77F-2D38903F6911}" name="# Shares" dataDxfId="225" dataCellStyle="Comma">
      <calculatedColumnFormula>Z3/M3</calculatedColumnFormula>
    </tableColumn>
    <tableColumn id="26" xr3:uid="{466CF2BE-D346-4E8C-AA69-6CC17E3D0850}" name="Profit" dataDxfId="224">
      <calculatedColumnFormula>AA3*(N3*(IF(Y3="Low",0.9,IF(Y3="Medium",0.75,0.5)))-M3)</calculatedColumnFormula>
    </tableColumn>
    <tableColumn id="27" xr3:uid="{2DA21352-A3DE-4668-830C-AE22B097EA11}" name="Profit %" dataDxfId="223" dataCellStyle="Percent">
      <calculatedColumnFormula>IFERROR(AB3/Z3,0)</calculatedColumnFormula>
    </tableColumn>
  </tableColumns>
  <tableStyleInfo name="TableStyleMedium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29F4085-56A8-4103-AEC4-E482A63F1361}" name="Table2245" displayName="Table2245" ref="A2:AC6" totalsRowShown="0" headerRowBorderDxfId="222" tableBorderDxfId="221" totalsRowBorderDxfId="220">
  <autoFilter ref="A2:AC6" xr:uid="{8DEC5EFC-B30F-4018-8A91-2D49549BDAC6}"/>
  <tableColumns count="29">
    <tableColumn id="1" xr3:uid="{9398C45C-0811-49D1-9FD6-3029907FAD66}" name="TTL" dataDxfId="219"/>
    <tableColumn id="2" xr3:uid="{E227EDA8-61E2-4117-B392-92C10F2FA1B3}" name="P/B" dataDxfId="218"/>
    <tableColumn id="5" xr3:uid="{ACFE2709-6060-4B69-92F2-71D6CE753286}" name="Promoter Holding" dataDxfId="217" dataCellStyle="Percent"/>
    <tableColumn id="6" xr3:uid="{C6B6E26A-0C44-44A5-9512-7A4F75B33077}" name="P/E" dataDxfId="216" dataCellStyle="Comma"/>
    <tableColumn id="7" xr3:uid="{23E3D7A1-8608-4701-A5E8-DC45B703EFEB}" name="P/C" dataDxfId="215" dataCellStyle="Comma"/>
    <tableColumn id="33" xr3:uid="{718BA4A6-A9AD-4F8E-BF73-5308BBEED426}" name="P/E - P/C" dataDxfId="214" dataCellStyle="Comma">
      <calculatedColumnFormula>IF(OR(Table2245[[#This Row],[P/C]]&lt;=0,Table2245[[#This Row],[P/E]]&lt;=0),100,Table2245[[#This Row],[P/E]]-Table2245[[#This Row],[P/C]])</calculatedColumnFormula>
    </tableColumn>
    <tableColumn id="9" xr3:uid="{306C7D08-F3D5-4F14-9A52-80C732DD0EAE}" name="ROE" dataDxfId="213" dataCellStyle="Percent"/>
    <tableColumn id="28" xr3:uid="{74BEE5C4-EF1B-43BF-81B6-66AB07B67A63}" name="ROCE" dataDxfId="212" dataCellStyle="Percent"/>
    <tableColumn id="30" xr3:uid="{174909B0-4CCA-4335-865B-AB55A7136CDF}" name="CFO/PAT" dataDxfId="211" dataCellStyle="Comma"/>
    <tableColumn id="41" xr3:uid="{C165917D-8F69-4F19-8E61-43A35626DA69}" name="1-CFO/PAT" dataDxfId="210" dataCellStyle="Comma">
      <calculatedColumnFormula>ABS(IF(Table2245[[#This Row],[CFO/PAT]]&lt;0,100,1-Table2245[[#This Row],[CFO/PAT]]))</calculatedColumnFormula>
    </tableColumn>
    <tableColumn id="31" xr3:uid="{3B44A740-FE1A-493A-87E4-562331934B17}" name="Debt Equity" dataDxfId="209" dataCellStyle="Comma"/>
    <tableColumn id="42" xr3:uid="{F2AF2867-5584-4B73-B405-FEBDF624386B}" name="0-Debt Equity" dataDxfId="208" dataCellStyle="Comma">
      <calculatedColumnFormula>ABS(IF(Table2245[[#This Row],[Debt Equity]]&lt;0,100,0-Table2245[[#This Row],[Debt Equity]]))</calculatedColumnFormula>
    </tableColumn>
    <tableColumn id="10" xr3:uid="{A9C83473-8743-40EE-B5FA-5E952F833F68}" name="Current Price" dataDxfId="207"/>
    <tableColumn id="11" xr3:uid="{4F5F8495-C2A2-4C9E-9B42-AF751E88E628}" name="52 Week High" dataDxfId="206"/>
    <tableColumn id="12" xr3:uid="{E27703A0-49C9-4FC7-983A-AE9375C5504B}" name="52 Week Low" dataDxfId="205"/>
    <tableColumn id="13" xr3:uid="{9B32A129-BD31-49B6-8D24-C5956832F22B}" name="D High" dataDxfId="204" dataCellStyle="Percent">
      <calculatedColumnFormula>(N3-M3)/M3</calculatedColumnFormula>
    </tableColumn>
    <tableColumn id="14" xr3:uid="{0FFF661B-2735-41CB-8998-BEE52EB3C126}" name="P/B Score" dataDxfId="203" dataCellStyle="Comma">
      <calculatedColumnFormula>IF(LEFT(B3,1)="0",4,IF(LEFT(B3,1)="1",3,IF(LEFT(B3,1)="2",2,IF(LEFT(B3,1)="3",1,0))))</calculatedColumnFormula>
    </tableColumn>
    <tableColumn id="15" xr3:uid="{6FD0AAB6-BFBA-42FE-9E28-59AE7E3A9E33}" name="Promoter Holding Score" dataDxfId="202" dataCellStyle="Comma">
      <calculatedColumnFormula>IF(C3&gt;0.7,4,IF(AND(C3&lt;0.7,C3&gt;0.65),3,IF(AND(C3&lt;0.65,C3&gt;0.6),2,IF(AND(C3&lt;0.6,C3&gt;0.55),1,0))))</calculatedColumnFormula>
    </tableColumn>
    <tableColumn id="16" xr3:uid="{E56E4DD8-5B12-40F2-9800-F4C9C2C67F22}" name="P/E-P/C Score" dataDxfId="201" dataCellStyle="Comma">
      <calculatedColumnFormula>IF(F3&lt;10,4,IF(AND(F3&lt;15,F3&gt;10),3,IF(AND(F3&lt;20,F3&gt;15),2,IF(AND(F3&lt;30,F3&gt;20),1,0))))</calculatedColumnFormula>
    </tableColumn>
    <tableColumn id="18" xr3:uid="{0F26482B-1541-4847-8B8A-8E9F24FE5002}" name="ROE Score" dataDxfId="200" dataCellStyle="Comma">
      <calculatedColumnFormula>IF(G3&gt;0.25,4,IF(AND(G3&lt;0.25,G3&gt;0.2),3,IF(AND(G3&lt;0.2,G3&gt;0.15),2,IF(AND(G3&lt;0.15,G3&gt;0.1),1,0))))</calculatedColumnFormula>
    </tableColumn>
    <tableColumn id="19" xr3:uid="{501BF174-F101-409C-8DB9-A2C900B5CA7A}" name="ROCE Score" dataDxfId="199" dataCellStyle="Comma">
      <calculatedColumnFormula>IF(H3&gt;0.25,4,IF(AND(H3&lt;0.25,H3&gt;0.2),3,IF(AND(H3&lt;0.2,H3&gt;0.15),2,IF(AND(H3&lt;0.15,H3&gt;0.1),1,0))))</calculatedColumnFormula>
    </tableColumn>
    <tableColumn id="21" xr3:uid="{2E2D6196-EC07-4008-B36D-3D14E0C6F0C9}" name="1-CFO/PAT Score" dataDxfId="198" dataCellStyle="Comma">
      <calculatedColumnFormula>IF(J3&lt;0.15,4,IF(AND(J3&lt;0.3,J3&gt;0.15),3,IF(AND(J3&lt;0.45,J3&gt;0.3),2,IF(AND(J3&lt;0.6,J3&gt;0.45),1,0))))</calculatedColumnFormula>
    </tableColumn>
    <tableColumn id="43" xr3:uid="{E131715A-BD9A-4CCA-8C8D-F94CAE4629F4}" name="0-Debt Equity Score" dataDxfId="197" dataCellStyle="Comma">
      <calculatedColumnFormula>IF(L3=0,4,IF(AND(L3&lt;0.1,L3&gt;0),3,IF(AND(L3&lt;0.2,L3&gt;0.1),2,IF(AND(L3&lt;0.3,L3&gt;0.2),1,0))))</calculatedColumnFormula>
    </tableColumn>
    <tableColumn id="22" xr3:uid="{C80B7657-E480-4EE8-9DAF-93EB77DFFA17}" name="Total" dataDxfId="196" dataCellStyle="Percent">
      <calculatedColumnFormula>SUM(Q3:W3)/28</calculatedColumnFormula>
    </tableColumn>
    <tableColumn id="23" xr3:uid="{03F7F512-7D49-4C8E-8A08-8AD3D1DBBCC5}" name="Risk" dataDxfId="195"/>
    <tableColumn id="24" xr3:uid="{63EBC6A9-B9B5-4427-B101-B3BADF1EB4BA}" name="Amount to Invest" dataDxfId="194" dataCellStyle="Currency"/>
    <tableColumn id="25" xr3:uid="{B958B496-7C09-47C3-811F-44EF08366FAB}" name="# Shares" dataDxfId="193" dataCellStyle="Comma">
      <calculatedColumnFormula>Z3/M3</calculatedColumnFormula>
    </tableColumn>
    <tableColumn id="26" xr3:uid="{BEFA42FF-5198-4008-A174-6886FA9D28B2}" name="Profit" dataDxfId="192">
      <calculatedColumnFormula>AA3*(N3*(IF(Y3="Low",0.9,IF(Y3="Medium",0.75,0.5)))-M3)</calculatedColumnFormula>
    </tableColumn>
    <tableColumn id="27" xr3:uid="{B9A4D14C-A38B-46C3-9C4F-CB2CB9EF47A4}" name="Profit %" dataDxfId="191" dataCellStyle="Percent">
      <calculatedColumnFormula>IFERROR(AB3/Z3,0)</calculatedColumnFormula>
    </tableColumn>
  </tableColumns>
  <tableStyleInfo name="TableStyleMedium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F9CE43A-94A0-4D25-A806-7E052884507E}" name="Table224567" displayName="Table224567" ref="A2:AC5" totalsRowShown="0" headerRowBorderDxfId="190" tableBorderDxfId="189" totalsRowBorderDxfId="188">
  <autoFilter ref="A2:AC5" xr:uid="{8DEC5EFC-B30F-4018-8A91-2D49549BDAC6}"/>
  <tableColumns count="29">
    <tableColumn id="1" xr3:uid="{F61FC85E-0418-4A56-9305-1141A8F9EC21}" name="TTL" dataDxfId="187"/>
    <tableColumn id="2" xr3:uid="{A01E4DD1-FCC1-400C-A1C8-78228441F739}" name="P/B" dataDxfId="186"/>
    <tableColumn id="5" xr3:uid="{361332DB-B871-40C2-911F-283580EB9062}" name="Promoter Holding" dataDxfId="185" dataCellStyle="Percent"/>
    <tableColumn id="6" xr3:uid="{746FFE49-BBD8-461C-8B6E-786FCD9B12BD}" name="P/E" dataDxfId="184" dataCellStyle="Comma"/>
    <tableColumn id="7" xr3:uid="{08AC511C-245E-419E-8885-220EA4691C20}" name="P/C" dataDxfId="183" dataCellStyle="Comma"/>
    <tableColumn id="33" xr3:uid="{A2396401-3037-4830-AA50-49B4BEE730C2}" name="P/E - P/C" dataDxfId="182" dataCellStyle="Comma">
      <calculatedColumnFormula>IF(OR(Table224567[[#This Row],[P/C]]&lt;=0,Table224567[[#This Row],[P/E]]&lt;=0),100,Table224567[[#This Row],[P/E]]-Table224567[[#This Row],[P/C]])</calculatedColumnFormula>
    </tableColumn>
    <tableColumn id="9" xr3:uid="{D5F606C9-B469-4509-9E35-F94E3380BE50}" name="ROE" dataDxfId="181" dataCellStyle="Percent"/>
    <tableColumn id="28" xr3:uid="{FE4CDBE2-512D-4C88-99C4-9133A95D9854}" name="ROCE" dataDxfId="180" dataCellStyle="Percent"/>
    <tableColumn id="30" xr3:uid="{56BEAD16-58F0-46C7-B2BC-E7B0C8594B4F}" name="CFO/PAT" dataDxfId="179" dataCellStyle="Comma"/>
    <tableColumn id="41" xr3:uid="{57A2CB26-CA91-4089-8684-1E1FB1350F0D}" name="1-CFO/PAT" dataDxfId="178" dataCellStyle="Comma">
      <calculatedColumnFormula>ABS(IF(Table224567[[#This Row],[CFO/PAT]]&lt;0,100,1-Table224567[[#This Row],[CFO/PAT]]))</calculatedColumnFormula>
    </tableColumn>
    <tableColumn id="31" xr3:uid="{C6E914AE-7B07-4CCF-988F-F1E3FEAE4608}" name="Debt Equity" dataDxfId="177" dataCellStyle="Comma"/>
    <tableColumn id="42" xr3:uid="{59F93A48-D6D6-4438-80E7-31E3D12D8107}" name="0-Debt Equity" dataDxfId="176" dataCellStyle="Comma">
      <calculatedColumnFormula>ABS(IF(Table224567[[#This Row],[Debt Equity]]&lt;0,100,0-Table224567[[#This Row],[Debt Equity]]))</calculatedColumnFormula>
    </tableColumn>
    <tableColumn id="10" xr3:uid="{4851D2DF-784A-4EE9-AD6C-A018CBDE0EEE}" name="Current Price" dataDxfId="175"/>
    <tableColumn id="11" xr3:uid="{34EC3C1B-AF96-4F54-8364-6FD2C9DFE98A}" name="52 Week High" dataDxfId="174"/>
    <tableColumn id="12" xr3:uid="{1D479BF3-7109-4E4B-BD3C-764302FC4924}" name="52 Week Low" dataDxfId="173"/>
    <tableColumn id="13" xr3:uid="{B7F12C43-0D66-41BA-BEA5-E4435F4D280C}" name="D High" dataDxfId="172" dataCellStyle="Percent">
      <calculatedColumnFormula>(N3-M3)/M3</calculatedColumnFormula>
    </tableColumn>
    <tableColumn id="14" xr3:uid="{A2783D96-BF37-4E0D-B0CA-6AF39A8ACF5C}" name="P/B Score" dataDxfId="171" dataCellStyle="Comma">
      <calculatedColumnFormula>IF(LEFT(B3,1)="0",4,IF(LEFT(B3,1)="1",3,IF(LEFT(B3,1)="2",2,IF(LEFT(B3,1)="3",1,0))))</calculatedColumnFormula>
    </tableColumn>
    <tableColumn id="15" xr3:uid="{C6AE236D-396A-40A1-BF43-E1E249B94C75}" name="Promoter Holding Score" dataDxfId="170" dataCellStyle="Comma">
      <calculatedColumnFormula>IF(C3&gt;0.7,4,IF(AND(C3&lt;0.7,C3&gt;0.65),3,IF(AND(C3&lt;0.65,C3&gt;0.6),2,IF(AND(C3&lt;0.6,C3&gt;0.55),1,0))))</calculatedColumnFormula>
    </tableColumn>
    <tableColumn id="16" xr3:uid="{DF1AC911-E51B-4566-B947-F9ED964BC0B3}" name="P/E-P/C Score" dataDxfId="169" dataCellStyle="Comma">
      <calculatedColumnFormula>IF(F3&lt;10,4,IF(AND(F3&lt;15,F3&gt;10),3,IF(AND(F3&lt;20,F3&gt;15),2,IF(AND(F3&lt;30,F3&gt;20),1,0))))</calculatedColumnFormula>
    </tableColumn>
    <tableColumn id="18" xr3:uid="{9E41289F-49C5-4568-99BA-D27A4160E54E}" name="ROE Score" dataDxfId="168" dataCellStyle="Comma">
      <calculatedColumnFormula>IF(G3&gt;0.25,4,IF(AND(G3&lt;0.25,G3&gt;0.2),3,IF(AND(G3&lt;0.2,G3&gt;0.15),2,IF(AND(G3&lt;0.15,G3&gt;0.1),1,0))))</calculatedColumnFormula>
    </tableColumn>
    <tableColumn id="19" xr3:uid="{D7EAE7F6-69F5-4E3D-B18B-A420CB3F4A4A}" name="ROCE Score" dataDxfId="167" dataCellStyle="Comma">
      <calculatedColumnFormula>IF(H3&gt;0.25,4,IF(AND(H3&lt;0.25,H3&gt;0.2),3,IF(AND(H3&lt;0.2,H3&gt;0.15),2,IF(AND(H3&lt;0.15,H3&gt;0.1),1,0))))</calculatedColumnFormula>
    </tableColumn>
    <tableColumn id="21" xr3:uid="{34A479A9-6F86-4748-B869-158653B111E1}" name="1-CFO/PAT Score" dataDxfId="166" dataCellStyle="Comma">
      <calculatedColumnFormula>IF(J3&lt;0.15,4,IF(AND(J3&lt;0.3,J3&gt;0.15),3,IF(AND(J3&lt;0.45,J3&gt;0.3),2,IF(AND(J3&lt;0.6,J3&gt;0.45),1,0))))</calculatedColumnFormula>
    </tableColumn>
    <tableColumn id="43" xr3:uid="{5D929267-8182-4392-A287-F1F42B6A7E4D}" name="0-Debt Equity Score" dataDxfId="165" dataCellStyle="Comma">
      <calculatedColumnFormula>IF(L3=0,4,IF(AND(L3&lt;0.1,L3&gt;0),3,IF(AND(L3&lt;0.2,L3&gt;0.1),2,IF(AND(L3&lt;0.3,L3&gt;0.2),1,0))))</calculatedColumnFormula>
    </tableColumn>
    <tableColumn id="22" xr3:uid="{97D596D0-00A8-4915-8ED3-B7D2C065B56E}" name="Total" dataDxfId="164" dataCellStyle="Percent">
      <calculatedColumnFormula>SUM(Q3:W3)/28</calculatedColumnFormula>
    </tableColumn>
    <tableColumn id="23" xr3:uid="{C5FFADE7-5286-4B85-9982-6A6AD38F1C2E}" name="Risk" dataDxfId="163"/>
    <tableColumn id="24" xr3:uid="{4DF4B584-0A6A-49C1-9B37-09CF08DF07C8}" name="Amount to Invest" dataDxfId="162" dataCellStyle="Currency"/>
    <tableColumn id="25" xr3:uid="{F17C5F62-D8F2-4B25-9191-163EF563127D}" name="# Shares" dataDxfId="161" dataCellStyle="Comma">
      <calculatedColumnFormula>Z3/M3</calculatedColumnFormula>
    </tableColumn>
    <tableColumn id="26" xr3:uid="{4563343E-EC07-4DEE-A5D4-E7B03D76D628}" name="Profit" dataDxfId="160">
      <calculatedColumnFormula>AA3*(N3*(IF(Y3="Low",0.9,IF(Y3="Medium",0.75,0.5)))-M3)</calculatedColumnFormula>
    </tableColumn>
    <tableColumn id="27" xr3:uid="{F5FE70F6-DE60-4144-91D1-49D9AD4025EC}" name="Profit %" dataDxfId="159" dataCellStyle="Percent">
      <calculatedColumnFormula>IFERROR(AB3/Z3,0)</calculatedColumnFormula>
    </tableColumn>
  </tableColumns>
  <tableStyleInfo name="TableStyleMedium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C34BDA0-0703-4DF0-8CEB-36432D692677}" name="Table2245679" displayName="Table2245679" ref="A2:AC10" totalsRowShown="0" headerRowBorderDxfId="94" tableBorderDxfId="95" totalsRowBorderDxfId="93">
  <autoFilter ref="A2:AC10" xr:uid="{8DEC5EFC-B30F-4018-8A91-2D49549BDAC6}"/>
  <tableColumns count="29">
    <tableColumn id="1" xr3:uid="{B6BC294A-1BEF-4066-800D-3F58179AE2C9}" name="Automobile" dataDxfId="64"/>
    <tableColumn id="2" xr3:uid="{5F853B5B-7F51-447C-B5D8-3F0F558856C3}" name="P/B" dataDxfId="92"/>
    <tableColumn id="5" xr3:uid="{0B8C64DD-FD10-42DD-8E78-9D282DA1088B}" name="Promoter Holding" dataDxfId="91" dataCellStyle="Percent"/>
    <tableColumn id="6" xr3:uid="{FD048952-AFC3-45E5-96BA-6187B79995AB}" name="P/E" dataDxfId="90" dataCellStyle="Comma"/>
    <tableColumn id="7" xr3:uid="{01254DE0-3D31-4BB6-8102-EB77C66117B9}" name="P/C" dataDxfId="89" dataCellStyle="Comma"/>
    <tableColumn id="33" xr3:uid="{CD986253-4A30-4641-B24A-C75E042B8208}" name="P/E - P/C" dataDxfId="88" dataCellStyle="Comma">
      <calculatedColumnFormula>IF(OR(Table2245679[[#This Row],[P/C]]&lt;=0,Table2245679[[#This Row],[P/E]]&lt;=0),100,Table2245679[[#This Row],[P/E]]-Table2245679[[#This Row],[P/C]])</calculatedColumnFormula>
    </tableColumn>
    <tableColumn id="9" xr3:uid="{AC05150E-CFA6-4D0D-9007-FFA145EEA525}" name="ROE" dataDxfId="87" dataCellStyle="Percent"/>
    <tableColumn id="28" xr3:uid="{B3D0B28E-9E1E-42BE-A593-ED0A3B141C71}" name="ROCE" dataDxfId="86" dataCellStyle="Percent"/>
    <tableColumn id="30" xr3:uid="{D227DF91-37CE-495A-B7EC-A5B707C7D9FB}" name="CFO/PAT" dataDxfId="85" dataCellStyle="Comma"/>
    <tableColumn id="41" xr3:uid="{3646E335-8C6A-49E8-9C26-F60CB2B9BB11}" name="1-CFO/PAT" dataDxfId="84" dataCellStyle="Comma">
      <calculatedColumnFormula>ABS(IF(Table2245679[[#This Row],[CFO/PAT]]&lt;0,100,1-Table2245679[[#This Row],[CFO/PAT]]))</calculatedColumnFormula>
    </tableColumn>
    <tableColumn id="31" xr3:uid="{02940BF2-8A3B-4DEA-8B24-B4117C2EF0FC}" name="Debt Equity" dataDxfId="83" dataCellStyle="Comma"/>
    <tableColumn id="42" xr3:uid="{EE5A73F6-24BC-4645-A30E-F31BD1AA847D}" name="0-Debt Equity" dataDxfId="82" dataCellStyle="Comma">
      <calculatedColumnFormula>ABS(IF(Table2245679[[#This Row],[Debt Equity]]&lt;0,100,0-Table2245679[[#This Row],[Debt Equity]]))</calculatedColumnFormula>
    </tableColumn>
    <tableColumn id="10" xr3:uid="{D2C1BE46-06B8-419D-8137-2288FC60D434}" name="Current Price" dataDxfId="81"/>
    <tableColumn id="11" xr3:uid="{0DF1B917-3A1A-420C-BA95-F0C7592FBED4}" name="52 Week High" dataDxfId="80"/>
    <tableColumn id="12" xr3:uid="{98332BA9-32CE-47AC-812C-7EE3C582319F}" name="52 Week Low" dataDxfId="79"/>
    <tableColumn id="13" xr3:uid="{04F6D6EB-3DC5-4BC2-ADE0-FE64A5BB6D7D}" name="D High" dataDxfId="78" dataCellStyle="Percent">
      <calculatedColumnFormula>(N3-M3)/M3</calculatedColumnFormula>
    </tableColumn>
    <tableColumn id="14" xr3:uid="{8FAA64F2-4835-43DE-95ED-7B6CD46C3EC6}" name="P/B Score" dataDxfId="77" dataCellStyle="Comma">
      <calculatedColumnFormula>IF(LEFT(B3,1)="0",4,IF(LEFT(B3,1)="1",3,IF(LEFT(B3,1)="2",2,IF(LEFT(B3,1)="3",1,0))))</calculatedColumnFormula>
    </tableColumn>
    <tableColumn id="15" xr3:uid="{853DA260-58C3-4782-AAC8-447AB7EDD90D}" name="Promoter Holding Score" dataDxfId="76" dataCellStyle="Comma">
      <calculatedColumnFormula>IF(C3&gt;0.7,4,IF(AND(C3&lt;0.7,C3&gt;0.65),3,IF(AND(C3&lt;0.65,C3&gt;0.6),2,IF(AND(C3&lt;0.6,C3&gt;0.55),1,0))))</calculatedColumnFormula>
    </tableColumn>
    <tableColumn id="16" xr3:uid="{8A165A84-560C-4080-8E63-F9E0587EF221}" name="P/E-P/C Score" dataDxfId="75" dataCellStyle="Comma">
      <calculatedColumnFormula>IF(F3&lt;10,4,IF(AND(F3&lt;15,F3&gt;10),3,IF(AND(F3&lt;20,F3&gt;15),2,IF(AND(F3&lt;30,F3&gt;20),1,0))))</calculatedColumnFormula>
    </tableColumn>
    <tableColumn id="18" xr3:uid="{04C99635-2009-4F35-99C7-DACCF6CB5C76}" name="ROE Score" dataDxfId="74" dataCellStyle="Comma">
      <calculatedColumnFormula>IF(G3&gt;0.25,4,IF(AND(G3&lt;0.25,G3&gt;0.2),3,IF(AND(G3&lt;0.2,G3&gt;0.15),2,IF(AND(G3&lt;0.15,G3&gt;0.1),1,0))))</calculatedColumnFormula>
    </tableColumn>
    <tableColumn id="19" xr3:uid="{8A2E3414-A7CD-459D-BA4F-721BC89E5C03}" name="ROCE Score" dataDxfId="73" dataCellStyle="Comma">
      <calculatedColumnFormula>IF(H3&gt;0.25,4,IF(AND(H3&lt;0.25,H3&gt;0.2),3,IF(AND(H3&lt;0.2,H3&gt;0.15),2,IF(AND(H3&lt;0.15,H3&gt;0.1),1,0))))</calculatedColumnFormula>
    </tableColumn>
    <tableColumn id="21" xr3:uid="{36779071-7D6B-4D62-994F-539C34E47478}" name="1-CFO/PAT Score" dataDxfId="72" dataCellStyle="Comma">
      <calculatedColumnFormula>IF(J3&lt;0.15,4,IF(AND(J3&lt;0.3,J3&gt;0.15),3,IF(AND(J3&lt;0.45,J3&gt;0.3),2,IF(AND(J3&lt;0.6,J3&gt;0.45),1,0))))</calculatedColumnFormula>
    </tableColumn>
    <tableColumn id="43" xr3:uid="{83ADD0F0-C62D-4405-86D8-784EE05E458B}" name="0-Debt Equity Score" dataDxfId="71" dataCellStyle="Comma">
      <calculatedColumnFormula>IF(L3=0,4,IF(AND(L3&lt;0.1,L3&gt;0),3,IF(AND(L3&lt;0.2,L3&gt;0.1),2,IF(AND(L3&lt;0.3,L3&gt;0.2),1,0))))</calculatedColumnFormula>
    </tableColumn>
    <tableColumn id="22" xr3:uid="{805C607B-48C2-4918-897A-8D342BD00D86}" name="Total" dataDxfId="70" dataCellStyle="Percent">
      <calculatedColumnFormula>SUM(Q3:W3)/28</calculatedColumnFormula>
    </tableColumn>
    <tableColumn id="23" xr3:uid="{105BFA8C-0C01-45A8-B687-8195AF38F4A3}" name="Risk" dataDxfId="69"/>
    <tableColumn id="24" xr3:uid="{04EC3CA3-F46F-41AE-B2B7-11F45C1889E4}" name="Amount to Invest" dataDxfId="68" dataCellStyle="Currency"/>
    <tableColumn id="25" xr3:uid="{6078CE88-ED31-4778-BE4A-1628B5E22AD2}" name="# Shares" dataDxfId="67" dataCellStyle="Comma">
      <calculatedColumnFormula>Z3/M3</calculatedColumnFormula>
    </tableColumn>
    <tableColumn id="26" xr3:uid="{43BDCCBA-BFB0-41DD-880B-11CA527DBEBD}" name="Profit" dataDxfId="66">
      <calculatedColumnFormula>AA3*(N3*(IF(Y3="Low",0.9,IF(Y3="Medium",0.75,0.5)))-M3)</calculatedColumnFormula>
    </tableColumn>
    <tableColumn id="27" xr3:uid="{F8AA2037-326D-4AB5-8765-F3BE9ABDE4CE}" name="Profit %" dataDxfId="65" dataCellStyle="Percent">
      <calculatedColumnFormula>IFERROR(AB3/Z3,0)</calculatedColumnFormula>
    </tableColumn>
  </tableColumns>
  <tableStyleInfo name="TableStyleMedium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B1874B34-DBB6-4FEF-8022-B377A8655B68}" name="Table224567911" displayName="Table224567911" ref="A2:AC12" totalsRowShown="0" headerRowBorderDxfId="62" tableBorderDxfId="63" totalsRowBorderDxfId="61">
  <autoFilter ref="A2:AC12" xr:uid="{8DEC5EFC-B30F-4018-8A91-2D49549BDAC6}"/>
  <tableColumns count="29">
    <tableColumn id="1" xr3:uid="{D8C6A5B5-87BD-43A2-9987-D386B3A23ABC}" name="Entertainment" dataDxfId="60"/>
    <tableColumn id="2" xr3:uid="{95D481A6-DDF5-4C91-A088-085B40759E6C}" name="P/B" dataDxfId="59"/>
    <tableColumn id="5" xr3:uid="{43B515BD-5D73-468D-8413-8F38BA7EE42D}" name="Promoter Holding" dataDxfId="58" dataCellStyle="Percent"/>
    <tableColumn id="6" xr3:uid="{DAE9E630-0DAA-44F7-8324-30414CC3EFCC}" name="P/E" dataDxfId="57" dataCellStyle="Comma"/>
    <tableColumn id="7" xr3:uid="{206BBD81-55BC-495D-BE2A-B2583A510D29}" name="P/C" dataDxfId="56" dataCellStyle="Comma"/>
    <tableColumn id="33" xr3:uid="{5B065029-102A-425F-98B5-1A3617D35513}" name="P/E - P/C" dataDxfId="55" dataCellStyle="Comma">
      <calculatedColumnFormula>IF(OR(Table224567911[[#This Row],[P/C]]&lt;=0,Table224567911[[#This Row],[P/E]]&lt;=0),100,Table224567911[[#This Row],[P/E]]-Table224567911[[#This Row],[P/C]])</calculatedColumnFormula>
    </tableColumn>
    <tableColumn id="9" xr3:uid="{4D917572-CCF8-4BBD-A4BF-EA9B9F414535}" name="ROE" dataDxfId="54" dataCellStyle="Percent"/>
    <tableColumn id="28" xr3:uid="{2535B5E6-BC62-439C-8AE8-EA9318D6B1EF}" name="ROCE" dataDxfId="53" dataCellStyle="Percent"/>
    <tableColumn id="30" xr3:uid="{A8E722AF-E9CD-4EF7-A7F8-5B72126FF2A1}" name="CFO/PAT" dataDxfId="52" dataCellStyle="Comma"/>
    <tableColumn id="41" xr3:uid="{8EEDACE4-8DDC-4852-AA72-7D07A54A96A4}" name="1-CFO/PAT" dataDxfId="51" dataCellStyle="Comma">
      <calculatedColumnFormula>ABS(IF(Table224567911[[#This Row],[CFO/PAT]]&lt;0,100,1-Table224567911[[#This Row],[CFO/PAT]]))</calculatedColumnFormula>
    </tableColumn>
    <tableColumn id="31" xr3:uid="{7BEFC2A7-634D-42F9-9160-9D153CE3554E}" name="Debt Equity" dataDxfId="50" dataCellStyle="Comma"/>
    <tableColumn id="42" xr3:uid="{F9E87B74-AB91-4993-AEEC-1E45CDC7D8F4}" name="0-Debt Equity" dataDxfId="49" dataCellStyle="Comma">
      <calculatedColumnFormula>ABS(IF(Table224567911[[#This Row],[Debt Equity]]&lt;0,100,0-Table224567911[[#This Row],[Debt Equity]]))</calculatedColumnFormula>
    </tableColumn>
    <tableColumn id="10" xr3:uid="{22A0B5DA-0CAE-49CC-B1BE-0039E7CF1AAB}" name="Current Price" dataDxfId="48"/>
    <tableColumn id="11" xr3:uid="{85F5D385-4107-47F4-92AC-DEF8478A7EE4}" name="52 Week High" dataDxfId="47"/>
    <tableColumn id="12" xr3:uid="{01908A67-11F3-45FA-8929-3C951A7563CC}" name="52 Week Low" dataDxfId="46"/>
    <tableColumn id="13" xr3:uid="{1A3EA26E-BCE8-4447-9515-2F45253D6D72}" name="D High" dataDxfId="45" dataCellStyle="Percent">
      <calculatedColumnFormula>(N3-M3)/M3</calculatedColumnFormula>
    </tableColumn>
    <tableColumn id="14" xr3:uid="{DA9E257A-D212-42E8-9F01-5CF0EF5804FA}" name="P/B Score" dataDxfId="44" dataCellStyle="Comma">
      <calculatedColumnFormula>IF(LEFT(B3,1)="0",4,IF(LEFT(B3,1)="1",3,IF(LEFT(B3,1)="2",2,IF(LEFT(B3,1)="3",1,0))))</calculatedColumnFormula>
    </tableColumn>
    <tableColumn id="15" xr3:uid="{B8C0EB9F-1D6A-46EC-9984-0DAF86DCB8BC}" name="Promoter Holding Score" dataDxfId="43" dataCellStyle="Comma">
      <calculatedColumnFormula>IF(C3&gt;0.7,4,IF(AND(C3&lt;0.7,C3&gt;0.65),3,IF(AND(C3&lt;0.65,C3&gt;0.6),2,IF(AND(C3&lt;0.6,C3&gt;0.55),1,0))))</calculatedColumnFormula>
    </tableColumn>
    <tableColumn id="16" xr3:uid="{F49E0F67-38B1-44A4-883A-3EFB3FA8CBEE}" name="P/E-P/C Score" dataDxfId="42" dataCellStyle="Comma">
      <calculatedColumnFormula>IF(F3&lt;10,4,IF(AND(F3&lt;15,F3&gt;10),3,IF(AND(F3&lt;20,F3&gt;15),2,IF(AND(F3&lt;30,F3&gt;20),1,0))))</calculatedColumnFormula>
    </tableColumn>
    <tableColumn id="18" xr3:uid="{1D56F526-19C8-424B-8399-99C0BE3051D0}" name="ROE Score" dataDxfId="41" dataCellStyle="Comma">
      <calculatedColumnFormula>IF(G3&gt;0.25,4,IF(AND(G3&lt;0.25,G3&gt;0.2),3,IF(AND(G3&lt;0.2,G3&gt;0.15),2,IF(AND(G3&lt;0.15,G3&gt;0.1),1,0))))</calculatedColumnFormula>
    </tableColumn>
    <tableColumn id="19" xr3:uid="{5B0CD293-5BF1-4CFC-A1BA-11F432EBB710}" name="ROCE Score" dataDxfId="40" dataCellStyle="Comma">
      <calculatedColumnFormula>IF(H3&gt;0.25,4,IF(AND(H3&lt;0.25,H3&gt;0.2),3,IF(AND(H3&lt;0.2,H3&gt;0.15),2,IF(AND(H3&lt;0.15,H3&gt;0.1),1,0))))</calculatedColumnFormula>
    </tableColumn>
    <tableColumn id="21" xr3:uid="{90FF9304-FB43-44AD-BE4B-08D61AC92922}" name="1-CFO/PAT Score" dataDxfId="39" dataCellStyle="Comma">
      <calculatedColumnFormula>IF(J3&lt;0.15,4,IF(AND(J3&lt;0.3,J3&gt;0.15),3,IF(AND(J3&lt;0.45,J3&gt;0.3),2,IF(AND(J3&lt;0.6,J3&gt;0.45),1,0))))</calculatedColumnFormula>
    </tableColumn>
    <tableColumn id="43" xr3:uid="{B03DC44A-DACC-48BD-B3CD-1EF763D81D85}" name="0-Debt Equity Score" dataDxfId="38" dataCellStyle="Comma">
      <calculatedColumnFormula>IF(L3=0,4,IF(AND(L3&lt;0.1,L3&gt;0),3,IF(AND(L3&lt;0.2,L3&gt;0.1),2,IF(AND(L3&lt;0.3,L3&gt;0.2),1,0))))</calculatedColumnFormula>
    </tableColumn>
    <tableColumn id="22" xr3:uid="{EBE5F0C2-4C56-414A-A0BA-693998E53812}" name="Total" dataDxfId="37" dataCellStyle="Percent">
      <calculatedColumnFormula>SUM(Q3:W3)/28</calculatedColumnFormula>
    </tableColumn>
    <tableColumn id="23" xr3:uid="{0407ED76-C9E5-4F60-BCE5-53826951842F}" name="Risk" dataDxfId="36"/>
    <tableColumn id="24" xr3:uid="{34BCC8EF-6EDE-45BF-9588-D7C1C2F2565D}" name="Amount to Invest" dataDxfId="35" dataCellStyle="Currency"/>
    <tableColumn id="25" xr3:uid="{6799AA5F-F4A9-450D-8EAE-CE07CB5C6D35}" name="# Shares" dataDxfId="34" dataCellStyle="Comma">
      <calculatedColumnFormula>Z3/M3</calculatedColumnFormula>
    </tableColumn>
    <tableColumn id="26" xr3:uid="{FB82CB3C-1568-4EA2-8320-3CE54C0CB5AB}" name="Profit" dataDxfId="33">
      <calculatedColumnFormula>AA3*(N3*(IF(Y3="Low",0.9,IF(Y3="Medium",0.75,0.5)))-M3)</calculatedColumnFormula>
    </tableColumn>
    <tableColumn id="27" xr3:uid="{DEA81C0C-0F98-43AC-A79F-F51F1734B549}" name="Profit %" dataDxfId="32" dataCellStyle="Percent">
      <calculatedColumnFormula>IFERROR(AB3/Z3,0)</calculatedColumnFormula>
    </tableColumn>
  </tableColumns>
  <tableStyleInfo name="TableStyleMedium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ADE9139-0321-4BE5-995C-DDB8FF97D418}" name="Table22456791112" displayName="Table22456791112" ref="A2:AC9" totalsRowShown="0" headerRowBorderDxfId="30" tableBorderDxfId="31" totalsRowBorderDxfId="29">
  <autoFilter ref="A2:AC9" xr:uid="{8DEC5EFC-B30F-4018-8A91-2D49549BDAC6}"/>
  <tableColumns count="29">
    <tableColumn id="1" xr3:uid="{8F006C48-1B69-44DC-A315-60D79A984E7E}" name="Entertainment" dataDxfId="28"/>
    <tableColumn id="2" xr3:uid="{0424A394-6BD7-496C-92B9-AB76D01BF51E}" name="P/B" dataDxfId="27"/>
    <tableColumn id="5" xr3:uid="{C1CCA36B-B2AD-4FCA-AD60-B28A0339E1F5}" name="Promoter Holding" dataDxfId="26" dataCellStyle="Percent"/>
    <tableColumn id="6" xr3:uid="{7FA6DA8C-5B0C-4C44-8757-F1B002BEF09C}" name="P/E" dataDxfId="25" dataCellStyle="Comma"/>
    <tableColumn id="7" xr3:uid="{02EB1334-7327-4D3A-A5C3-EC315B1333A6}" name="P/C" dataDxfId="24" dataCellStyle="Comma"/>
    <tableColumn id="33" xr3:uid="{531B5B08-83FD-4096-B5C3-2A7A61AA8A53}" name="P/E - P/C" dataDxfId="23" dataCellStyle="Comma">
      <calculatedColumnFormula>IF(OR(Table22456791112[[#This Row],[P/C]]&lt;=0,Table22456791112[[#This Row],[P/E]]&lt;=0),100,Table22456791112[[#This Row],[P/E]]-Table22456791112[[#This Row],[P/C]])</calculatedColumnFormula>
    </tableColumn>
    <tableColumn id="9" xr3:uid="{7E4F9F04-D606-4B1B-B041-1D2CF20D9BDB}" name="ROE" dataDxfId="22" dataCellStyle="Percent"/>
    <tableColumn id="28" xr3:uid="{DA5602DA-A1B5-4DFD-ACA1-2DB3A3948B73}" name="ROCE" dataDxfId="21" dataCellStyle="Percent"/>
    <tableColumn id="30" xr3:uid="{66A9BE6A-9375-4E49-AEBF-29215C79538C}" name="CFO/PAT" dataDxfId="20" dataCellStyle="Comma"/>
    <tableColumn id="41" xr3:uid="{8B1A00CB-032D-4E30-8FCF-3B7C442D1DF6}" name="1-CFO/PAT" dataDxfId="19" dataCellStyle="Comma">
      <calculatedColumnFormula>ABS(IF(Table22456791112[[#This Row],[CFO/PAT]]&lt;0,100,1-Table22456791112[[#This Row],[CFO/PAT]]))</calculatedColumnFormula>
    </tableColumn>
    <tableColumn id="31" xr3:uid="{6AF0BADF-77B3-4FEC-B8E7-962C81D74846}" name="Debt Equity" dataDxfId="18" dataCellStyle="Comma"/>
    <tableColumn id="42" xr3:uid="{2B80DF62-D74E-49E6-9F48-BA27A3D32BD7}" name="0-Debt Equity" dataDxfId="17" dataCellStyle="Comma">
      <calculatedColumnFormula>ABS(IF(Table22456791112[[#This Row],[Debt Equity]]&lt;0,100,0-Table22456791112[[#This Row],[Debt Equity]]))</calculatedColumnFormula>
    </tableColumn>
    <tableColumn id="10" xr3:uid="{FD25AC33-D989-4DEA-AC28-121DCB3CEBBC}" name="Current Price" dataDxfId="16"/>
    <tableColumn id="11" xr3:uid="{500B3475-A9CD-4569-9060-72043C5B6727}" name="52 Week High" dataDxfId="15"/>
    <tableColumn id="12" xr3:uid="{D3E063E9-4120-4EAD-888E-741CC6AC23BE}" name="52 Week Low" dataDxfId="14"/>
    <tableColumn id="13" xr3:uid="{33D4F031-EF31-4110-B18B-F6BCCA4824F0}" name="D High" dataDxfId="13" dataCellStyle="Percent">
      <calculatedColumnFormula>(N3-M3)/M3</calculatedColumnFormula>
    </tableColumn>
    <tableColumn id="14" xr3:uid="{B08531DE-352F-47D3-8076-8F5C5963E236}" name="P/B Score" dataDxfId="12" dataCellStyle="Comma">
      <calculatedColumnFormula>IF(LEFT(B3,1)="0",4,IF(LEFT(B3,1)="1",3,IF(LEFT(B3,1)="2",2,IF(LEFT(B3,1)="3",1,0))))</calculatedColumnFormula>
    </tableColumn>
    <tableColumn id="15" xr3:uid="{5B5F121B-FBCD-404B-89D1-E40E20001E80}" name="Promoter Holding Score" dataDxfId="11" dataCellStyle="Comma">
      <calculatedColumnFormula>IF(C3&gt;0.7,4,IF(AND(C3&lt;0.7,C3&gt;0.65),3,IF(AND(C3&lt;0.65,C3&gt;0.6),2,IF(AND(C3&lt;0.6,C3&gt;0.55),1,0))))</calculatedColumnFormula>
    </tableColumn>
    <tableColumn id="16" xr3:uid="{083F3FEC-EB1C-45ED-9BDE-1A645C73A75C}" name="P/E-P/C Score" dataDxfId="10" dataCellStyle="Comma">
      <calculatedColumnFormula>IF(F3&lt;10,4,IF(AND(F3&lt;15,F3&gt;10),3,IF(AND(F3&lt;20,F3&gt;15),2,IF(AND(F3&lt;30,F3&gt;20),1,0))))</calculatedColumnFormula>
    </tableColumn>
    <tableColumn id="18" xr3:uid="{78317010-AE0F-4A5F-A4D9-7887D44192FD}" name="ROE Score" dataDxfId="9" dataCellStyle="Comma">
      <calculatedColumnFormula>IF(G3&gt;0.25,4,IF(AND(G3&lt;0.25,G3&gt;0.2),3,IF(AND(G3&lt;0.2,G3&gt;0.15),2,IF(AND(G3&lt;0.15,G3&gt;0.1),1,0))))</calculatedColumnFormula>
    </tableColumn>
    <tableColumn id="19" xr3:uid="{847F566D-CA9A-46BE-8C91-3C052388ABA1}" name="ROCE Score" dataDxfId="8" dataCellStyle="Comma">
      <calculatedColumnFormula>IF(H3&gt;0.25,4,IF(AND(H3&lt;0.25,H3&gt;0.2),3,IF(AND(H3&lt;0.2,H3&gt;0.15),2,IF(AND(H3&lt;0.15,H3&gt;0.1),1,0))))</calculatedColumnFormula>
    </tableColumn>
    <tableColumn id="21" xr3:uid="{4CC25F3B-07D6-40A3-8946-73C41F6DE052}" name="1-CFO/PAT Score" dataDxfId="7" dataCellStyle="Comma">
      <calculatedColumnFormula>IF(J3&lt;0.15,4,IF(AND(J3&lt;0.3,J3&gt;0.15),3,IF(AND(J3&lt;0.45,J3&gt;0.3),2,IF(AND(J3&lt;0.6,J3&gt;0.45),1,0))))</calculatedColumnFormula>
    </tableColumn>
    <tableColumn id="43" xr3:uid="{FF0FBED7-D599-443F-878E-901B714EC6AB}" name="0-Debt Equity Score" dataDxfId="6" dataCellStyle="Comma">
      <calculatedColumnFormula>IF(L3=0,4,IF(AND(L3&lt;0.1,L3&gt;0),3,IF(AND(L3&lt;0.2,L3&gt;0.1),2,IF(AND(L3&lt;0.3,L3&gt;0.2),1,0))))</calculatedColumnFormula>
    </tableColumn>
    <tableColumn id="22" xr3:uid="{87E752FC-4A94-4947-89FD-AF377333C9B1}" name="Total" dataDxfId="5" dataCellStyle="Percent">
      <calculatedColumnFormula>SUM(Q3:W3)/28</calculatedColumnFormula>
    </tableColumn>
    <tableColumn id="23" xr3:uid="{4690362F-BEC7-4962-9D6A-DEC7AE452B47}" name="Risk" dataDxfId="4"/>
    <tableColumn id="24" xr3:uid="{3ED20946-7444-4D47-B3A1-B057D33915BD}" name="Amount to Invest" dataDxfId="3" dataCellStyle="Currency"/>
    <tableColumn id="25" xr3:uid="{BB62FB6A-BDE8-4236-949A-A4C1F9E7ABF5}" name="# Shares" dataDxfId="2" dataCellStyle="Comma">
      <calculatedColumnFormula>Z3/M3</calculatedColumnFormula>
    </tableColumn>
    <tableColumn id="26" xr3:uid="{82588F7F-62E4-439D-AB60-CD5429EF645A}" name="Profit" dataDxfId="1">
      <calculatedColumnFormula>AA3*(N3*(IF(Y3="Low",0.9,IF(Y3="Medium",0.75,0.5)))-M3)</calculatedColumnFormula>
    </tableColumn>
    <tableColumn id="27" xr3:uid="{10427EA2-F128-4B34-9C35-D8A76C519941}" name="Profit %" dataDxfId="0" dataCellStyle="Percent">
      <calculatedColumnFormula>IFERROR(AB3/Z3,0)</calculatedColumnFormula>
    </tableColumn>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9.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8" Type="http://schemas.openxmlformats.org/officeDocument/2006/relationships/hyperlink" Target="https://www.youtube.com/watch?v=2eZg2zHzOu0&amp;list=PLFQ0hRWyH11RS4KUPadj6aoC2KtEHVIfN&amp;index=10" TargetMode="External"/><Relationship Id="rId3" Type="http://schemas.openxmlformats.org/officeDocument/2006/relationships/hyperlink" Target="https://www.youtube.com/watch?v=K5k4kF_2j0M&amp;list=PLFQ0hRWyH11RS4KUPadj6aoC2KtEHVIfN&amp;index=2" TargetMode="External"/><Relationship Id="rId7" Type="http://schemas.openxmlformats.org/officeDocument/2006/relationships/hyperlink" Target="https://www.youtube.com/watch?v=Hcnf-IBcvRw&amp;list=PLFQ0hRWyH11RS4KUPadj6aoC2KtEHVIfN&amp;index=9" TargetMode="External"/><Relationship Id="rId12" Type="http://schemas.openxmlformats.org/officeDocument/2006/relationships/printerSettings" Target="../printerSettings/printerSettings10.bin"/><Relationship Id="rId2" Type="http://schemas.openxmlformats.org/officeDocument/2006/relationships/hyperlink" Target="https://www.youtube.com/watch?v=RieqxXMds64&amp;list=PLFQ0hRWyH11RS4KUPadj6aoC2KtEHVIfN&amp;index=1" TargetMode="External"/><Relationship Id="rId1" Type="http://schemas.openxmlformats.org/officeDocument/2006/relationships/hyperlink" Target="https://www.youtube.com/watch?v=_lQsquuVKqM&amp;list=PLFQ0hRWyH11RS4KUPadj6aoC2KtEHVIfN&amp;index=6" TargetMode="External"/><Relationship Id="rId6" Type="http://schemas.openxmlformats.org/officeDocument/2006/relationships/hyperlink" Target="https://www.youtube.com/watch?v=I13xlJnrC38&amp;list=PLFQ0hRWyH11RS4KUPadj6aoC2KtEHVIfN&amp;index=7" TargetMode="External"/><Relationship Id="rId11" Type="http://schemas.openxmlformats.org/officeDocument/2006/relationships/hyperlink" Target="https://www.youtube.com/watch?v=_lQsquuVKqM&amp;list=PLFQ0hRWyH11RS4KUPadj6aoC2KtEHVIfN&amp;index=6" TargetMode="External"/><Relationship Id="rId5" Type="http://schemas.openxmlformats.org/officeDocument/2006/relationships/hyperlink" Target="https://www.youtube.com/watch?v=KR_U_X039_k&amp;list=PLFQ0hRWyH11RS4KUPadj6aoC2KtEHVIfN&amp;index=4" TargetMode="External"/><Relationship Id="rId10" Type="http://schemas.openxmlformats.org/officeDocument/2006/relationships/hyperlink" Target="https://www.youtube.com/watch?v=dM36QV5APrU&amp;list=PLFQ0hRWyH11RS4KUPadj6aoC2KtEHVIfN&amp;index=12" TargetMode="External"/><Relationship Id="rId4" Type="http://schemas.openxmlformats.org/officeDocument/2006/relationships/hyperlink" Target="https://www.youtube.com/watch?v=OaHFyZtN0iM&amp;list=PLFQ0hRWyH11RS4KUPadj6aoC2KtEHVIfN&amp;index=3" TargetMode="External"/><Relationship Id="rId9" Type="http://schemas.openxmlformats.org/officeDocument/2006/relationships/hyperlink" Target="https://www.youtube.com/watch?v=EVt1ej_GUrg&amp;list=PLFQ0hRWyH11RS4KUPadj6aoC2KtEHVIfN&amp;index=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7909E-8685-44E0-AD64-86CD7CBA016F}">
  <sheetPr codeName="Sheet1"/>
  <dimension ref="A2:AA20"/>
  <sheetViews>
    <sheetView showGridLines="0" zoomScaleNormal="100" workbookViewId="0">
      <pane xSplit="1" topLeftCell="L1" activePane="topRight" state="frozen"/>
      <selection activeCell="Q2" sqref="Q2:R8"/>
      <selection pane="topRight" activeCell="W1" sqref="W1"/>
    </sheetView>
  </sheetViews>
  <sheetFormatPr defaultRowHeight="14.5" x14ac:dyDescent="0.35"/>
  <cols>
    <col min="1" max="1" width="18.81640625" bestFit="1" customWidth="1"/>
    <col min="2" max="2" width="5.81640625" customWidth="1"/>
    <col min="3" max="3" width="7.1796875" style="5" customWidth="1"/>
    <col min="4" max="4" width="7.453125" style="5" bestFit="1" customWidth="1"/>
    <col min="5" max="6" width="6.81640625" style="5" bestFit="1" customWidth="1"/>
    <col min="7" max="7" width="6.36328125" style="5" customWidth="1"/>
    <col min="8" max="8" width="17.26953125" style="5" customWidth="1"/>
    <col min="9" max="9" width="17.54296875" style="5" customWidth="1"/>
    <col min="10" max="10" width="14.7265625" style="6" customWidth="1"/>
    <col min="11" max="11" width="15.1796875" style="6" customWidth="1"/>
    <col min="12" max="12" width="14.81640625" style="6" customWidth="1"/>
    <col min="13" max="13" width="10.08984375" style="3" bestFit="1" customWidth="1"/>
    <col min="14" max="14" width="11.7265625" style="13" customWidth="1"/>
    <col min="15" max="15" width="13.08984375" style="13" customWidth="1"/>
    <col min="16" max="16" width="12.1796875" customWidth="1"/>
    <col min="17" max="17" width="12.36328125" customWidth="1"/>
    <col min="18" max="19" width="12.26953125" customWidth="1"/>
    <col min="20" max="20" width="11" customWidth="1"/>
    <col min="21" max="21" width="11.1796875" customWidth="1"/>
    <col min="22" max="22" width="7.08984375" customWidth="1"/>
    <col min="24" max="24" width="18.36328125" style="23" customWidth="1"/>
    <col min="25" max="25" width="9.81640625" customWidth="1"/>
    <col min="26" max="26" width="10.08984375" bestFit="1" customWidth="1"/>
    <col min="27" max="27" width="9.453125" customWidth="1"/>
  </cols>
  <sheetData>
    <row r="2" spans="1:27" x14ac:dyDescent="0.35">
      <c r="A2" s="38" t="s">
        <v>132</v>
      </c>
      <c r="B2" s="39" t="s">
        <v>62</v>
      </c>
      <c r="C2" s="40" t="s">
        <v>133</v>
      </c>
      <c r="D2" s="40" t="s">
        <v>73</v>
      </c>
      <c r="E2" s="40" t="s">
        <v>134</v>
      </c>
      <c r="F2" s="40" t="s">
        <v>135</v>
      </c>
      <c r="G2" s="40" t="s">
        <v>126</v>
      </c>
      <c r="H2" s="40" t="s">
        <v>136</v>
      </c>
      <c r="I2" s="40" t="s">
        <v>137</v>
      </c>
      <c r="J2" s="41" t="s">
        <v>155</v>
      </c>
      <c r="K2" s="41" t="s">
        <v>156</v>
      </c>
      <c r="L2" s="41" t="s">
        <v>157</v>
      </c>
      <c r="M2" s="42" t="s">
        <v>161</v>
      </c>
      <c r="N2" s="43" t="s">
        <v>162</v>
      </c>
      <c r="O2" s="43" t="s">
        <v>163</v>
      </c>
      <c r="P2" s="44" t="s">
        <v>164</v>
      </c>
      <c r="Q2" s="44" t="s">
        <v>165</v>
      </c>
      <c r="R2" s="44" t="s">
        <v>166</v>
      </c>
      <c r="S2" s="44" t="s">
        <v>167</v>
      </c>
      <c r="T2" s="44" t="s">
        <v>169</v>
      </c>
      <c r="U2" s="44" t="s">
        <v>170</v>
      </c>
      <c r="V2" s="42" t="s">
        <v>168</v>
      </c>
      <c r="W2" s="27" t="s">
        <v>171</v>
      </c>
      <c r="X2" s="28" t="s">
        <v>175</v>
      </c>
      <c r="Y2" s="29" t="s">
        <v>176</v>
      </c>
      <c r="Z2" s="30" t="s">
        <v>177</v>
      </c>
      <c r="AA2" s="31" t="s">
        <v>178</v>
      </c>
    </row>
    <row r="3" spans="1:27" x14ac:dyDescent="0.35">
      <c r="A3" s="37" t="s">
        <v>15</v>
      </c>
      <c r="B3" s="16">
        <v>2.95</v>
      </c>
      <c r="C3" s="17">
        <v>0.42380000000000001</v>
      </c>
      <c r="D3" s="17">
        <v>0.16500000000000001</v>
      </c>
      <c r="E3" s="17">
        <v>0.16500000000000001</v>
      </c>
      <c r="F3" s="17">
        <v>3.8999999999999998E-3</v>
      </c>
      <c r="G3" s="17">
        <v>4.0500000000000001E-2</v>
      </c>
      <c r="H3" s="17">
        <v>0.1711</v>
      </c>
      <c r="I3" s="17">
        <v>0.2447</v>
      </c>
      <c r="J3" s="20">
        <v>881.05</v>
      </c>
      <c r="K3" s="20">
        <v>1304.0999999999999</v>
      </c>
      <c r="L3" s="20">
        <v>738.9</v>
      </c>
      <c r="M3" s="17">
        <f>(K3-J3)/J3</f>
        <v>0.48016571136711877</v>
      </c>
      <c r="N3" s="19">
        <f t="shared" ref="N3:N20" si="0">IF(LEFT(B3,1)="0",4,IF(LEFT(B3,1)="1",3,IF(LEFT(B3,1)="2",2,IF(LEFT(B3,1)="3",1,0))))</f>
        <v>2</v>
      </c>
      <c r="O3" s="19">
        <f t="shared" ref="O3:O20" si="1">IF(C3&gt;0.45,4,IF(AND(C3&lt;0.45,C3&gt;0.4),3,IF(AND(C3&lt;0.4,C3&gt;0.35),2,IF(AND(C3&lt;0.35,C3&gt;0.3),1,0))))</f>
        <v>3</v>
      </c>
      <c r="P3" s="19">
        <f t="shared" ref="P3:P20" si="2">IF(D3&gt;0.15,4,IF(AND(D3&lt;0.15,D3&gt;0.1),3,IF(AND(D3&lt;0.1,D3&gt;0.05),2,IF(AND(D3&lt;0.05,D3&gt;0),1,0))))</f>
        <v>4</v>
      </c>
      <c r="Q3" s="19">
        <f t="shared" ref="Q3:Q20" si="3">IF(E3&gt;0.1,4,IF(AND(E3&lt;0.1,E3&gt;0.075),3,IF(AND(E3&lt;0.075,E3&gt;0.05),2,IF(AND(E3&lt;0.05,E3&gt;0.025),1,0))))</f>
        <v>4</v>
      </c>
      <c r="R3" s="19">
        <f t="shared" ref="R3:R20" si="4">IF(F3&lt;0.01,4,IF(AND(F3&gt;0.01,F3&lt;0.02),3,IF(AND(F3&gt;0.02,F3&lt;0.03),2,IF(AND(F3&gt;0.03,F3&lt;0.04),1,0))))</f>
        <v>4</v>
      </c>
      <c r="S3" s="19">
        <f t="shared" ref="S3:S20" si="5">IF(G3&gt;0.04,4,IF(AND(G3&lt;0.04,G3&gt;0.03),3,IF(AND(G3&lt;0.03,G3&gt;0.02),2,IF(AND(G3&lt;0.02,G3&gt;0.01),1,0))))</f>
        <v>4</v>
      </c>
      <c r="T3" s="19">
        <f t="shared" ref="T3:T20" si="6">IF(H3&gt;0.16,4,IF(AND(H3&lt;0.16,H3&gt;0.14),3,IF(AND(H3&lt;0.14,H3&gt;0.12),2,IF(AND(H3&lt;0.12,H3&gt;0.1),1,0))))</f>
        <v>4</v>
      </c>
      <c r="U3" s="19">
        <f t="shared" ref="U3:U20" si="7">IF(I3&gt;0.25,4,IF(AND(I3&lt;0.25,I3&gt;0.2),3,IF(AND(I3&lt;0.2,I3&gt;0.15),2,IF(AND(I3&lt;0.15,I3&gt;0.1),1,0))))</f>
        <v>3</v>
      </c>
      <c r="V3" s="22">
        <f t="shared" ref="V3:V20" si="8">SUM(N3:U3)/32</f>
        <v>0.875</v>
      </c>
      <c r="W3" s="10" t="s">
        <v>172</v>
      </c>
      <c r="X3" s="24">
        <v>2000</v>
      </c>
      <c r="Y3" s="14">
        <f t="shared" ref="Y3:Y20" si="9">X3/J3</f>
        <v>2.2700187276545032</v>
      </c>
      <c r="Z3" s="25">
        <f t="shared" ref="Z3:Z20" si="10">Y3*(K3*(IF(W3="Low",0.9,IF(W3="Medium",0.75,0.5)))-J3)</f>
        <v>664.298280460814</v>
      </c>
      <c r="AA3" s="26">
        <f>IFERROR(Z3/X3,0)</f>
        <v>0.33214914023040698</v>
      </c>
    </row>
    <row r="4" spans="1:27" x14ac:dyDescent="0.35">
      <c r="A4" s="37" t="s">
        <v>145</v>
      </c>
      <c r="B4" s="16">
        <v>2.16</v>
      </c>
      <c r="C4" s="17">
        <v>0.40749999999999997</v>
      </c>
      <c r="D4" s="17">
        <v>0.18959999999999999</v>
      </c>
      <c r="E4" s="17">
        <v>3.8699999999999998E-2</v>
      </c>
      <c r="F4" s="17">
        <v>5.7999999999999996E-3</v>
      </c>
      <c r="G4" s="17">
        <v>8.1000000000000003E-2</v>
      </c>
      <c r="H4" s="17">
        <v>0.29199999999999998</v>
      </c>
      <c r="I4" s="17">
        <v>0.3342</v>
      </c>
      <c r="J4" s="20">
        <v>198.25</v>
      </c>
      <c r="K4" s="20">
        <v>650</v>
      </c>
      <c r="L4" s="20">
        <v>152.35</v>
      </c>
      <c r="M4" s="17">
        <f t="shared" ref="M4:M20" si="11">(K4-J4)/J4</f>
        <v>2.278688524590164</v>
      </c>
      <c r="N4" s="19">
        <f t="shared" si="0"/>
        <v>2</v>
      </c>
      <c r="O4" s="19">
        <f t="shared" si="1"/>
        <v>3</v>
      </c>
      <c r="P4" s="19">
        <f t="shared" si="2"/>
        <v>4</v>
      </c>
      <c r="Q4" s="19">
        <f t="shared" si="3"/>
        <v>1</v>
      </c>
      <c r="R4" s="19">
        <f t="shared" si="4"/>
        <v>4</v>
      </c>
      <c r="S4" s="19">
        <f t="shared" si="5"/>
        <v>4</v>
      </c>
      <c r="T4" s="19">
        <f t="shared" si="6"/>
        <v>4</v>
      </c>
      <c r="U4" s="19">
        <f t="shared" si="7"/>
        <v>4</v>
      </c>
      <c r="V4" s="22">
        <f t="shared" si="8"/>
        <v>0.8125</v>
      </c>
      <c r="W4" s="10" t="s">
        <v>173</v>
      </c>
      <c r="X4" s="24">
        <v>2000</v>
      </c>
      <c r="Y4" s="14">
        <f t="shared" si="9"/>
        <v>10.088272383354351</v>
      </c>
      <c r="Z4" s="25">
        <f t="shared" si="10"/>
        <v>2918.032786885246</v>
      </c>
      <c r="AA4" s="26">
        <f t="shared" ref="AA4:AA20" si="12">IFERROR(Z4/X4,0)</f>
        <v>1.459016393442623</v>
      </c>
    </row>
    <row r="5" spans="1:27" x14ac:dyDescent="0.35">
      <c r="A5" s="37" t="s">
        <v>118</v>
      </c>
      <c r="B5" s="16">
        <v>4.5999999999999996</v>
      </c>
      <c r="C5" s="17">
        <v>0.52500000000000002</v>
      </c>
      <c r="D5" s="17">
        <v>0.12180000000000001</v>
      </c>
      <c r="E5" s="17">
        <v>0.12180000000000001</v>
      </c>
      <c r="F5" s="17">
        <v>1.6899999999999998E-2</v>
      </c>
      <c r="G5" s="17">
        <v>3.73E-2</v>
      </c>
      <c r="H5" s="17">
        <v>0.17449999999999999</v>
      </c>
      <c r="I5" s="17">
        <v>0.21199999999999999</v>
      </c>
      <c r="J5" s="20">
        <v>1130.3499999999999</v>
      </c>
      <c r="K5" s="20">
        <v>1739.95</v>
      </c>
      <c r="L5" s="20">
        <v>1000.35</v>
      </c>
      <c r="M5" s="17">
        <f t="shared" si="11"/>
        <v>0.53930198611049696</v>
      </c>
      <c r="N5" s="19">
        <f t="shared" si="0"/>
        <v>0</v>
      </c>
      <c r="O5" s="19">
        <f t="shared" si="1"/>
        <v>4</v>
      </c>
      <c r="P5" s="19">
        <f t="shared" si="2"/>
        <v>3</v>
      </c>
      <c r="Q5" s="19">
        <f t="shared" si="3"/>
        <v>4</v>
      </c>
      <c r="R5" s="19">
        <f t="shared" si="4"/>
        <v>3</v>
      </c>
      <c r="S5" s="19">
        <f t="shared" si="5"/>
        <v>3</v>
      </c>
      <c r="T5" s="19">
        <f t="shared" si="6"/>
        <v>4</v>
      </c>
      <c r="U5" s="19">
        <f t="shared" si="7"/>
        <v>3</v>
      </c>
      <c r="V5" s="22">
        <f t="shared" si="8"/>
        <v>0.75</v>
      </c>
      <c r="W5" s="10" t="s">
        <v>172</v>
      </c>
      <c r="X5" s="24">
        <v>2000</v>
      </c>
      <c r="Y5" s="14">
        <f t="shared" si="9"/>
        <v>1.7693634714911313</v>
      </c>
      <c r="Z5" s="25">
        <f t="shared" si="10"/>
        <v>770.7435749988947</v>
      </c>
      <c r="AA5" s="26">
        <f t="shared" si="12"/>
        <v>0.38537178749944734</v>
      </c>
    </row>
    <row r="6" spans="1:27" x14ac:dyDescent="0.35">
      <c r="A6" s="37" t="s">
        <v>151</v>
      </c>
      <c r="B6" s="16">
        <v>0.89</v>
      </c>
      <c r="C6" s="17">
        <v>0.43140000000000001</v>
      </c>
      <c r="D6" s="17">
        <v>0.13250000000000001</v>
      </c>
      <c r="E6" s="17">
        <v>1.32E-2</v>
      </c>
      <c r="F6" s="17">
        <v>1.21E-2</v>
      </c>
      <c r="G6" s="17">
        <v>3.4000000000000002E-2</v>
      </c>
      <c r="H6" s="17">
        <v>0.1416</v>
      </c>
      <c r="I6" s="17">
        <v>0.28589999999999999</v>
      </c>
      <c r="J6" s="20">
        <v>435</v>
      </c>
      <c r="K6" s="20">
        <v>1822.15</v>
      </c>
      <c r="L6" s="20">
        <v>235.6</v>
      </c>
      <c r="M6" s="17">
        <f t="shared" si="11"/>
        <v>3.1888505747126441</v>
      </c>
      <c r="N6" s="19">
        <f t="shared" si="0"/>
        <v>4</v>
      </c>
      <c r="O6" s="19">
        <f t="shared" si="1"/>
        <v>3</v>
      </c>
      <c r="P6" s="19">
        <f t="shared" si="2"/>
        <v>3</v>
      </c>
      <c r="Q6" s="19">
        <f t="shared" si="3"/>
        <v>0</v>
      </c>
      <c r="R6" s="19">
        <f t="shared" si="4"/>
        <v>3</v>
      </c>
      <c r="S6" s="19">
        <f t="shared" si="5"/>
        <v>3</v>
      </c>
      <c r="T6" s="19">
        <f t="shared" si="6"/>
        <v>3</v>
      </c>
      <c r="U6" s="19">
        <f t="shared" si="7"/>
        <v>4</v>
      </c>
      <c r="V6" s="22">
        <f t="shared" si="8"/>
        <v>0.71875</v>
      </c>
      <c r="W6" s="10" t="s">
        <v>174</v>
      </c>
      <c r="X6" s="24">
        <v>1000</v>
      </c>
      <c r="Y6" s="14">
        <f t="shared" si="9"/>
        <v>2.2988505747126435</v>
      </c>
      <c r="Z6" s="25">
        <f t="shared" si="10"/>
        <v>1094.4252873563219</v>
      </c>
      <c r="AA6" s="26">
        <f t="shared" si="12"/>
        <v>1.0944252873563218</v>
      </c>
    </row>
    <row r="7" spans="1:27" x14ac:dyDescent="0.35">
      <c r="A7" s="37" t="s">
        <v>152</v>
      </c>
      <c r="B7" s="16">
        <v>0.6</v>
      </c>
      <c r="C7" s="17">
        <v>0.24979999999999999</v>
      </c>
      <c r="D7" s="17">
        <v>9.8900000000000002E-2</v>
      </c>
      <c r="E7" s="17">
        <v>0.12189999999999999</v>
      </c>
      <c r="F7" s="17">
        <v>6.8999999999999999E-3</v>
      </c>
      <c r="G7" s="17">
        <v>3.27E-2</v>
      </c>
      <c r="H7" s="17">
        <v>0.1346</v>
      </c>
      <c r="I7" s="17">
        <v>0.34870000000000001</v>
      </c>
      <c r="J7" s="20">
        <v>124.1</v>
      </c>
      <c r="K7" s="20">
        <v>716.55</v>
      </c>
      <c r="L7" s="20">
        <v>105.6</v>
      </c>
      <c r="M7" s="17">
        <f t="shared" si="11"/>
        <v>4.7739726027397253</v>
      </c>
      <c r="N7" s="19">
        <f t="shared" si="0"/>
        <v>4</v>
      </c>
      <c r="O7" s="19">
        <f t="shared" si="1"/>
        <v>0</v>
      </c>
      <c r="P7" s="19">
        <f t="shared" si="2"/>
        <v>2</v>
      </c>
      <c r="Q7" s="19">
        <f t="shared" si="3"/>
        <v>4</v>
      </c>
      <c r="R7" s="19">
        <f t="shared" si="4"/>
        <v>4</v>
      </c>
      <c r="S7" s="19">
        <f t="shared" si="5"/>
        <v>3</v>
      </c>
      <c r="T7" s="19">
        <f t="shared" si="6"/>
        <v>2</v>
      </c>
      <c r="U7" s="19">
        <f t="shared" si="7"/>
        <v>4</v>
      </c>
      <c r="V7" s="22">
        <f t="shared" si="8"/>
        <v>0.71875</v>
      </c>
      <c r="W7" s="10" t="s">
        <v>173</v>
      </c>
      <c r="X7" s="24">
        <v>1000</v>
      </c>
      <c r="Y7" s="14">
        <f t="shared" si="9"/>
        <v>8.058017727639001</v>
      </c>
      <c r="Z7" s="25">
        <f t="shared" si="10"/>
        <v>3330.4794520547939</v>
      </c>
      <c r="AA7" s="26">
        <f t="shared" si="12"/>
        <v>3.330479452054794</v>
      </c>
    </row>
    <row r="8" spans="1:27" x14ac:dyDescent="0.35">
      <c r="A8" s="37" t="s">
        <v>147</v>
      </c>
      <c r="B8" s="16">
        <v>0.85</v>
      </c>
      <c r="C8" s="17">
        <v>0.23949999999999999</v>
      </c>
      <c r="D8" s="17">
        <v>0.11990000000000001</v>
      </c>
      <c r="E8" s="17">
        <v>9.9000000000000008E-3</v>
      </c>
      <c r="F8" s="17">
        <v>6.4999999999999997E-3</v>
      </c>
      <c r="G8" s="17">
        <v>3.3599999999999998E-2</v>
      </c>
      <c r="H8" s="17">
        <v>0.1681</v>
      </c>
      <c r="I8" s="17">
        <v>0.15890000000000001</v>
      </c>
      <c r="J8" s="20">
        <v>84.95</v>
      </c>
      <c r="K8" s="20">
        <v>244.6</v>
      </c>
      <c r="L8" s="20">
        <v>73.25</v>
      </c>
      <c r="M8" s="17">
        <f t="shared" si="11"/>
        <v>1.8793407886992346</v>
      </c>
      <c r="N8" s="19">
        <f t="shared" si="0"/>
        <v>4</v>
      </c>
      <c r="O8" s="19">
        <f t="shared" si="1"/>
        <v>0</v>
      </c>
      <c r="P8" s="19">
        <f t="shared" si="2"/>
        <v>3</v>
      </c>
      <c r="Q8" s="19">
        <f t="shared" si="3"/>
        <v>0</v>
      </c>
      <c r="R8" s="19">
        <f t="shared" si="4"/>
        <v>4</v>
      </c>
      <c r="S8" s="19">
        <f t="shared" si="5"/>
        <v>3</v>
      </c>
      <c r="T8" s="19">
        <f t="shared" si="6"/>
        <v>4</v>
      </c>
      <c r="U8" s="19">
        <f t="shared" si="7"/>
        <v>2</v>
      </c>
      <c r="V8" s="22">
        <f t="shared" si="8"/>
        <v>0.625</v>
      </c>
      <c r="W8" s="10" t="s">
        <v>174</v>
      </c>
      <c r="X8" s="24">
        <v>0</v>
      </c>
      <c r="Y8" s="14">
        <f t="shared" si="9"/>
        <v>0</v>
      </c>
      <c r="Z8" s="25">
        <f t="shared" si="10"/>
        <v>0</v>
      </c>
      <c r="AA8" s="26">
        <f t="shared" si="12"/>
        <v>0</v>
      </c>
    </row>
    <row r="9" spans="1:27" x14ac:dyDescent="0.35">
      <c r="A9" s="37" t="s">
        <v>146</v>
      </c>
      <c r="B9" s="16">
        <v>1.73</v>
      </c>
      <c r="C9" s="17">
        <v>0.25219999999999998</v>
      </c>
      <c r="D9" s="17">
        <v>0.1517</v>
      </c>
      <c r="E9" s="17">
        <v>1.6E-2</v>
      </c>
      <c r="F9" s="17">
        <v>1.8100000000000002E-2</v>
      </c>
      <c r="G9" s="17">
        <v>3.7199999999999997E-2</v>
      </c>
      <c r="H9" s="17">
        <v>0.1555</v>
      </c>
      <c r="I9" s="17">
        <v>0.1731</v>
      </c>
      <c r="J9" s="20">
        <v>126.2</v>
      </c>
      <c r="K9" s="20">
        <v>249</v>
      </c>
      <c r="L9" s="20">
        <v>110.1</v>
      </c>
      <c r="M9" s="17">
        <f t="shared" si="11"/>
        <v>0.97305863708399365</v>
      </c>
      <c r="N9" s="19">
        <f t="shared" si="0"/>
        <v>3</v>
      </c>
      <c r="O9" s="19">
        <f t="shared" si="1"/>
        <v>0</v>
      </c>
      <c r="P9" s="19">
        <f t="shared" si="2"/>
        <v>4</v>
      </c>
      <c r="Q9" s="19">
        <f t="shared" si="3"/>
        <v>0</v>
      </c>
      <c r="R9" s="19">
        <f t="shared" si="4"/>
        <v>3</v>
      </c>
      <c r="S9" s="19">
        <f t="shared" si="5"/>
        <v>3</v>
      </c>
      <c r="T9" s="19">
        <f t="shared" si="6"/>
        <v>3</v>
      </c>
      <c r="U9" s="19">
        <f t="shared" si="7"/>
        <v>2</v>
      </c>
      <c r="V9" s="22">
        <f t="shared" si="8"/>
        <v>0.5625</v>
      </c>
      <c r="W9" s="10" t="s">
        <v>174</v>
      </c>
      <c r="X9" s="24">
        <v>0</v>
      </c>
      <c r="Y9" s="14">
        <f t="shared" si="9"/>
        <v>0</v>
      </c>
      <c r="Z9" s="25">
        <f t="shared" si="10"/>
        <v>0</v>
      </c>
      <c r="AA9" s="26">
        <f t="shared" si="12"/>
        <v>0</v>
      </c>
    </row>
    <row r="10" spans="1:27" x14ac:dyDescent="0.35">
      <c r="A10" s="37" t="s">
        <v>148</v>
      </c>
      <c r="B10" s="16">
        <v>1.98</v>
      </c>
      <c r="C10" s="17">
        <v>0.49609999999999999</v>
      </c>
      <c r="D10" s="17">
        <v>3.2399999999999998E-2</v>
      </c>
      <c r="E10" s="17">
        <v>3.5999999999999999E-3</v>
      </c>
      <c r="F10" s="17">
        <v>2.29E-2</v>
      </c>
      <c r="G10" s="17">
        <v>3.09E-2</v>
      </c>
      <c r="H10" s="17">
        <v>0.16889999999999999</v>
      </c>
      <c r="I10" s="17">
        <v>0.1449</v>
      </c>
      <c r="J10" s="20">
        <v>342.1</v>
      </c>
      <c r="K10" s="20">
        <v>552.4</v>
      </c>
      <c r="L10" s="20">
        <v>269</v>
      </c>
      <c r="M10" s="17">
        <f t="shared" si="11"/>
        <v>0.61473253434668207</v>
      </c>
      <c r="N10" s="19">
        <f t="shared" si="0"/>
        <v>3</v>
      </c>
      <c r="O10" s="19">
        <f t="shared" si="1"/>
        <v>4</v>
      </c>
      <c r="P10" s="19">
        <f t="shared" si="2"/>
        <v>1</v>
      </c>
      <c r="Q10" s="19">
        <f t="shared" si="3"/>
        <v>0</v>
      </c>
      <c r="R10" s="19">
        <f t="shared" si="4"/>
        <v>2</v>
      </c>
      <c r="S10" s="19">
        <f t="shared" si="5"/>
        <v>3</v>
      </c>
      <c r="T10" s="19">
        <f t="shared" si="6"/>
        <v>4</v>
      </c>
      <c r="U10" s="19">
        <f t="shared" si="7"/>
        <v>1</v>
      </c>
      <c r="V10" s="22">
        <f t="shared" si="8"/>
        <v>0.5625</v>
      </c>
      <c r="W10" s="10" t="s">
        <v>172</v>
      </c>
      <c r="X10" s="24">
        <v>2000</v>
      </c>
      <c r="Y10" s="14">
        <f t="shared" si="9"/>
        <v>5.8462437883659746</v>
      </c>
      <c r="Z10" s="25">
        <f t="shared" si="10"/>
        <v>906.51856182402776</v>
      </c>
      <c r="AA10" s="26">
        <f t="shared" si="12"/>
        <v>0.4532592809120139</v>
      </c>
    </row>
    <row r="11" spans="1:27" x14ac:dyDescent="0.35">
      <c r="A11" s="37" t="s">
        <v>153</v>
      </c>
      <c r="B11" s="16">
        <v>1.6</v>
      </c>
      <c r="C11" s="17">
        <v>0.3306</v>
      </c>
      <c r="D11" s="17">
        <v>6.5299999999999997E-2</v>
      </c>
      <c r="E11" s="17">
        <v>5.0000000000000001E-3</v>
      </c>
      <c r="F11" s="17">
        <v>1.8599999999999998E-2</v>
      </c>
      <c r="G11" s="17">
        <v>2.7400000000000001E-2</v>
      </c>
      <c r="H11" s="17">
        <v>0.16500000000000001</v>
      </c>
      <c r="I11" s="17">
        <v>0.1865</v>
      </c>
      <c r="J11" s="20">
        <v>24.55</v>
      </c>
      <c r="K11" s="20">
        <v>268</v>
      </c>
      <c r="L11" s="20">
        <v>5.55</v>
      </c>
      <c r="M11" s="17">
        <f t="shared" si="11"/>
        <v>9.9164969450101825</v>
      </c>
      <c r="N11" s="19">
        <f t="shared" si="0"/>
        <v>3</v>
      </c>
      <c r="O11" s="19">
        <f t="shared" si="1"/>
        <v>1</v>
      </c>
      <c r="P11" s="19">
        <f t="shared" si="2"/>
        <v>2</v>
      </c>
      <c r="Q11" s="19">
        <f t="shared" si="3"/>
        <v>0</v>
      </c>
      <c r="R11" s="19">
        <f t="shared" si="4"/>
        <v>3</v>
      </c>
      <c r="S11" s="19">
        <f t="shared" si="5"/>
        <v>2</v>
      </c>
      <c r="T11" s="19">
        <f t="shared" si="6"/>
        <v>4</v>
      </c>
      <c r="U11" s="19">
        <f t="shared" si="7"/>
        <v>2</v>
      </c>
      <c r="V11" s="22">
        <f t="shared" si="8"/>
        <v>0.53125</v>
      </c>
      <c r="W11" s="10" t="s">
        <v>174</v>
      </c>
      <c r="X11" s="24">
        <v>1000</v>
      </c>
      <c r="Y11" s="14">
        <f t="shared" si="9"/>
        <v>40.733197556008143</v>
      </c>
      <c r="Z11" s="25">
        <f t="shared" si="10"/>
        <v>4458.2484725050917</v>
      </c>
      <c r="AA11" s="26">
        <f t="shared" si="12"/>
        <v>4.4582484725050922</v>
      </c>
    </row>
    <row r="12" spans="1:27" x14ac:dyDescent="0.35">
      <c r="A12" s="37" t="s">
        <v>144</v>
      </c>
      <c r="B12" s="16">
        <v>1.39</v>
      </c>
      <c r="C12" s="17">
        <v>0.44379999999999997</v>
      </c>
      <c r="D12" s="17">
        <v>7.1900000000000006E-2</v>
      </c>
      <c r="E12" s="17">
        <v>6.3E-3</v>
      </c>
      <c r="F12" s="17">
        <v>2.06E-2</v>
      </c>
      <c r="G12" s="17">
        <v>2.9499999999999998E-2</v>
      </c>
      <c r="H12" s="17">
        <v>0.15840000000000001</v>
      </c>
      <c r="I12" s="17">
        <v>0.12540000000000001</v>
      </c>
      <c r="J12" s="20">
        <v>423.15</v>
      </c>
      <c r="K12" s="20">
        <v>826.55</v>
      </c>
      <c r="L12" s="20">
        <v>285</v>
      </c>
      <c r="M12" s="17">
        <f t="shared" si="11"/>
        <v>0.95332624364882435</v>
      </c>
      <c r="N12" s="19">
        <f t="shared" si="0"/>
        <v>3</v>
      </c>
      <c r="O12" s="19">
        <f t="shared" si="1"/>
        <v>3</v>
      </c>
      <c r="P12" s="19">
        <f t="shared" si="2"/>
        <v>2</v>
      </c>
      <c r="Q12" s="19">
        <f t="shared" si="3"/>
        <v>0</v>
      </c>
      <c r="R12" s="19">
        <f t="shared" si="4"/>
        <v>2</v>
      </c>
      <c r="S12" s="19">
        <f t="shared" si="5"/>
        <v>2</v>
      </c>
      <c r="T12" s="19">
        <f t="shared" si="6"/>
        <v>3</v>
      </c>
      <c r="U12" s="19">
        <f t="shared" si="7"/>
        <v>1</v>
      </c>
      <c r="V12" s="22">
        <f t="shared" si="8"/>
        <v>0.5</v>
      </c>
      <c r="W12" s="10" t="s">
        <v>172</v>
      </c>
      <c r="X12" s="24">
        <v>0</v>
      </c>
      <c r="Y12" s="14">
        <f t="shared" si="9"/>
        <v>0</v>
      </c>
      <c r="Z12" s="25">
        <f t="shared" si="10"/>
        <v>0</v>
      </c>
      <c r="AA12" s="26">
        <f t="shared" si="12"/>
        <v>0</v>
      </c>
    </row>
    <row r="13" spans="1:27" x14ac:dyDescent="0.35">
      <c r="A13" s="37" t="s">
        <v>150</v>
      </c>
      <c r="B13" s="16">
        <v>0.76</v>
      </c>
      <c r="C13" s="17">
        <v>0.1293</v>
      </c>
      <c r="D13" s="17">
        <v>-0.1164</v>
      </c>
      <c r="E13" s="17">
        <v>-1.32E-2</v>
      </c>
      <c r="F13" s="17">
        <v>1.2699999999999999E-2</v>
      </c>
      <c r="G13" s="17">
        <v>2.07E-2</v>
      </c>
      <c r="H13" s="17">
        <v>0.1547</v>
      </c>
      <c r="I13" s="17">
        <v>0.65439999999999998</v>
      </c>
      <c r="J13" s="20">
        <v>24.05</v>
      </c>
      <c r="K13" s="20">
        <v>54</v>
      </c>
      <c r="L13" s="20">
        <v>17.75</v>
      </c>
      <c r="M13" s="17">
        <f t="shared" si="11"/>
        <v>1.2453222453222452</v>
      </c>
      <c r="N13" s="19">
        <f t="shared" si="0"/>
        <v>4</v>
      </c>
      <c r="O13" s="19">
        <f t="shared" si="1"/>
        <v>0</v>
      </c>
      <c r="P13" s="19">
        <f t="shared" si="2"/>
        <v>0</v>
      </c>
      <c r="Q13" s="19">
        <f t="shared" si="3"/>
        <v>0</v>
      </c>
      <c r="R13" s="19">
        <f t="shared" si="4"/>
        <v>3</v>
      </c>
      <c r="S13" s="19">
        <f t="shared" si="5"/>
        <v>2</v>
      </c>
      <c r="T13" s="19">
        <f t="shared" si="6"/>
        <v>3</v>
      </c>
      <c r="U13" s="19">
        <f t="shared" si="7"/>
        <v>4</v>
      </c>
      <c r="V13" s="22">
        <f t="shared" si="8"/>
        <v>0.5</v>
      </c>
      <c r="W13" s="10" t="s">
        <v>174</v>
      </c>
      <c r="X13" s="24">
        <v>0</v>
      </c>
      <c r="Y13" s="14">
        <f t="shared" si="9"/>
        <v>0</v>
      </c>
      <c r="Z13" s="25">
        <f t="shared" si="10"/>
        <v>0</v>
      </c>
      <c r="AA13" s="26">
        <f t="shared" si="12"/>
        <v>0</v>
      </c>
    </row>
    <row r="14" spans="1:27" x14ac:dyDescent="0.35">
      <c r="A14" s="37" t="s">
        <v>141</v>
      </c>
      <c r="B14" s="16">
        <v>0.81</v>
      </c>
      <c r="C14" s="17">
        <v>0.44569999999999999</v>
      </c>
      <c r="D14" s="17">
        <v>4.4000000000000003E-3</v>
      </c>
      <c r="E14" s="17">
        <v>2.0000000000000001E-4</v>
      </c>
      <c r="F14" s="17">
        <v>3.0099999999999998E-2</v>
      </c>
      <c r="G14" s="17">
        <v>2.6200000000000001E-2</v>
      </c>
      <c r="H14" s="17">
        <v>0.1285</v>
      </c>
      <c r="I14" s="17">
        <v>0.12970000000000001</v>
      </c>
      <c r="J14" s="20">
        <v>188.6</v>
      </c>
      <c r="K14" s="20">
        <v>373.7</v>
      </c>
      <c r="L14" s="20">
        <v>173.6</v>
      </c>
      <c r="M14" s="17">
        <f t="shared" si="11"/>
        <v>0.98144220572640506</v>
      </c>
      <c r="N14" s="19">
        <f t="shared" si="0"/>
        <v>4</v>
      </c>
      <c r="O14" s="19">
        <f t="shared" si="1"/>
        <v>3</v>
      </c>
      <c r="P14" s="19">
        <f t="shared" si="2"/>
        <v>1</v>
      </c>
      <c r="Q14" s="19">
        <f t="shared" si="3"/>
        <v>0</v>
      </c>
      <c r="R14" s="19">
        <f t="shared" si="4"/>
        <v>1</v>
      </c>
      <c r="S14" s="19">
        <f t="shared" si="5"/>
        <v>2</v>
      </c>
      <c r="T14" s="19">
        <f t="shared" si="6"/>
        <v>2</v>
      </c>
      <c r="U14" s="19">
        <f t="shared" si="7"/>
        <v>1</v>
      </c>
      <c r="V14" s="22">
        <f t="shared" si="8"/>
        <v>0.4375</v>
      </c>
      <c r="W14" s="10" t="s">
        <v>172</v>
      </c>
      <c r="X14" s="24">
        <v>1000</v>
      </c>
      <c r="Y14" s="14">
        <f t="shared" si="9"/>
        <v>5.3022269353128317</v>
      </c>
      <c r="Z14" s="25">
        <f t="shared" si="10"/>
        <v>783.29798515376456</v>
      </c>
      <c r="AA14" s="26">
        <f t="shared" si="12"/>
        <v>0.78329798515376459</v>
      </c>
    </row>
    <row r="15" spans="1:27" x14ac:dyDescent="0.35">
      <c r="A15" s="37" t="s">
        <v>138</v>
      </c>
      <c r="B15" s="21">
        <v>0.32</v>
      </c>
      <c r="C15" s="17">
        <v>0.35039999999999999</v>
      </c>
      <c r="D15" s="17">
        <v>9.7000000000000003E-3</v>
      </c>
      <c r="E15" s="17">
        <v>6.0000000000000001E-3</v>
      </c>
      <c r="F15" s="17">
        <v>3.3000000000000002E-2</v>
      </c>
      <c r="G15" s="17">
        <v>2.52E-2</v>
      </c>
      <c r="H15" s="17">
        <v>0.13420000000000001</v>
      </c>
      <c r="I15" s="17">
        <v>9.6799999999999997E-2</v>
      </c>
      <c r="J15" s="18">
        <v>49.55</v>
      </c>
      <c r="K15" s="18">
        <v>143.6</v>
      </c>
      <c r="L15" s="18">
        <v>47</v>
      </c>
      <c r="M15" s="17">
        <f t="shared" si="11"/>
        <v>1.898082744702321</v>
      </c>
      <c r="N15" s="19">
        <f t="shared" si="0"/>
        <v>4</v>
      </c>
      <c r="O15" s="19">
        <f t="shared" si="1"/>
        <v>2</v>
      </c>
      <c r="P15" s="19">
        <f t="shared" si="2"/>
        <v>1</v>
      </c>
      <c r="Q15" s="19">
        <f t="shared" si="3"/>
        <v>0</v>
      </c>
      <c r="R15" s="19">
        <f t="shared" si="4"/>
        <v>1</v>
      </c>
      <c r="S15" s="19">
        <f t="shared" si="5"/>
        <v>2</v>
      </c>
      <c r="T15" s="19">
        <f t="shared" si="6"/>
        <v>2</v>
      </c>
      <c r="U15" s="19">
        <f t="shared" si="7"/>
        <v>0</v>
      </c>
      <c r="V15" s="22">
        <f t="shared" si="8"/>
        <v>0.375</v>
      </c>
      <c r="W15" s="10" t="s">
        <v>172</v>
      </c>
      <c r="X15" s="24">
        <v>0</v>
      </c>
      <c r="Y15" s="14">
        <f t="shared" si="9"/>
        <v>0</v>
      </c>
      <c r="Z15" s="25">
        <f t="shared" si="10"/>
        <v>0</v>
      </c>
      <c r="AA15" s="26">
        <f t="shared" si="12"/>
        <v>0</v>
      </c>
    </row>
    <row r="16" spans="1:27" x14ac:dyDescent="0.35">
      <c r="A16" s="37" t="s">
        <v>140</v>
      </c>
      <c r="B16" s="16">
        <v>0.37</v>
      </c>
      <c r="C16" s="17">
        <v>0.46210000000000001</v>
      </c>
      <c r="D16" s="17">
        <v>-0.36730000000000002</v>
      </c>
      <c r="E16" s="17">
        <v>-1.72E-2</v>
      </c>
      <c r="F16" s="17">
        <v>0.38990000000000002</v>
      </c>
      <c r="G16" s="17">
        <v>2.23E-2</v>
      </c>
      <c r="H16" s="17">
        <v>9.6100000000000005E-2</v>
      </c>
      <c r="I16" s="17">
        <v>-6.4000000000000001E-2</v>
      </c>
      <c r="J16" s="20">
        <v>12.85</v>
      </c>
      <c r="K16" s="20">
        <v>36</v>
      </c>
      <c r="L16" s="20">
        <v>10.199999999999999</v>
      </c>
      <c r="M16" s="17">
        <f t="shared" si="11"/>
        <v>1.8015564202334631</v>
      </c>
      <c r="N16" s="19">
        <f t="shared" si="0"/>
        <v>4</v>
      </c>
      <c r="O16" s="19">
        <f t="shared" si="1"/>
        <v>4</v>
      </c>
      <c r="P16" s="19">
        <f t="shared" si="2"/>
        <v>0</v>
      </c>
      <c r="Q16" s="19">
        <f t="shared" si="3"/>
        <v>0</v>
      </c>
      <c r="R16" s="19">
        <f t="shared" si="4"/>
        <v>0</v>
      </c>
      <c r="S16" s="19">
        <f t="shared" si="5"/>
        <v>2</v>
      </c>
      <c r="T16" s="19">
        <f t="shared" si="6"/>
        <v>0</v>
      </c>
      <c r="U16" s="19">
        <f t="shared" si="7"/>
        <v>0</v>
      </c>
      <c r="V16" s="22">
        <f t="shared" si="8"/>
        <v>0.3125</v>
      </c>
      <c r="W16" s="10" t="s">
        <v>174</v>
      </c>
      <c r="X16" s="24">
        <v>0</v>
      </c>
      <c r="Y16" s="14">
        <f t="shared" si="9"/>
        <v>0</v>
      </c>
      <c r="Z16" s="25">
        <f t="shared" si="10"/>
        <v>0</v>
      </c>
      <c r="AA16" s="26">
        <f t="shared" si="12"/>
        <v>0</v>
      </c>
    </row>
    <row r="17" spans="1:27" x14ac:dyDescent="0.35">
      <c r="A17" s="37" t="s">
        <v>149</v>
      </c>
      <c r="B17" s="16">
        <v>0.79</v>
      </c>
      <c r="C17" s="17">
        <v>0.4254</v>
      </c>
      <c r="D17" s="17">
        <v>-0.64270000000000005</v>
      </c>
      <c r="E17" s="17">
        <v>-4.5100000000000001E-2</v>
      </c>
      <c r="F17" s="17">
        <v>0.1011</v>
      </c>
      <c r="G17" s="17">
        <v>2.2599999999999999E-2</v>
      </c>
      <c r="H17" s="17">
        <v>0.1158</v>
      </c>
      <c r="I17" s="17">
        <v>-0.14530000000000001</v>
      </c>
      <c r="J17" s="20">
        <v>20.75</v>
      </c>
      <c r="K17" s="20">
        <v>44.3</v>
      </c>
      <c r="L17" s="20">
        <v>17.5</v>
      </c>
      <c r="M17" s="17">
        <f t="shared" si="11"/>
        <v>1.1349397590361445</v>
      </c>
      <c r="N17" s="19">
        <f t="shared" si="0"/>
        <v>4</v>
      </c>
      <c r="O17" s="19">
        <f t="shared" si="1"/>
        <v>3</v>
      </c>
      <c r="P17" s="19">
        <f t="shared" si="2"/>
        <v>0</v>
      </c>
      <c r="Q17" s="19">
        <f t="shared" si="3"/>
        <v>0</v>
      </c>
      <c r="R17" s="19">
        <f t="shared" si="4"/>
        <v>0</v>
      </c>
      <c r="S17" s="19">
        <f t="shared" si="5"/>
        <v>2</v>
      </c>
      <c r="T17" s="19">
        <f t="shared" si="6"/>
        <v>1</v>
      </c>
      <c r="U17" s="19">
        <f t="shared" si="7"/>
        <v>0</v>
      </c>
      <c r="V17" s="22">
        <f t="shared" si="8"/>
        <v>0.3125</v>
      </c>
      <c r="W17" s="10" t="s">
        <v>174</v>
      </c>
      <c r="X17" s="24">
        <v>0</v>
      </c>
      <c r="Y17" s="14">
        <f t="shared" si="9"/>
        <v>0</v>
      </c>
      <c r="Z17" s="25">
        <f t="shared" si="10"/>
        <v>0</v>
      </c>
      <c r="AA17" s="26">
        <f t="shared" si="12"/>
        <v>0</v>
      </c>
    </row>
    <row r="18" spans="1:27" x14ac:dyDescent="0.35">
      <c r="A18" s="37" t="s">
        <v>143</v>
      </c>
      <c r="B18" s="16">
        <v>0.57999999999999996</v>
      </c>
      <c r="C18" s="17">
        <v>0.4345</v>
      </c>
      <c r="D18" s="17">
        <v>-0.45679999999999998</v>
      </c>
      <c r="E18" s="17">
        <v>-1.9400000000000001E-2</v>
      </c>
      <c r="F18" s="17">
        <v>9.7199999999999995E-2</v>
      </c>
      <c r="G18" s="17">
        <v>2.0899999999999998E-2</v>
      </c>
      <c r="H18" s="17">
        <v>0.107</v>
      </c>
      <c r="I18" s="17">
        <v>-7.5899999999999995E-2</v>
      </c>
      <c r="J18" s="20">
        <v>9.93</v>
      </c>
      <c r="K18" s="20">
        <v>22.2</v>
      </c>
      <c r="L18" s="20">
        <v>8.4</v>
      </c>
      <c r="M18" s="17">
        <f t="shared" si="11"/>
        <v>1.2356495468277946</v>
      </c>
      <c r="N18" s="19">
        <f t="shared" si="0"/>
        <v>4</v>
      </c>
      <c r="O18" s="19">
        <f t="shared" si="1"/>
        <v>3</v>
      </c>
      <c r="P18" s="19">
        <f t="shared" si="2"/>
        <v>0</v>
      </c>
      <c r="Q18" s="19">
        <f t="shared" si="3"/>
        <v>0</v>
      </c>
      <c r="R18" s="19">
        <f t="shared" si="4"/>
        <v>0</v>
      </c>
      <c r="S18" s="19">
        <f t="shared" si="5"/>
        <v>2</v>
      </c>
      <c r="T18" s="19">
        <f t="shared" si="6"/>
        <v>1</v>
      </c>
      <c r="U18" s="19">
        <f t="shared" si="7"/>
        <v>0</v>
      </c>
      <c r="V18" s="22">
        <f t="shared" si="8"/>
        <v>0.3125</v>
      </c>
      <c r="W18" s="10" t="s">
        <v>174</v>
      </c>
      <c r="X18" s="24">
        <v>0</v>
      </c>
      <c r="Y18" s="14">
        <f t="shared" si="9"/>
        <v>0</v>
      </c>
      <c r="Z18" s="25">
        <f t="shared" si="10"/>
        <v>0</v>
      </c>
      <c r="AA18" s="26">
        <f t="shared" si="12"/>
        <v>0</v>
      </c>
    </row>
    <row r="19" spans="1:27" x14ac:dyDescent="0.35">
      <c r="A19" s="37" t="s">
        <v>139</v>
      </c>
      <c r="B19" s="16">
        <v>0.74</v>
      </c>
      <c r="C19" s="17">
        <v>0.2918</v>
      </c>
      <c r="D19" s="17">
        <v>1.18E-2</v>
      </c>
      <c r="E19" s="17">
        <v>5.0000000000000001E-4</v>
      </c>
      <c r="F19" s="17">
        <v>5.3699999999999998E-2</v>
      </c>
      <c r="G19" s="17">
        <v>2.24E-2</v>
      </c>
      <c r="H19" s="17">
        <v>0.11899999999999999</v>
      </c>
      <c r="I19" s="17">
        <v>0.1206</v>
      </c>
      <c r="J19" s="20">
        <v>85.9</v>
      </c>
      <c r="K19" s="20">
        <v>296.5</v>
      </c>
      <c r="L19" s="20">
        <v>73.849999999999994</v>
      </c>
      <c r="M19" s="17">
        <f t="shared" si="11"/>
        <v>2.4516880093131546</v>
      </c>
      <c r="N19" s="19">
        <f t="shared" si="0"/>
        <v>4</v>
      </c>
      <c r="O19" s="19">
        <f t="shared" si="1"/>
        <v>0</v>
      </c>
      <c r="P19" s="19">
        <f t="shared" si="2"/>
        <v>1</v>
      </c>
      <c r="Q19" s="19">
        <f t="shared" si="3"/>
        <v>0</v>
      </c>
      <c r="R19" s="19">
        <f t="shared" si="4"/>
        <v>0</v>
      </c>
      <c r="S19" s="19">
        <f t="shared" si="5"/>
        <v>2</v>
      </c>
      <c r="T19" s="19">
        <f t="shared" si="6"/>
        <v>1</v>
      </c>
      <c r="U19" s="19">
        <f t="shared" si="7"/>
        <v>1</v>
      </c>
      <c r="V19" s="22">
        <f t="shared" si="8"/>
        <v>0.28125</v>
      </c>
      <c r="W19" s="10" t="s">
        <v>174</v>
      </c>
      <c r="X19" s="24">
        <v>0</v>
      </c>
      <c r="Y19" s="14">
        <f t="shared" si="9"/>
        <v>0</v>
      </c>
      <c r="Z19" s="25">
        <f t="shared" si="10"/>
        <v>0</v>
      </c>
      <c r="AA19" s="26">
        <f t="shared" si="12"/>
        <v>0</v>
      </c>
    </row>
    <row r="20" spans="1:27" x14ac:dyDescent="0.35">
      <c r="A20" s="45" t="s">
        <v>142</v>
      </c>
      <c r="B20" s="46">
        <v>0.48</v>
      </c>
      <c r="C20" s="47">
        <v>0.42159999999999997</v>
      </c>
      <c r="D20" s="47">
        <v>-0.25380000000000003</v>
      </c>
      <c r="E20" s="47">
        <v>-1.29E-2</v>
      </c>
      <c r="F20" s="47">
        <v>6.5600000000000006E-2</v>
      </c>
      <c r="G20" s="47">
        <v>2.3300000000000001E-2</v>
      </c>
      <c r="H20" s="47">
        <v>9.7299999999999998E-2</v>
      </c>
      <c r="I20" s="47">
        <v>5.6500000000000002E-2</v>
      </c>
      <c r="J20" s="48">
        <v>31.1</v>
      </c>
      <c r="K20" s="48">
        <v>92.9</v>
      </c>
      <c r="L20" s="48">
        <v>28.75</v>
      </c>
      <c r="M20" s="47">
        <f t="shared" si="11"/>
        <v>1.987138263665595</v>
      </c>
      <c r="N20" s="49">
        <f t="shared" si="0"/>
        <v>4</v>
      </c>
      <c r="O20" s="49">
        <f t="shared" si="1"/>
        <v>3</v>
      </c>
      <c r="P20" s="49">
        <f t="shared" si="2"/>
        <v>0</v>
      </c>
      <c r="Q20" s="49">
        <f t="shared" si="3"/>
        <v>0</v>
      </c>
      <c r="R20" s="49">
        <f t="shared" si="4"/>
        <v>0</v>
      </c>
      <c r="S20" s="49">
        <f t="shared" si="5"/>
        <v>2</v>
      </c>
      <c r="T20" s="49">
        <f t="shared" si="6"/>
        <v>0</v>
      </c>
      <c r="U20" s="49">
        <f t="shared" si="7"/>
        <v>0</v>
      </c>
      <c r="V20" s="50">
        <f t="shared" si="8"/>
        <v>0.28125</v>
      </c>
      <c r="W20" s="32" t="s">
        <v>173</v>
      </c>
      <c r="X20" s="33">
        <v>0</v>
      </c>
      <c r="Y20" s="34">
        <f t="shared" si="9"/>
        <v>0</v>
      </c>
      <c r="Z20" s="35">
        <f t="shared" si="10"/>
        <v>0</v>
      </c>
      <c r="AA20" s="36">
        <f t="shared" si="12"/>
        <v>0</v>
      </c>
    </row>
  </sheetData>
  <sortState xmlns:xlrd2="http://schemas.microsoft.com/office/spreadsheetml/2017/richdata2" ref="A3:V20">
    <sortCondition descending="1" ref="V3"/>
  </sortState>
  <conditionalFormatting sqref="B2:B20">
    <cfRule type="colorScale" priority="13">
      <colorScale>
        <cfvo type="min"/>
        <cfvo type="percentile" val="50"/>
        <cfvo type="max"/>
        <color rgb="FF63BE7B"/>
        <color rgb="FFFFEB84"/>
        <color rgb="FFF8696B"/>
      </colorScale>
    </cfRule>
  </conditionalFormatting>
  <conditionalFormatting sqref="C3:C20">
    <cfRule type="colorScale" priority="12">
      <colorScale>
        <cfvo type="min"/>
        <cfvo type="percentile" val="50"/>
        <cfvo type="max"/>
        <color rgb="FFF8696B"/>
        <color rgb="FFFFEB84"/>
        <color rgb="FF63BE7B"/>
      </colorScale>
    </cfRule>
  </conditionalFormatting>
  <conditionalFormatting sqref="D3:D20">
    <cfRule type="colorScale" priority="9">
      <colorScale>
        <cfvo type="min"/>
        <cfvo type="percentile" val="50"/>
        <cfvo type="max"/>
        <color rgb="FFF8696B"/>
        <color rgb="FFFFEB84"/>
        <color rgb="FF63BE7B"/>
      </colorScale>
    </cfRule>
  </conditionalFormatting>
  <conditionalFormatting sqref="E3:E20">
    <cfRule type="colorScale" priority="8">
      <colorScale>
        <cfvo type="min"/>
        <cfvo type="percentile" val="50"/>
        <cfvo type="max"/>
        <color rgb="FFF8696B"/>
        <color rgb="FFFFEB84"/>
        <color rgb="FF63BE7B"/>
      </colorScale>
    </cfRule>
  </conditionalFormatting>
  <conditionalFormatting sqref="F3:F20">
    <cfRule type="colorScale" priority="7">
      <colorScale>
        <cfvo type="min"/>
        <cfvo type="percentile" val="50"/>
        <cfvo type="max"/>
        <color rgb="FF63BE7B"/>
        <color rgb="FFFFEB84"/>
        <color rgb="FFF8696B"/>
      </colorScale>
    </cfRule>
  </conditionalFormatting>
  <conditionalFormatting sqref="G3:G20">
    <cfRule type="colorScale" priority="4">
      <colorScale>
        <cfvo type="min"/>
        <cfvo type="percentile" val="50"/>
        <cfvo type="max"/>
        <color rgb="FFF8696B"/>
        <color rgb="FFFFEB84"/>
        <color rgb="FF63BE7B"/>
      </colorScale>
    </cfRule>
  </conditionalFormatting>
  <conditionalFormatting sqref="H3:H20">
    <cfRule type="colorScale" priority="3">
      <colorScale>
        <cfvo type="min"/>
        <cfvo type="percentile" val="50"/>
        <cfvo type="max"/>
        <color rgb="FFF8696B"/>
        <color rgb="FFFFEB84"/>
        <color rgb="FF63BE7B"/>
      </colorScale>
    </cfRule>
  </conditionalFormatting>
  <conditionalFormatting sqref="I3:I20">
    <cfRule type="colorScale" priority="2">
      <colorScale>
        <cfvo type="min"/>
        <cfvo type="percentile" val="50"/>
        <cfvo type="max"/>
        <color rgb="FFF8696B"/>
        <color rgb="FFFFEB84"/>
        <color rgb="FF63BE7B"/>
      </colorScale>
    </cfRule>
  </conditionalFormatting>
  <conditionalFormatting sqref="V3:V20">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FE19F-FD95-4FDF-BA45-996AD89312BF}">
  <sheetPr codeName="Sheet2"/>
  <dimension ref="B2:H11"/>
  <sheetViews>
    <sheetView showGridLines="0" zoomScaleNormal="100" workbookViewId="0">
      <selection activeCell="F3" sqref="F3"/>
    </sheetView>
  </sheetViews>
  <sheetFormatPr defaultRowHeight="14.5" x14ac:dyDescent="0.35"/>
  <cols>
    <col min="2" max="2" width="21" bestFit="1" customWidth="1"/>
    <col min="3" max="3" width="9.6328125" bestFit="1" customWidth="1"/>
    <col min="4" max="4" width="17.81640625" bestFit="1" customWidth="1"/>
    <col min="5" max="5" width="14.08984375" bestFit="1" customWidth="1"/>
    <col min="6" max="6" width="10.08984375" bestFit="1" customWidth="1"/>
    <col min="7" max="7" width="11.81640625" style="5" bestFit="1" customWidth="1"/>
    <col min="8" max="8" width="13.81640625" bestFit="1" customWidth="1"/>
  </cols>
  <sheetData>
    <row r="2" spans="2:8" x14ac:dyDescent="0.35">
      <c r="B2" s="51" t="s">
        <v>132</v>
      </c>
      <c r="C2" s="51" t="s">
        <v>171</v>
      </c>
      <c r="D2" s="51" t="s">
        <v>175</v>
      </c>
      <c r="E2" s="51" t="s">
        <v>155</v>
      </c>
      <c r="F2" s="51" t="s">
        <v>176</v>
      </c>
      <c r="G2" s="4" t="s">
        <v>179</v>
      </c>
      <c r="H2" s="52" t="s">
        <v>181</v>
      </c>
    </row>
    <row r="3" spans="2:8" x14ac:dyDescent="0.35">
      <c r="B3" s="4" t="s">
        <v>145</v>
      </c>
      <c r="C3" s="4" t="s">
        <v>173</v>
      </c>
      <c r="D3" s="64">
        <v>2000</v>
      </c>
      <c r="E3" s="7">
        <v>198.25</v>
      </c>
      <c r="F3" s="15">
        <v>10.088272383354351</v>
      </c>
      <c r="G3" s="7">
        <v>2918.032786885246</v>
      </c>
      <c r="H3" s="52">
        <v>1.459016393442623</v>
      </c>
    </row>
    <row r="4" spans="2:8" x14ac:dyDescent="0.35">
      <c r="B4" s="4" t="s">
        <v>15</v>
      </c>
      <c r="C4" s="4" t="s">
        <v>172</v>
      </c>
      <c r="D4" s="64">
        <v>2000</v>
      </c>
      <c r="E4" s="7">
        <v>881.05</v>
      </c>
      <c r="F4" s="15">
        <v>2.2700187276545032</v>
      </c>
      <c r="G4" s="7">
        <v>664.298280460814</v>
      </c>
      <c r="H4" s="52">
        <v>0.33214914023040698</v>
      </c>
    </row>
    <row r="5" spans="2:8" x14ac:dyDescent="0.35">
      <c r="B5" s="4" t="s">
        <v>148</v>
      </c>
      <c r="C5" s="4" t="s">
        <v>172</v>
      </c>
      <c r="D5" s="64">
        <v>2000</v>
      </c>
      <c r="E5" s="7">
        <v>342.1</v>
      </c>
      <c r="F5" s="15">
        <v>5.8462437883659746</v>
      </c>
      <c r="G5" s="7">
        <v>906.51856182402776</v>
      </c>
      <c r="H5" s="52">
        <v>0.4532592809120139</v>
      </c>
    </row>
    <row r="6" spans="2:8" x14ac:dyDescent="0.35">
      <c r="B6" s="4" t="s">
        <v>151</v>
      </c>
      <c r="C6" s="4" t="s">
        <v>174</v>
      </c>
      <c r="D6" s="64">
        <v>1000</v>
      </c>
      <c r="E6" s="7">
        <v>435</v>
      </c>
      <c r="F6" s="15">
        <v>2.2988505747126435</v>
      </c>
      <c r="G6" s="7">
        <v>1094.4252873563219</v>
      </c>
      <c r="H6" s="52">
        <v>1.0944252873563218</v>
      </c>
    </row>
    <row r="7" spans="2:8" x14ac:dyDescent="0.35">
      <c r="B7" s="4" t="s">
        <v>118</v>
      </c>
      <c r="C7" s="4" t="s">
        <v>172</v>
      </c>
      <c r="D7" s="64">
        <v>2000</v>
      </c>
      <c r="E7" s="7">
        <v>1130.3499999999999</v>
      </c>
      <c r="F7" s="15">
        <v>1.7693634714911313</v>
      </c>
      <c r="G7" s="7">
        <v>770.7435749988947</v>
      </c>
      <c r="H7" s="52">
        <v>0.38537178749944734</v>
      </c>
    </row>
    <row r="8" spans="2:8" x14ac:dyDescent="0.35">
      <c r="B8" s="4" t="s">
        <v>152</v>
      </c>
      <c r="C8" s="4" t="s">
        <v>173</v>
      </c>
      <c r="D8" s="64">
        <v>1000</v>
      </c>
      <c r="E8" s="7">
        <v>124.1</v>
      </c>
      <c r="F8" s="15">
        <v>8.058017727639001</v>
      </c>
      <c r="G8" s="7">
        <v>3330.4794520547939</v>
      </c>
      <c r="H8" s="52">
        <v>3.330479452054794</v>
      </c>
    </row>
    <row r="9" spans="2:8" x14ac:dyDescent="0.35">
      <c r="B9" s="4" t="s">
        <v>141</v>
      </c>
      <c r="C9" s="4" t="s">
        <v>172</v>
      </c>
      <c r="D9" s="64">
        <v>1000</v>
      </c>
      <c r="E9" s="7">
        <v>188.6</v>
      </c>
      <c r="F9" s="15">
        <v>5.3022269353128317</v>
      </c>
      <c r="G9" s="7">
        <v>783.29798515376456</v>
      </c>
      <c r="H9" s="52">
        <v>0.78329798515376459</v>
      </c>
    </row>
    <row r="10" spans="2:8" x14ac:dyDescent="0.35">
      <c r="B10" s="4" t="s">
        <v>153</v>
      </c>
      <c r="C10" s="4" t="s">
        <v>174</v>
      </c>
      <c r="D10" s="64">
        <v>1000</v>
      </c>
      <c r="E10" s="7">
        <v>24.55</v>
      </c>
      <c r="F10" s="15">
        <v>40.733197556008143</v>
      </c>
      <c r="G10" s="7">
        <v>4458.2484725050917</v>
      </c>
      <c r="H10" s="52">
        <v>4.4582484725050922</v>
      </c>
    </row>
    <row r="11" spans="2:8" x14ac:dyDescent="0.35">
      <c r="B11" s="4" t="s">
        <v>180</v>
      </c>
      <c r="C11" s="4"/>
      <c r="D11" s="4"/>
      <c r="E11" s="4"/>
      <c r="F11" s="4"/>
      <c r="G11" s="7">
        <v>14926.044401238953</v>
      </c>
      <c r="H11" s="52">
        <v>12.296247799154465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3076A-76E9-4341-B2C7-F3CC66D4BE0A}">
  <sheetPr codeName="Sheet3"/>
  <dimension ref="A2:AC19"/>
  <sheetViews>
    <sheetView showGridLines="0" zoomScaleNormal="100" workbookViewId="0">
      <pane xSplit="1" topLeftCell="S1" activePane="topRight" state="frozen"/>
      <selection activeCell="C8" sqref="C8"/>
      <selection pane="topRight" activeCell="X3" sqref="X3:X19"/>
    </sheetView>
  </sheetViews>
  <sheetFormatPr defaultRowHeight="14.5" x14ac:dyDescent="0.35"/>
  <cols>
    <col min="1" max="1" width="45.7265625" bestFit="1" customWidth="1"/>
    <col min="2" max="2" width="6.08984375" bestFit="1" customWidth="1"/>
    <col min="3" max="3" width="18.08984375" style="5" bestFit="1" customWidth="1"/>
    <col min="4" max="4" width="7.26953125" style="13" bestFit="1" customWidth="1"/>
    <col min="5" max="5" width="7.36328125" style="13" bestFit="1" customWidth="1"/>
    <col min="6" max="6" width="11.81640625" style="13" bestFit="1" customWidth="1"/>
    <col min="7" max="7" width="6.81640625" style="5" bestFit="1" customWidth="1"/>
    <col min="8" max="8" width="7.6328125" style="5" bestFit="1" customWidth="1"/>
    <col min="9" max="9" width="11.81640625" style="13" bestFit="1" customWidth="1"/>
    <col min="10" max="10" width="13.453125" style="13" bestFit="1" customWidth="1"/>
    <col min="11" max="11" width="14.1796875" style="13" bestFit="1" customWidth="1"/>
    <col min="12" max="12" width="15.90625" style="13" bestFit="1" customWidth="1"/>
    <col min="13" max="13" width="15.453125" style="6" bestFit="1" customWidth="1"/>
    <col min="14" max="14" width="15.90625" style="6" bestFit="1" customWidth="1"/>
    <col min="15" max="15" width="15.54296875" style="6" bestFit="1" customWidth="1"/>
    <col min="16" max="16" width="8.54296875" style="3" bestFit="1" customWidth="1"/>
    <col min="17" max="17" width="11.08984375" style="13" bestFit="1" customWidth="1"/>
    <col min="18" max="18" width="23.1796875" style="13" bestFit="1" customWidth="1"/>
    <col min="19" max="19" width="16" bestFit="1" customWidth="1"/>
    <col min="20" max="20" width="11.54296875" bestFit="1" customWidth="1"/>
    <col min="21" max="21" width="12.6328125" bestFit="1" customWidth="1"/>
    <col min="22" max="22" width="18.54296875" bestFit="1" customWidth="1"/>
    <col min="23" max="23" width="21" bestFit="1" customWidth="1"/>
    <col min="24" max="24" width="7.36328125" bestFit="1" customWidth="1"/>
    <col min="25" max="25" width="10" bestFit="1" customWidth="1"/>
    <col min="26" max="26" width="19.08984375" style="23" bestFit="1" customWidth="1"/>
    <col min="27" max="28" width="10.08984375" bestFit="1" customWidth="1"/>
    <col min="29" max="29" width="12" bestFit="1" customWidth="1"/>
  </cols>
  <sheetData>
    <row r="2" spans="1:29" x14ac:dyDescent="0.35">
      <c r="A2" s="38" t="s">
        <v>243</v>
      </c>
      <c r="B2" s="16" t="s">
        <v>62</v>
      </c>
      <c r="C2" s="17" t="s">
        <v>47</v>
      </c>
      <c r="D2" s="19" t="s">
        <v>57</v>
      </c>
      <c r="E2" s="19" t="s">
        <v>216</v>
      </c>
      <c r="F2" s="19" t="s">
        <v>217</v>
      </c>
      <c r="G2" s="58" t="s">
        <v>73</v>
      </c>
      <c r="H2" s="58" t="s">
        <v>182</v>
      </c>
      <c r="I2" s="59" t="s">
        <v>97</v>
      </c>
      <c r="J2" s="59" t="s">
        <v>236</v>
      </c>
      <c r="K2" s="59" t="s">
        <v>214</v>
      </c>
      <c r="L2" s="59" t="s">
        <v>237</v>
      </c>
      <c r="M2" s="18" t="s">
        <v>155</v>
      </c>
      <c r="N2" s="18" t="s">
        <v>156</v>
      </c>
      <c r="O2" s="18" t="s">
        <v>157</v>
      </c>
      <c r="P2" s="60" t="s">
        <v>161</v>
      </c>
      <c r="Q2" s="16" t="s">
        <v>162</v>
      </c>
      <c r="R2" s="17" t="s">
        <v>238</v>
      </c>
      <c r="S2" s="19" t="s">
        <v>239</v>
      </c>
      <c r="T2" s="58" t="s">
        <v>164</v>
      </c>
      <c r="U2" s="58" t="s">
        <v>240</v>
      </c>
      <c r="V2" s="59" t="s">
        <v>241</v>
      </c>
      <c r="W2" s="59" t="s">
        <v>242</v>
      </c>
      <c r="X2" s="60" t="s">
        <v>168</v>
      </c>
      <c r="Y2" s="61" t="s">
        <v>171</v>
      </c>
      <c r="Z2" s="62" t="s">
        <v>175</v>
      </c>
      <c r="AA2" s="4" t="s">
        <v>176</v>
      </c>
      <c r="AB2" s="10" t="s">
        <v>177</v>
      </c>
      <c r="AC2" s="10" t="s">
        <v>178</v>
      </c>
    </row>
    <row r="3" spans="1:29" x14ac:dyDescent="0.35">
      <c r="A3" s="37" t="s">
        <v>213</v>
      </c>
      <c r="B3" s="16">
        <v>6.1</v>
      </c>
      <c r="C3" s="17">
        <v>0.74860000000000004</v>
      </c>
      <c r="D3" s="19">
        <v>33.369999999999997</v>
      </c>
      <c r="E3" s="19">
        <v>12.96</v>
      </c>
      <c r="F3" s="19">
        <f>IF(OR(Table22[[#This Row],[P/C]]&lt;=0,Table22[[#This Row],[P/E]]&lt;=0),100,Table22[[#This Row],[P/E]]-Table22[[#This Row],[P/C]])</f>
        <v>20.409999999999997</v>
      </c>
      <c r="G3" s="17">
        <v>2.2599999999999999E-2</v>
      </c>
      <c r="H3" s="17">
        <v>4.3999999999999997E-2</v>
      </c>
      <c r="I3" s="19">
        <v>5.53</v>
      </c>
      <c r="J3" s="19">
        <f>ABS(IF(Table22[[#This Row],[CFO/PAT]]&lt;0,100,1-Table22[[#This Row],[CFO/PAT]]))</f>
        <v>4.53</v>
      </c>
      <c r="K3" s="19">
        <v>0.35000000000000003</v>
      </c>
      <c r="L3" s="19">
        <f>ABS(IF(Table22[[#This Row],[Debt Equity]]&lt;0,100,0-Table22[[#This Row],[Debt Equity]]))</f>
        <v>0.35000000000000003</v>
      </c>
      <c r="M3" s="20">
        <v>1069.1500000000001</v>
      </c>
      <c r="N3" s="20">
        <v>1911</v>
      </c>
      <c r="O3" s="20">
        <v>765.05</v>
      </c>
      <c r="P3" s="17">
        <f>(N3-M3)/M3</f>
        <v>0.78740120656596346</v>
      </c>
      <c r="Q3" s="19">
        <f t="shared" ref="Q3:Q19" si="0">IF(LEFT(B3,1)="0",4,IF(LEFT(B3,1)="1",3,IF(LEFT(B3,1)="2",2,IF(LEFT(B3,1)="3",1,0))))</f>
        <v>0</v>
      </c>
      <c r="R3" s="19">
        <f t="shared" ref="R3:R19" si="1">IF(C3&gt;0.7,4,IF(AND(C3&lt;0.7,C3&gt;0.65),3,IF(AND(C3&lt;0.65,C3&gt;0.6),2,IF(AND(C3&lt;0.6,C3&gt;0.55),1,0))))</f>
        <v>4</v>
      </c>
      <c r="S3" s="19">
        <f t="shared" ref="S3:S19" si="2">IF(F3&lt;10,4,IF(AND(F3&lt;15,F3&gt;10),3,IF(AND(F3&lt;20,F3&gt;15),2,IF(AND(F3&lt;30,F3&gt;20),1,0))))</f>
        <v>1</v>
      </c>
      <c r="T3" s="14">
        <f t="shared" ref="T3:T19" si="3">IF(G3&gt;0.25,4,IF(AND(G3&lt;0.25,G3&gt;0.2),3,IF(AND(G3&lt;0.2,G3&gt;0.15),2,IF(AND(G3&lt;0.15,G3&gt;0.1),1,0))))</f>
        <v>0</v>
      </c>
      <c r="U3" s="14">
        <f t="shared" ref="U3:U19" si="4">IF(H3&gt;0.25,4,IF(AND(H3&lt;0.25,H3&gt;0.2),3,IF(AND(H3&lt;0.2,H3&gt;0.15),2,IF(AND(H3&lt;0.15,H3&gt;0.1),1,0))))</f>
        <v>0</v>
      </c>
      <c r="V3" s="14">
        <f t="shared" ref="V3:V19" si="5">IF(J3&lt;0.15,4,IF(AND(J3&lt;0.3,J3&gt;0.15),3,IF(AND(J3&lt;0.45,J3&gt;0.3),2,IF(AND(J3&lt;0.6,J3&gt;0.45),1,0))))</f>
        <v>0</v>
      </c>
      <c r="W3" s="19">
        <f t="shared" ref="W3:W19" si="6">IF(L3=0,4,IF(AND(L3&lt;0.1,L3&gt;0),3,IF(AND(L3&lt;0.2,L3&gt;0.1),2,IF(AND(L3&lt;0.3,L3&gt;0.2),1,0))))</f>
        <v>0</v>
      </c>
      <c r="X3" s="22">
        <f t="shared" ref="X3:X19" si="7">SUM(Q3:W3)/28</f>
        <v>0.17857142857142858</v>
      </c>
      <c r="Y3" s="10" t="s">
        <v>174</v>
      </c>
      <c r="Z3" s="24">
        <v>1000</v>
      </c>
      <c r="AA3" s="14">
        <f t="shared" ref="AA3:AA19" si="8">Z3/M3</f>
        <v>0.93532245241547018</v>
      </c>
      <c r="AB3" s="25">
        <f t="shared" ref="AB3:AB19" si="9">AA3*(N3*(IF(Y3="Low",0.9,IF(Y3="Medium",0.75,0.5)))-M3)</f>
        <v>-106.29939671701827</v>
      </c>
      <c r="AC3" s="63">
        <f>IFERROR(AB3/Z3,0)</f>
        <v>-0.10629939671701827</v>
      </c>
    </row>
    <row r="4" spans="1:29" x14ac:dyDescent="0.35">
      <c r="A4" s="37" t="s">
        <v>218</v>
      </c>
      <c r="B4" s="16">
        <v>0</v>
      </c>
      <c r="C4" s="17">
        <v>0.59960000000000002</v>
      </c>
      <c r="D4" s="19">
        <v>0</v>
      </c>
      <c r="E4" s="19">
        <v>8.64</v>
      </c>
      <c r="F4" s="19">
        <f>IF(OR(Table22[[#This Row],[P/C]]&lt;=0,Table22[[#This Row],[P/E]]&lt;=0),100,Table22[[#This Row],[P/E]]-Table22[[#This Row],[P/C]])</f>
        <v>100</v>
      </c>
      <c r="G4" s="17">
        <v>0</v>
      </c>
      <c r="H4" s="17">
        <v>-0.13830000000000001</v>
      </c>
      <c r="I4" s="19">
        <v>0.82000000000000006</v>
      </c>
      <c r="J4" s="19">
        <f>ABS(IF(Table22[[#This Row],[CFO/PAT]]&lt;0,100,1-Table22[[#This Row],[CFO/PAT]]))</f>
        <v>0.17999999999999994</v>
      </c>
      <c r="K4" s="19">
        <v>-3.12</v>
      </c>
      <c r="L4" s="19">
        <f>ABS(IF(Table22[[#This Row],[Debt Equity]]&lt;0,100,0-Table22[[#This Row],[Debt Equity]]))</f>
        <v>100</v>
      </c>
      <c r="M4" s="20">
        <v>48.6</v>
      </c>
      <c r="N4" s="20">
        <v>156.9</v>
      </c>
      <c r="O4" s="20">
        <v>30.8</v>
      </c>
      <c r="P4" s="17">
        <f t="shared" ref="P4:P19" si="10">(N4-M4)/M4</f>
        <v>2.2283950617283952</v>
      </c>
      <c r="Q4" s="19">
        <f t="shared" si="0"/>
        <v>4</v>
      </c>
      <c r="R4" s="19">
        <f t="shared" si="1"/>
        <v>1</v>
      </c>
      <c r="S4" s="19">
        <f t="shared" si="2"/>
        <v>0</v>
      </c>
      <c r="T4" s="14">
        <f t="shared" si="3"/>
        <v>0</v>
      </c>
      <c r="U4" s="14">
        <f t="shared" si="4"/>
        <v>0</v>
      </c>
      <c r="V4" s="14">
        <f t="shared" si="5"/>
        <v>3</v>
      </c>
      <c r="W4" s="19">
        <f t="shared" si="6"/>
        <v>0</v>
      </c>
      <c r="X4" s="22">
        <f t="shared" si="7"/>
        <v>0.2857142857142857</v>
      </c>
      <c r="Y4" s="10" t="s">
        <v>174</v>
      </c>
      <c r="Z4" s="24">
        <v>0</v>
      </c>
      <c r="AA4" s="14">
        <f t="shared" si="8"/>
        <v>0</v>
      </c>
      <c r="AB4" s="25">
        <f t="shared" si="9"/>
        <v>0</v>
      </c>
      <c r="AC4" s="63">
        <f t="shared" ref="AC4:AC19" si="11">IFERROR(AB4/Z4,0)</f>
        <v>0</v>
      </c>
    </row>
    <row r="5" spans="1:29" x14ac:dyDescent="0.35">
      <c r="A5" s="37" t="s">
        <v>221</v>
      </c>
      <c r="B5" s="16">
        <v>2.25</v>
      </c>
      <c r="C5" s="17">
        <v>0.39090000000000003</v>
      </c>
      <c r="D5" s="19">
        <v>24.23</v>
      </c>
      <c r="E5" s="19">
        <v>13.46</v>
      </c>
      <c r="F5" s="19">
        <f>IF(OR(Table22[[#This Row],[P/C]]&lt;=0,Table22[[#This Row],[P/E]]&lt;=0),100,Table22[[#This Row],[P/E]]-Table22[[#This Row],[P/C]])</f>
        <v>10.77</v>
      </c>
      <c r="G5" s="17">
        <v>5.74E-2</v>
      </c>
      <c r="H5" s="17">
        <v>8.9700000000000002E-2</v>
      </c>
      <c r="I5" s="19">
        <v>-1.002</v>
      </c>
      <c r="J5" s="19">
        <f>ABS(IF(Table22[[#This Row],[CFO/PAT]]&lt;0,100,1-Table22[[#This Row],[CFO/PAT]]))</f>
        <v>100</v>
      </c>
      <c r="K5" s="19">
        <v>0.53</v>
      </c>
      <c r="L5" s="19">
        <f>ABS(IF(Table22[[#This Row],[Debt Equity]]&lt;0,100,0-Table22[[#This Row],[Debt Equity]]))</f>
        <v>0.53</v>
      </c>
      <c r="M5" s="20">
        <v>80.5</v>
      </c>
      <c r="N5" s="20">
        <v>164.1</v>
      </c>
      <c r="O5" s="20">
        <v>69.05</v>
      </c>
      <c r="P5" s="17">
        <f t="shared" si="10"/>
        <v>1.0385093167701862</v>
      </c>
      <c r="Q5" s="19">
        <f t="shared" si="0"/>
        <v>2</v>
      </c>
      <c r="R5" s="19">
        <f t="shared" si="1"/>
        <v>0</v>
      </c>
      <c r="S5" s="19">
        <f t="shared" si="2"/>
        <v>3</v>
      </c>
      <c r="T5" s="14">
        <f t="shared" si="3"/>
        <v>0</v>
      </c>
      <c r="U5" s="14">
        <f t="shared" si="4"/>
        <v>0</v>
      </c>
      <c r="V5" s="14">
        <f t="shared" si="5"/>
        <v>0</v>
      </c>
      <c r="W5" s="19">
        <f t="shared" si="6"/>
        <v>0</v>
      </c>
      <c r="X5" s="22">
        <f t="shared" si="7"/>
        <v>0.17857142857142858</v>
      </c>
      <c r="Y5" s="10" t="s">
        <v>174</v>
      </c>
      <c r="Z5" s="24">
        <v>500</v>
      </c>
      <c r="AA5" s="14">
        <f t="shared" si="8"/>
        <v>6.2111801242236027</v>
      </c>
      <c r="AB5" s="25">
        <f t="shared" si="9"/>
        <v>9.6273291925465667</v>
      </c>
      <c r="AC5" s="63">
        <f t="shared" si="11"/>
        <v>1.9254658385093132E-2</v>
      </c>
    </row>
    <row r="6" spans="1:29" x14ac:dyDescent="0.35">
      <c r="A6" s="37" t="s">
        <v>222</v>
      </c>
      <c r="B6" s="16">
        <v>1.48</v>
      </c>
      <c r="C6" s="17">
        <v>0.35249999999999998</v>
      </c>
      <c r="D6" s="19">
        <v>34.46</v>
      </c>
      <c r="E6" s="19">
        <v>15.56</v>
      </c>
      <c r="F6" s="19">
        <f>IF(OR(Table22[[#This Row],[P/C]]&lt;=0,Table22[[#This Row],[P/E]]&lt;=0),100,Table22[[#This Row],[P/E]]-Table22[[#This Row],[P/C]])</f>
        <v>18.899999999999999</v>
      </c>
      <c r="G6" s="17">
        <v>4.65E-2</v>
      </c>
      <c r="H6" s="17">
        <v>7.7700000000000005E-2</v>
      </c>
      <c r="I6" s="19">
        <v>2.59</v>
      </c>
      <c r="J6" s="19">
        <f>ABS(IF(Table22[[#This Row],[CFO/PAT]]&lt;0,100,1-Table22[[#This Row],[CFO/PAT]]))</f>
        <v>1.5899999999999999</v>
      </c>
      <c r="K6" s="19">
        <v>0.18</v>
      </c>
      <c r="L6" s="19">
        <f>ABS(IF(Table22[[#This Row],[Debt Equity]]&lt;0,100,0-Table22[[#This Row],[Debt Equity]]))</f>
        <v>0.18</v>
      </c>
      <c r="M6" s="20">
        <v>79.3</v>
      </c>
      <c r="N6" s="20">
        <v>200</v>
      </c>
      <c r="O6" s="20">
        <v>55.75</v>
      </c>
      <c r="P6" s="17">
        <f t="shared" si="10"/>
        <v>1.5220680958385877</v>
      </c>
      <c r="Q6" s="19">
        <f t="shared" si="0"/>
        <v>3</v>
      </c>
      <c r="R6" s="19">
        <f t="shared" si="1"/>
        <v>0</v>
      </c>
      <c r="S6" s="19">
        <f t="shared" si="2"/>
        <v>2</v>
      </c>
      <c r="T6" s="14">
        <f t="shared" si="3"/>
        <v>0</v>
      </c>
      <c r="U6" s="14">
        <f t="shared" si="4"/>
        <v>0</v>
      </c>
      <c r="V6" s="14">
        <f t="shared" si="5"/>
        <v>0</v>
      </c>
      <c r="W6" s="19">
        <f t="shared" si="6"/>
        <v>2</v>
      </c>
      <c r="X6" s="22">
        <f t="shared" si="7"/>
        <v>0.25</v>
      </c>
      <c r="Y6" s="10" t="s">
        <v>173</v>
      </c>
      <c r="Z6" s="24">
        <v>500</v>
      </c>
      <c r="AA6" s="14">
        <f t="shared" si="8"/>
        <v>6.3051702395964693</v>
      </c>
      <c r="AB6" s="25">
        <f t="shared" si="9"/>
        <v>445.77553593947039</v>
      </c>
      <c r="AC6" s="63">
        <f t="shared" si="11"/>
        <v>0.89155107187894078</v>
      </c>
    </row>
    <row r="7" spans="1:29" x14ac:dyDescent="0.35">
      <c r="A7" s="37" t="s">
        <v>223</v>
      </c>
      <c r="B7" s="16">
        <v>2.5299999999999998</v>
      </c>
      <c r="C7" s="17">
        <v>0.71409999999999996</v>
      </c>
      <c r="D7" s="19">
        <v>51.67</v>
      </c>
      <c r="E7" s="19">
        <v>10.35</v>
      </c>
      <c r="F7" s="19">
        <f>IF(OR(Table22[[#This Row],[P/C]]&lt;=0,Table22[[#This Row],[P/E]]&lt;=0),100,Table22[[#This Row],[P/E]]-Table22[[#This Row],[P/C]])</f>
        <v>41.32</v>
      </c>
      <c r="G7" s="17">
        <v>-8.0000000000000002E-3</v>
      </c>
      <c r="H7" s="17">
        <v>7.9899999999999999E-2</v>
      </c>
      <c r="I7" s="19">
        <v>-9.9600000000000009</v>
      </c>
      <c r="J7" s="19">
        <f>ABS(IF(Table22[[#This Row],[CFO/PAT]]&lt;0,100,1-Table22[[#This Row],[CFO/PAT]]))</f>
        <v>100</v>
      </c>
      <c r="K7" s="19">
        <v>1.0900000000000001</v>
      </c>
      <c r="L7" s="19">
        <f>ABS(IF(Table22[[#This Row],[Debt Equity]]&lt;0,100,0-Table22[[#This Row],[Debt Equity]]))</f>
        <v>1.0900000000000001</v>
      </c>
      <c r="M7" s="20">
        <v>184.5</v>
      </c>
      <c r="N7" s="20">
        <v>395</v>
      </c>
      <c r="O7" s="20">
        <v>164</v>
      </c>
      <c r="P7" s="17">
        <f t="shared" si="10"/>
        <v>1.1409214092140922</v>
      </c>
      <c r="Q7" s="19">
        <f t="shared" si="0"/>
        <v>2</v>
      </c>
      <c r="R7" s="19">
        <f t="shared" si="1"/>
        <v>4</v>
      </c>
      <c r="S7" s="19">
        <f t="shared" si="2"/>
        <v>0</v>
      </c>
      <c r="T7" s="14">
        <f t="shared" si="3"/>
        <v>0</v>
      </c>
      <c r="U7" s="14">
        <f t="shared" si="4"/>
        <v>0</v>
      </c>
      <c r="V7" s="14">
        <f t="shared" si="5"/>
        <v>0</v>
      </c>
      <c r="W7" s="19">
        <f t="shared" si="6"/>
        <v>0</v>
      </c>
      <c r="X7" s="22">
        <f t="shared" si="7"/>
        <v>0.21428571428571427</v>
      </c>
      <c r="Y7" s="10" t="s">
        <v>174</v>
      </c>
      <c r="Z7" s="24">
        <v>500</v>
      </c>
      <c r="AA7" s="14">
        <f t="shared" si="8"/>
        <v>2.7100271002710028</v>
      </c>
      <c r="AB7" s="25">
        <f t="shared" si="9"/>
        <v>35.230352303523034</v>
      </c>
      <c r="AC7" s="63">
        <f t="shared" si="11"/>
        <v>7.0460704607046065E-2</v>
      </c>
    </row>
    <row r="8" spans="1:29" x14ac:dyDescent="0.35">
      <c r="A8" s="37" t="s">
        <v>224</v>
      </c>
      <c r="B8" s="16">
        <v>0</v>
      </c>
      <c r="C8" s="17">
        <v>0.67310000000000003</v>
      </c>
      <c r="D8" s="19">
        <v>24.01</v>
      </c>
      <c r="E8" s="19">
        <v>7.18</v>
      </c>
      <c r="F8" s="19">
        <f>IF(OR(Table22[[#This Row],[P/C]]&lt;=0,Table22[[#This Row],[P/E]]&lt;=0),100,Table22[[#This Row],[P/E]]-Table22[[#This Row],[P/C]])</f>
        <v>16.830000000000002</v>
      </c>
      <c r="G8" s="17">
        <v>0.65310000000000001</v>
      </c>
      <c r="H8" s="17">
        <v>0.14960000000000001</v>
      </c>
      <c r="I8" s="19">
        <v>3.13</v>
      </c>
      <c r="J8" s="19">
        <f>ABS(IF(Table22[[#This Row],[CFO/PAT]]&lt;0,100,1-Table22[[#This Row],[CFO/PAT]]))</f>
        <v>2.13</v>
      </c>
      <c r="K8" s="19">
        <v>-1.6</v>
      </c>
      <c r="L8" s="19">
        <f>ABS(IF(Table22[[#This Row],[Debt Equity]]&lt;0,100,0-Table22[[#This Row],[Debt Equity]]))</f>
        <v>100</v>
      </c>
      <c r="M8" s="20">
        <v>141.44999999999999</v>
      </c>
      <c r="N8" s="20">
        <v>252.45</v>
      </c>
      <c r="O8" s="20">
        <v>122.55</v>
      </c>
      <c r="P8" s="17">
        <f>(N8-M8)/M8</f>
        <v>0.78472958642629909</v>
      </c>
      <c r="Q8" s="19">
        <f t="shared" si="0"/>
        <v>4</v>
      </c>
      <c r="R8" s="19">
        <f t="shared" si="1"/>
        <v>3</v>
      </c>
      <c r="S8" s="19">
        <f t="shared" si="2"/>
        <v>2</v>
      </c>
      <c r="T8" s="14">
        <f t="shared" si="3"/>
        <v>4</v>
      </c>
      <c r="U8" s="14">
        <f t="shared" si="4"/>
        <v>1</v>
      </c>
      <c r="V8" s="14">
        <f t="shared" si="5"/>
        <v>0</v>
      </c>
      <c r="W8" s="19">
        <f t="shared" si="6"/>
        <v>0</v>
      </c>
      <c r="X8" s="22">
        <f t="shared" si="7"/>
        <v>0.5</v>
      </c>
      <c r="Y8" s="10" t="s">
        <v>173</v>
      </c>
      <c r="Z8" s="24">
        <v>500</v>
      </c>
      <c r="AA8" s="14">
        <f t="shared" si="8"/>
        <v>3.5348179568752212</v>
      </c>
      <c r="AB8" s="25">
        <f t="shared" si="9"/>
        <v>169.27359490986211</v>
      </c>
      <c r="AC8" s="63">
        <f t="shared" si="11"/>
        <v>0.3385471898197242</v>
      </c>
    </row>
    <row r="9" spans="1:29" x14ac:dyDescent="0.35">
      <c r="A9" s="37" t="s">
        <v>228</v>
      </c>
      <c r="B9" s="16">
        <v>4.7300000000000004</v>
      </c>
      <c r="C9" s="17">
        <v>0.87029999999999996</v>
      </c>
      <c r="D9" s="19">
        <v>48.04</v>
      </c>
      <c r="E9" s="19">
        <v>-52.63</v>
      </c>
      <c r="F9" s="19">
        <f>IF(OR(Table22[[#This Row],[P/C]]&lt;=0,Table22[[#This Row],[P/E]]&lt;=0),100,Table22[[#This Row],[P/E]]-Table22[[#This Row],[P/C]])</f>
        <v>100</v>
      </c>
      <c r="G9" s="17">
        <v>0.1258</v>
      </c>
      <c r="H9" s="17">
        <v>0.17680000000000001</v>
      </c>
      <c r="I9" s="19">
        <v>-0.16</v>
      </c>
      <c r="J9" s="19">
        <f>ABS(IF(Table22[[#This Row],[CFO/PAT]]&lt;0,100,1-Table22[[#This Row],[CFO/PAT]]))</f>
        <v>100</v>
      </c>
      <c r="K9" s="19">
        <v>0</v>
      </c>
      <c r="L9" s="19">
        <f>ABS(IF(Table22[[#This Row],[Debt Equity]]&lt;0,100,0-Table22[[#This Row],[Debt Equity]]))</f>
        <v>0</v>
      </c>
      <c r="M9" s="20">
        <v>342.1</v>
      </c>
      <c r="N9" s="20">
        <v>552.4</v>
      </c>
      <c r="O9" s="20">
        <v>269</v>
      </c>
      <c r="P9" s="17">
        <f t="shared" si="10"/>
        <v>0.61473253434668207</v>
      </c>
      <c r="Q9" s="19">
        <f t="shared" si="0"/>
        <v>0</v>
      </c>
      <c r="R9" s="19">
        <f t="shared" si="1"/>
        <v>4</v>
      </c>
      <c r="S9" s="19">
        <f t="shared" si="2"/>
        <v>0</v>
      </c>
      <c r="T9" s="14">
        <f t="shared" si="3"/>
        <v>1</v>
      </c>
      <c r="U9" s="14">
        <f t="shared" si="4"/>
        <v>2</v>
      </c>
      <c r="V9" s="14">
        <f t="shared" si="5"/>
        <v>0</v>
      </c>
      <c r="W9" s="19">
        <f t="shared" si="6"/>
        <v>4</v>
      </c>
      <c r="X9" s="22">
        <f t="shared" si="7"/>
        <v>0.39285714285714285</v>
      </c>
      <c r="Y9" s="10" t="s">
        <v>173</v>
      </c>
      <c r="Z9" s="24">
        <v>0</v>
      </c>
      <c r="AA9" s="14">
        <f t="shared" si="8"/>
        <v>0</v>
      </c>
      <c r="AB9" s="25">
        <f t="shared" si="9"/>
        <v>0</v>
      </c>
      <c r="AC9" s="63">
        <f t="shared" si="11"/>
        <v>0</v>
      </c>
    </row>
    <row r="10" spans="1:29" x14ac:dyDescent="0.35">
      <c r="A10" s="37" t="s">
        <v>225</v>
      </c>
      <c r="B10" s="16">
        <v>2.17</v>
      </c>
      <c r="C10" s="17">
        <v>0.31240000000000001</v>
      </c>
      <c r="D10" s="19">
        <v>35.020000000000003</v>
      </c>
      <c r="E10" s="19">
        <v>7.66</v>
      </c>
      <c r="F10" s="19">
        <f>IF(OR(Table22[[#This Row],[P/C]]&lt;=0,Table22[[#This Row],[P/E]]&lt;=0),100,Table22[[#This Row],[P/E]]-Table22[[#This Row],[P/C]])</f>
        <v>27.360000000000003</v>
      </c>
      <c r="G10" s="17">
        <v>8.4500000000000006E-2</v>
      </c>
      <c r="H10" s="17">
        <v>7.3300000000000004E-2</v>
      </c>
      <c r="I10" s="19">
        <v>-1.91</v>
      </c>
      <c r="J10" s="19">
        <f>ABS(IF(Table22[[#This Row],[CFO/PAT]]&lt;0,100,1-Table22[[#This Row],[CFO/PAT]]))</f>
        <v>100</v>
      </c>
      <c r="K10" s="19">
        <v>1.72</v>
      </c>
      <c r="L10" s="19">
        <f>ABS(IF(Table22[[#This Row],[Debt Equity]]&lt;0,100,0-Table22[[#This Row],[Debt Equity]]))</f>
        <v>1.72</v>
      </c>
      <c r="M10" s="20">
        <v>18.05</v>
      </c>
      <c r="N10" s="20">
        <v>84.5</v>
      </c>
      <c r="O10" s="20">
        <v>17.2</v>
      </c>
      <c r="P10" s="17">
        <f t="shared" si="10"/>
        <v>3.6814404432132966</v>
      </c>
      <c r="Q10" s="19">
        <f t="shared" si="0"/>
        <v>2</v>
      </c>
      <c r="R10" s="19">
        <f t="shared" si="1"/>
        <v>0</v>
      </c>
      <c r="S10" s="19">
        <f t="shared" si="2"/>
        <v>1</v>
      </c>
      <c r="T10" s="14">
        <f t="shared" si="3"/>
        <v>0</v>
      </c>
      <c r="U10" s="14">
        <f t="shared" si="4"/>
        <v>0</v>
      </c>
      <c r="V10" s="14">
        <f t="shared" si="5"/>
        <v>0</v>
      </c>
      <c r="W10" s="19">
        <f t="shared" si="6"/>
        <v>0</v>
      </c>
      <c r="X10" s="22">
        <f t="shared" si="7"/>
        <v>0.10714285714285714</v>
      </c>
      <c r="Y10" s="10" t="s">
        <v>174</v>
      </c>
      <c r="Z10" s="24">
        <v>0</v>
      </c>
      <c r="AA10" s="14">
        <f t="shared" si="8"/>
        <v>0</v>
      </c>
      <c r="AB10" s="25">
        <f t="shared" si="9"/>
        <v>0</v>
      </c>
      <c r="AC10" s="63">
        <f t="shared" si="11"/>
        <v>0</v>
      </c>
    </row>
    <row r="11" spans="1:29" x14ac:dyDescent="0.35">
      <c r="A11" s="37" t="s">
        <v>226</v>
      </c>
      <c r="B11" s="16">
        <v>1.86</v>
      </c>
      <c r="C11" s="17">
        <v>0.74990000000000001</v>
      </c>
      <c r="D11" s="19">
        <v>27.35</v>
      </c>
      <c r="E11" s="19">
        <v>12.61</v>
      </c>
      <c r="F11" s="19">
        <f>IF(OR(Table22[[#This Row],[P/C]]&lt;=0,Table22[[#This Row],[P/E]]&lt;=0),100,Table22[[#This Row],[P/E]]-Table22[[#This Row],[P/C]])</f>
        <v>14.740000000000002</v>
      </c>
      <c r="G11" s="17">
        <v>6.3899999999999998E-2</v>
      </c>
      <c r="H11" s="17">
        <v>0.1008</v>
      </c>
      <c r="I11" s="19">
        <v>7.74</v>
      </c>
      <c r="J11" s="19">
        <f>ABS(IF(Table22[[#This Row],[CFO/PAT]]&lt;0,100,1-Table22[[#This Row],[CFO/PAT]]))</f>
        <v>6.74</v>
      </c>
      <c r="K11" s="19">
        <v>0.5</v>
      </c>
      <c r="L11" s="19">
        <f>ABS(IF(Table22[[#This Row],[Debt Equity]]&lt;0,100,0-Table22[[#This Row],[Debt Equity]]))</f>
        <v>0.5</v>
      </c>
      <c r="M11" s="20">
        <v>118.6</v>
      </c>
      <c r="N11" s="20">
        <v>229.5</v>
      </c>
      <c r="O11" s="20">
        <v>82</v>
      </c>
      <c r="P11" s="17">
        <f t="shared" si="10"/>
        <v>0.93507588532883656</v>
      </c>
      <c r="Q11" s="19">
        <f t="shared" si="0"/>
        <v>3</v>
      </c>
      <c r="R11" s="19">
        <f t="shared" si="1"/>
        <v>4</v>
      </c>
      <c r="S11" s="19">
        <f t="shared" si="2"/>
        <v>3</v>
      </c>
      <c r="T11" s="14">
        <f t="shared" si="3"/>
        <v>0</v>
      </c>
      <c r="U11" s="14">
        <f t="shared" si="4"/>
        <v>1</v>
      </c>
      <c r="V11" s="14">
        <f t="shared" si="5"/>
        <v>0</v>
      </c>
      <c r="W11" s="19">
        <f t="shared" si="6"/>
        <v>0</v>
      </c>
      <c r="X11" s="22">
        <f t="shared" si="7"/>
        <v>0.39285714285714285</v>
      </c>
      <c r="Y11" s="10" t="s">
        <v>173</v>
      </c>
      <c r="Z11" s="24">
        <v>0</v>
      </c>
      <c r="AA11" s="14">
        <f t="shared" si="8"/>
        <v>0</v>
      </c>
      <c r="AB11" s="25">
        <f t="shared" si="9"/>
        <v>0</v>
      </c>
      <c r="AC11" s="63">
        <f t="shared" si="11"/>
        <v>0</v>
      </c>
    </row>
    <row r="12" spans="1:29" x14ac:dyDescent="0.35">
      <c r="A12" s="37" t="s">
        <v>227</v>
      </c>
      <c r="B12" s="16">
        <v>1.97</v>
      </c>
      <c r="C12" s="17">
        <v>0.75</v>
      </c>
      <c r="D12" s="19">
        <v>14.49</v>
      </c>
      <c r="E12" s="19">
        <v>10.97</v>
      </c>
      <c r="F12" s="19">
        <f>IF(OR(Table22[[#This Row],[P/C]]&lt;=0,Table22[[#This Row],[P/E]]&lt;=0),100,Table22[[#This Row],[P/E]]-Table22[[#This Row],[P/C]])</f>
        <v>3.5199999999999996</v>
      </c>
      <c r="G12" s="17">
        <v>0.1212</v>
      </c>
      <c r="H12" s="17">
        <v>0.18690000000000001</v>
      </c>
      <c r="I12" s="19">
        <v>1.73</v>
      </c>
      <c r="J12" s="19">
        <f>ABS(IF(Table22[[#This Row],[CFO/PAT]]&lt;0,100,1-Table22[[#This Row],[CFO/PAT]]))</f>
        <v>0.73</v>
      </c>
      <c r="K12" s="19">
        <v>0</v>
      </c>
      <c r="L12" s="19">
        <f>ABS(IF(Table22[[#This Row],[Debt Equity]]&lt;0,100,0-Table22[[#This Row],[Debt Equity]]))</f>
        <v>0</v>
      </c>
      <c r="M12" s="20">
        <v>216</v>
      </c>
      <c r="N12" s="20">
        <v>414</v>
      </c>
      <c r="O12" s="20">
        <v>164.1</v>
      </c>
      <c r="P12" s="17">
        <f t="shared" si="10"/>
        <v>0.91666666666666663</v>
      </c>
      <c r="Q12" s="19">
        <f t="shared" si="0"/>
        <v>3</v>
      </c>
      <c r="R12" s="19">
        <f t="shared" si="1"/>
        <v>4</v>
      </c>
      <c r="S12" s="19">
        <f t="shared" si="2"/>
        <v>4</v>
      </c>
      <c r="T12" s="14">
        <f t="shared" si="3"/>
        <v>1</v>
      </c>
      <c r="U12" s="14">
        <f t="shared" si="4"/>
        <v>2</v>
      </c>
      <c r="V12" s="14">
        <f t="shared" si="5"/>
        <v>0</v>
      </c>
      <c r="W12" s="19">
        <f t="shared" si="6"/>
        <v>4</v>
      </c>
      <c r="X12" s="22">
        <f t="shared" si="7"/>
        <v>0.6428571428571429</v>
      </c>
      <c r="Y12" s="10" t="s">
        <v>172</v>
      </c>
      <c r="Z12" s="24">
        <v>0</v>
      </c>
      <c r="AA12" s="14">
        <f t="shared" si="8"/>
        <v>0</v>
      </c>
      <c r="AB12" s="25">
        <f t="shared" si="9"/>
        <v>0</v>
      </c>
      <c r="AC12" s="63">
        <f t="shared" si="11"/>
        <v>0</v>
      </c>
    </row>
    <row r="13" spans="1:29" x14ac:dyDescent="0.35">
      <c r="A13" s="37" t="s">
        <v>229</v>
      </c>
      <c r="B13" s="16">
        <v>10.87</v>
      </c>
      <c r="C13" s="17">
        <v>0.874</v>
      </c>
      <c r="D13" s="19">
        <v>70.97</v>
      </c>
      <c r="E13" s="19">
        <v>43.5</v>
      </c>
      <c r="F13" s="19">
        <f>IF(OR(Table22[[#This Row],[P/C]]&lt;=0,Table22[[#This Row],[P/E]]&lt;=0),100,Table22[[#This Row],[P/E]]-Table22[[#This Row],[P/C]])</f>
        <v>27.47</v>
      </c>
      <c r="G13" s="17">
        <v>0.30399999999999999</v>
      </c>
      <c r="H13" s="17">
        <v>0.4753</v>
      </c>
      <c r="I13" s="19">
        <v>1.07</v>
      </c>
      <c r="J13" s="19">
        <f>ABS(IF(Table22[[#This Row],[CFO/PAT]]&lt;0,100,1-Table22[[#This Row],[CFO/PAT]]))</f>
        <v>7.0000000000000062E-2</v>
      </c>
      <c r="K13" s="19">
        <v>0</v>
      </c>
      <c r="L13" s="19">
        <f>ABS(IF(Table22[[#This Row],[Debt Equity]]&lt;0,100,0-Table22[[#This Row],[Debt Equity]]))</f>
        <v>0</v>
      </c>
      <c r="M13" s="20">
        <v>1356.9</v>
      </c>
      <c r="N13" s="20">
        <v>1995</v>
      </c>
      <c r="O13" s="20">
        <v>625</v>
      </c>
      <c r="P13" s="17">
        <f t="shared" si="10"/>
        <v>0.47026309971258007</v>
      </c>
      <c r="Q13" s="19">
        <f t="shared" si="0"/>
        <v>3</v>
      </c>
      <c r="R13" s="19">
        <f t="shared" si="1"/>
        <v>4</v>
      </c>
      <c r="S13" s="19">
        <f t="shared" si="2"/>
        <v>1</v>
      </c>
      <c r="T13" s="14">
        <f t="shared" si="3"/>
        <v>4</v>
      </c>
      <c r="U13" s="14">
        <f t="shared" si="4"/>
        <v>4</v>
      </c>
      <c r="V13" s="14">
        <f t="shared" si="5"/>
        <v>4</v>
      </c>
      <c r="W13" s="19">
        <f t="shared" si="6"/>
        <v>4</v>
      </c>
      <c r="X13" s="22">
        <f t="shared" si="7"/>
        <v>0.8571428571428571</v>
      </c>
      <c r="Y13" s="10" t="s">
        <v>172</v>
      </c>
      <c r="Z13" s="24">
        <v>2000</v>
      </c>
      <c r="AA13" s="14">
        <f t="shared" si="8"/>
        <v>1.4739479696366717</v>
      </c>
      <c r="AB13" s="25">
        <f t="shared" si="9"/>
        <v>646.47357948264414</v>
      </c>
      <c r="AC13" s="63">
        <f t="shared" si="11"/>
        <v>0.32323678974132208</v>
      </c>
    </row>
    <row r="14" spans="1:29" x14ac:dyDescent="0.35">
      <c r="A14" s="37" t="s">
        <v>230</v>
      </c>
      <c r="B14" s="21">
        <v>0.15</v>
      </c>
      <c r="C14" s="17">
        <v>0.65600000000000003</v>
      </c>
      <c r="D14" s="19">
        <v>27.62</v>
      </c>
      <c r="E14" s="19">
        <v>5.09</v>
      </c>
      <c r="F14" s="19">
        <f>IF(OR(Table22[[#This Row],[P/C]]&lt;=0,Table22[[#This Row],[P/E]]&lt;=0),100,Table22[[#This Row],[P/E]]-Table22[[#This Row],[P/C]])</f>
        <v>22.53</v>
      </c>
      <c r="G14" s="17">
        <v>4.1999999999999997E-3</v>
      </c>
      <c r="H14" s="17">
        <v>1.46E-2</v>
      </c>
      <c r="I14" s="19">
        <v>1.1499999999999999</v>
      </c>
      <c r="J14" s="19">
        <f>ABS(IF(Table22[[#This Row],[CFO/PAT]]&lt;0,100,1-Table22[[#This Row],[CFO/PAT]]))</f>
        <v>0.14999999999999991</v>
      </c>
      <c r="K14" s="19">
        <v>0.04</v>
      </c>
      <c r="L14" s="19">
        <f>ABS(IF(Table22[[#This Row],[Debt Equity]]&lt;0,100,0-Table22[[#This Row],[Debt Equity]]))</f>
        <v>0.04</v>
      </c>
      <c r="M14" s="18">
        <v>34</v>
      </c>
      <c r="N14" s="18">
        <v>263.85000000000002</v>
      </c>
      <c r="O14" s="18">
        <v>21.8</v>
      </c>
      <c r="P14" s="17">
        <f t="shared" si="10"/>
        <v>6.7602941176470592</v>
      </c>
      <c r="Q14" s="19">
        <f t="shared" si="0"/>
        <v>4</v>
      </c>
      <c r="R14" s="19">
        <f t="shared" si="1"/>
        <v>3</v>
      </c>
      <c r="S14" s="19">
        <f t="shared" si="2"/>
        <v>1</v>
      </c>
      <c r="T14" s="14">
        <f t="shared" si="3"/>
        <v>0</v>
      </c>
      <c r="U14" s="14">
        <f t="shared" si="4"/>
        <v>0</v>
      </c>
      <c r="V14" s="14">
        <f t="shared" si="5"/>
        <v>0</v>
      </c>
      <c r="W14" s="19">
        <f t="shared" si="6"/>
        <v>3</v>
      </c>
      <c r="X14" s="22">
        <f t="shared" si="7"/>
        <v>0.39285714285714285</v>
      </c>
      <c r="Y14" s="10" t="s">
        <v>173</v>
      </c>
      <c r="Z14" s="24">
        <v>0</v>
      </c>
      <c r="AA14" s="14">
        <f t="shared" si="8"/>
        <v>0</v>
      </c>
      <c r="AB14" s="25">
        <f t="shared" si="9"/>
        <v>0</v>
      </c>
      <c r="AC14" s="63">
        <f t="shared" si="11"/>
        <v>0</v>
      </c>
    </row>
    <row r="15" spans="1:29" x14ac:dyDescent="0.35">
      <c r="A15" s="37" t="s">
        <v>231</v>
      </c>
      <c r="B15" s="16">
        <v>3.54</v>
      </c>
      <c r="C15" s="17">
        <v>0.59570000000000001</v>
      </c>
      <c r="D15" s="19">
        <v>43.72</v>
      </c>
      <c r="E15" s="19">
        <v>10</v>
      </c>
      <c r="F15" s="19">
        <f>IF(OR(Table22[[#This Row],[P/C]]&lt;=0,Table22[[#This Row],[P/E]]&lt;=0),100,Table22[[#This Row],[P/E]]-Table22[[#This Row],[P/C]])</f>
        <v>33.72</v>
      </c>
      <c r="G15" s="17">
        <v>0.19400000000000001</v>
      </c>
      <c r="H15" s="17">
        <v>0.2092</v>
      </c>
      <c r="I15" s="19">
        <v>1.47</v>
      </c>
      <c r="J15" s="19">
        <f>ABS(IF(Table22[[#This Row],[CFO/PAT]]&lt;0,100,1-Table22[[#This Row],[CFO/PAT]]))</f>
        <v>0.47</v>
      </c>
      <c r="K15" s="19">
        <v>0.17</v>
      </c>
      <c r="L15" s="19">
        <f>ABS(IF(Table22[[#This Row],[Debt Equity]]&lt;0,100,0-Table22[[#This Row],[Debt Equity]]))</f>
        <v>0.17</v>
      </c>
      <c r="M15" s="20">
        <v>163.69999999999999</v>
      </c>
      <c r="N15" s="20">
        <v>266.95</v>
      </c>
      <c r="O15" s="20">
        <v>108.1</v>
      </c>
      <c r="P15" s="17">
        <f t="shared" si="10"/>
        <v>0.63072693952351866</v>
      </c>
      <c r="Q15" s="19">
        <f t="shared" si="0"/>
        <v>1</v>
      </c>
      <c r="R15" s="19">
        <f t="shared" si="1"/>
        <v>1</v>
      </c>
      <c r="S15" s="19">
        <f t="shared" si="2"/>
        <v>0</v>
      </c>
      <c r="T15" s="14">
        <f t="shared" si="3"/>
        <v>2</v>
      </c>
      <c r="U15" s="14">
        <f t="shared" si="4"/>
        <v>3</v>
      </c>
      <c r="V15" s="14">
        <f t="shared" si="5"/>
        <v>1</v>
      </c>
      <c r="W15" s="19">
        <f t="shared" si="6"/>
        <v>2</v>
      </c>
      <c r="X15" s="22">
        <f t="shared" si="7"/>
        <v>0.35714285714285715</v>
      </c>
      <c r="Y15" s="10" t="s">
        <v>173</v>
      </c>
      <c r="Z15" s="24">
        <v>500</v>
      </c>
      <c r="AA15" s="14">
        <f t="shared" si="8"/>
        <v>3.0543677458766036</v>
      </c>
      <c r="AB15" s="25">
        <f t="shared" si="9"/>
        <v>111.52260232131945</v>
      </c>
      <c r="AC15" s="63">
        <f t="shared" si="11"/>
        <v>0.22304520464263891</v>
      </c>
    </row>
    <row r="16" spans="1:29" x14ac:dyDescent="0.35">
      <c r="A16" s="37" t="s">
        <v>232</v>
      </c>
      <c r="B16" s="16">
        <v>2.35</v>
      </c>
      <c r="C16" s="17">
        <v>0.54800000000000004</v>
      </c>
      <c r="D16" s="19">
        <v>50.64</v>
      </c>
      <c r="E16" s="19">
        <v>-12.23</v>
      </c>
      <c r="F16" s="19">
        <f>IF(OR(Table22[[#This Row],[P/C]]&lt;=0,Table22[[#This Row],[P/E]]&lt;=0),100,Table22[[#This Row],[P/E]]-Table22[[#This Row],[P/C]])</f>
        <v>100</v>
      </c>
      <c r="G16" s="17">
        <v>0.1195</v>
      </c>
      <c r="H16" s="17">
        <v>0.16170000000000001</v>
      </c>
      <c r="I16" s="19">
        <v>0.47</v>
      </c>
      <c r="J16" s="19">
        <f>ABS(IF(Table22[[#This Row],[CFO/PAT]]&lt;0,100,1-Table22[[#This Row],[CFO/PAT]]))</f>
        <v>0.53</v>
      </c>
      <c r="K16" s="19">
        <v>7.0000000000000007E-2</v>
      </c>
      <c r="L16" s="19">
        <f>ABS(IF(Table22[[#This Row],[Debt Equity]]&lt;0,100,0-Table22[[#This Row],[Debt Equity]]))</f>
        <v>7.0000000000000007E-2</v>
      </c>
      <c r="M16" s="20">
        <v>377.15</v>
      </c>
      <c r="N16" s="20">
        <v>665.05</v>
      </c>
      <c r="O16" s="20">
        <v>263.2</v>
      </c>
      <c r="P16" s="17">
        <f t="shared" si="10"/>
        <v>0.76335675460692032</v>
      </c>
      <c r="Q16" s="19">
        <f t="shared" si="0"/>
        <v>2</v>
      </c>
      <c r="R16" s="19">
        <f t="shared" si="1"/>
        <v>0</v>
      </c>
      <c r="S16" s="19">
        <f t="shared" si="2"/>
        <v>0</v>
      </c>
      <c r="T16" s="14">
        <f t="shared" si="3"/>
        <v>1</v>
      </c>
      <c r="U16" s="14">
        <f t="shared" si="4"/>
        <v>2</v>
      </c>
      <c r="V16" s="14">
        <f t="shared" si="5"/>
        <v>1</v>
      </c>
      <c r="W16" s="19">
        <f t="shared" si="6"/>
        <v>3</v>
      </c>
      <c r="X16" s="22">
        <f t="shared" si="7"/>
        <v>0.32142857142857145</v>
      </c>
      <c r="Y16" s="10" t="s">
        <v>173</v>
      </c>
      <c r="Z16" s="24">
        <v>500</v>
      </c>
      <c r="AA16" s="14">
        <f t="shared" si="8"/>
        <v>1.3257324671881214</v>
      </c>
      <c r="AB16" s="25">
        <f t="shared" si="9"/>
        <v>161.2587829775951</v>
      </c>
      <c r="AC16" s="63">
        <f t="shared" si="11"/>
        <v>0.32251756595519021</v>
      </c>
    </row>
    <row r="17" spans="1:29" x14ac:dyDescent="0.35">
      <c r="A17" s="37" t="s">
        <v>233</v>
      </c>
      <c r="B17" s="16">
        <v>4.09</v>
      </c>
      <c r="C17" s="17">
        <v>0.58489999999999998</v>
      </c>
      <c r="D17" s="19">
        <v>31.11</v>
      </c>
      <c r="E17" s="19">
        <v>22.58</v>
      </c>
      <c r="F17" s="19">
        <f>IF(OR(Table22[[#This Row],[P/C]]&lt;=0,Table22[[#This Row],[P/E]]&lt;=0),100,Table22[[#This Row],[P/E]]-Table22[[#This Row],[P/C]])</f>
        <v>8.5300000000000011</v>
      </c>
      <c r="G17" s="17">
        <v>0.1888</v>
      </c>
      <c r="H17" s="17">
        <v>0.27660000000000001</v>
      </c>
      <c r="I17" s="19">
        <v>-0.02</v>
      </c>
      <c r="J17" s="19">
        <f>ABS(IF(Table22[[#This Row],[CFO/PAT]]&lt;0,100,1-Table22[[#This Row],[CFO/PAT]]))</f>
        <v>100</v>
      </c>
      <c r="K17" s="19">
        <v>0.08</v>
      </c>
      <c r="L17" s="19">
        <f>ABS(IF(Table22[[#This Row],[Debt Equity]]&lt;0,100,0-Table22[[#This Row],[Debt Equity]]))</f>
        <v>0.08</v>
      </c>
      <c r="M17" s="20">
        <v>299.75</v>
      </c>
      <c r="N17" s="20">
        <v>545.15</v>
      </c>
      <c r="O17" s="20">
        <v>199</v>
      </c>
      <c r="P17" s="17">
        <f t="shared" si="10"/>
        <v>0.81868223519599659</v>
      </c>
      <c r="Q17" s="19">
        <f t="shared" si="0"/>
        <v>0</v>
      </c>
      <c r="R17" s="19">
        <f t="shared" si="1"/>
        <v>1</v>
      </c>
      <c r="S17" s="19">
        <f t="shared" si="2"/>
        <v>4</v>
      </c>
      <c r="T17" s="14">
        <f t="shared" si="3"/>
        <v>2</v>
      </c>
      <c r="U17" s="14">
        <f t="shared" si="4"/>
        <v>4</v>
      </c>
      <c r="V17" s="14">
        <f t="shared" si="5"/>
        <v>0</v>
      </c>
      <c r="W17" s="19">
        <f t="shared" si="6"/>
        <v>3</v>
      </c>
      <c r="X17" s="22">
        <f t="shared" si="7"/>
        <v>0.5</v>
      </c>
      <c r="Y17" s="10" t="s">
        <v>172</v>
      </c>
      <c r="Z17" s="24">
        <v>500</v>
      </c>
      <c r="AA17" s="14">
        <f t="shared" si="8"/>
        <v>1.6680567139282736</v>
      </c>
      <c r="AB17" s="25">
        <f t="shared" si="9"/>
        <v>318.40700583819847</v>
      </c>
      <c r="AC17" s="63">
        <f t="shared" si="11"/>
        <v>0.63681401167639695</v>
      </c>
    </row>
    <row r="18" spans="1:29" x14ac:dyDescent="0.35">
      <c r="A18" s="37" t="s">
        <v>234</v>
      </c>
      <c r="B18" s="16">
        <v>0.91</v>
      </c>
      <c r="C18" s="17">
        <v>0.70009999999999994</v>
      </c>
      <c r="D18" s="19">
        <v>7.9</v>
      </c>
      <c r="E18" s="19">
        <v>6.09</v>
      </c>
      <c r="F18" s="19">
        <f>IF(OR(Table22[[#This Row],[P/C]]&lt;=0,Table22[[#This Row],[P/E]]&lt;=0),100,Table22[[#This Row],[P/E]]-Table22[[#This Row],[P/C]])</f>
        <v>1.8100000000000005</v>
      </c>
      <c r="G18" s="17">
        <v>0.12239999999999999</v>
      </c>
      <c r="H18" s="17">
        <v>0.13220000000000001</v>
      </c>
      <c r="I18" s="19">
        <v>1.65</v>
      </c>
      <c r="J18" s="19">
        <f>ABS(IF(Table22[[#This Row],[CFO/PAT]]&lt;0,100,1-Table22[[#This Row],[CFO/PAT]]))</f>
        <v>0.64999999999999991</v>
      </c>
      <c r="K18" s="19">
        <v>0.3</v>
      </c>
      <c r="L18" s="19">
        <f>ABS(IF(Table22[[#This Row],[Debt Equity]]&lt;0,100,0-Table22[[#This Row],[Debt Equity]]))</f>
        <v>0.3</v>
      </c>
      <c r="M18" s="20">
        <v>80.45</v>
      </c>
      <c r="N18" s="20">
        <v>122.7</v>
      </c>
      <c r="O18" s="20">
        <v>51.5</v>
      </c>
      <c r="P18" s="17">
        <f t="shared" si="10"/>
        <v>0.52517091361093848</v>
      </c>
      <c r="Q18" s="19">
        <f t="shared" si="0"/>
        <v>4</v>
      </c>
      <c r="R18" s="19">
        <f t="shared" si="1"/>
        <v>4</v>
      </c>
      <c r="S18" s="19">
        <f t="shared" si="2"/>
        <v>4</v>
      </c>
      <c r="T18" s="14">
        <f t="shared" si="3"/>
        <v>1</v>
      </c>
      <c r="U18" s="14">
        <f t="shared" si="4"/>
        <v>1</v>
      </c>
      <c r="V18" s="14">
        <f t="shared" si="5"/>
        <v>0</v>
      </c>
      <c r="W18" s="19">
        <f t="shared" si="6"/>
        <v>0</v>
      </c>
      <c r="X18" s="22">
        <f t="shared" si="7"/>
        <v>0.5</v>
      </c>
      <c r="Y18" s="10" t="s">
        <v>172</v>
      </c>
      <c r="Z18" s="24">
        <v>500</v>
      </c>
      <c r="AA18" s="14">
        <f t="shared" si="8"/>
        <v>6.2150403977625857</v>
      </c>
      <c r="AB18" s="25">
        <f t="shared" si="9"/>
        <v>186.32691112492233</v>
      </c>
      <c r="AC18" s="63">
        <f t="shared" si="11"/>
        <v>0.37265382224984467</v>
      </c>
    </row>
    <row r="19" spans="1:29" x14ac:dyDescent="0.35">
      <c r="A19" s="45" t="s">
        <v>235</v>
      </c>
      <c r="B19" s="16">
        <v>1.45</v>
      </c>
      <c r="C19" s="17">
        <v>0.66839999999999999</v>
      </c>
      <c r="D19" s="19">
        <v>9.41</v>
      </c>
      <c r="E19" s="19">
        <v>7.94</v>
      </c>
      <c r="F19" s="19">
        <f>IF(OR(Table22[[#This Row],[P/C]]&lt;=0,Table22[[#This Row],[P/E]]&lt;=0),100,Table22[[#This Row],[P/E]]-Table22[[#This Row],[P/C]])</f>
        <v>1.4699999999999998</v>
      </c>
      <c r="G19" s="17">
        <v>0.14630000000000001</v>
      </c>
      <c r="H19" s="17">
        <v>0.1489</v>
      </c>
      <c r="I19" s="19">
        <v>1.31</v>
      </c>
      <c r="J19" s="19">
        <f>ABS(IF(Table22[[#This Row],[CFO/PAT]]&lt;0,100,1-Table22[[#This Row],[CFO/PAT]]))</f>
        <v>0.31000000000000005</v>
      </c>
      <c r="K19" s="19">
        <v>0.53</v>
      </c>
      <c r="L19" s="19">
        <f>ABS(IF(Table22[[#This Row],[Debt Equity]]&lt;0,100,0-Table22[[#This Row],[Debt Equity]]))</f>
        <v>0.53</v>
      </c>
      <c r="M19" s="20">
        <v>189.1</v>
      </c>
      <c r="N19" s="20">
        <v>326.64999999999998</v>
      </c>
      <c r="O19" s="20">
        <v>121.25</v>
      </c>
      <c r="P19" s="17">
        <f t="shared" si="10"/>
        <v>0.72739291380222093</v>
      </c>
      <c r="Q19" s="19">
        <f t="shared" si="0"/>
        <v>3</v>
      </c>
      <c r="R19" s="19">
        <f t="shared" si="1"/>
        <v>3</v>
      </c>
      <c r="S19" s="19">
        <f t="shared" si="2"/>
        <v>4</v>
      </c>
      <c r="T19" s="14">
        <f t="shared" si="3"/>
        <v>1</v>
      </c>
      <c r="U19" s="14">
        <f t="shared" si="4"/>
        <v>1</v>
      </c>
      <c r="V19" s="14">
        <f t="shared" si="5"/>
        <v>2</v>
      </c>
      <c r="W19" s="19">
        <f t="shared" si="6"/>
        <v>0</v>
      </c>
      <c r="X19" s="22">
        <f t="shared" si="7"/>
        <v>0.5</v>
      </c>
      <c r="Y19" s="10" t="s">
        <v>172</v>
      </c>
      <c r="Z19" s="24">
        <v>500</v>
      </c>
      <c r="AA19" s="14">
        <f t="shared" si="8"/>
        <v>2.6441036488630356</v>
      </c>
      <c r="AB19" s="25">
        <f t="shared" si="9"/>
        <v>277.32681121099955</v>
      </c>
      <c r="AC19" s="63">
        <f t="shared" si="11"/>
        <v>0.55465362242199912</v>
      </c>
    </row>
  </sheetData>
  <phoneticPr fontId="5" type="noConversion"/>
  <conditionalFormatting sqref="B2:B19">
    <cfRule type="colorScale" priority="63">
      <colorScale>
        <cfvo type="min"/>
        <cfvo type="percentile" val="50"/>
        <cfvo type="max"/>
        <color rgb="FF63BE7B"/>
        <color rgb="FFFFEB84"/>
        <color rgb="FFF8696B"/>
      </colorScale>
    </cfRule>
  </conditionalFormatting>
  <conditionalFormatting sqref="D3:D19">
    <cfRule type="colorScale" priority="65">
      <colorScale>
        <cfvo type="min"/>
        <cfvo type="percentile" val="50"/>
        <cfvo type="max"/>
        <color rgb="FF63BE7B"/>
        <color rgb="FFFFEB84"/>
        <color rgb="FFF8696B"/>
      </colorScale>
    </cfRule>
  </conditionalFormatting>
  <conditionalFormatting sqref="E3:F19">
    <cfRule type="colorScale" priority="67">
      <colorScale>
        <cfvo type="min"/>
        <cfvo type="percentile" val="50"/>
        <cfvo type="max"/>
        <color rgb="FFF8696B"/>
        <color rgb="FFFFEB84"/>
        <color rgb="FF63BE7B"/>
      </colorScale>
    </cfRule>
  </conditionalFormatting>
  <conditionalFormatting sqref="X3:X19">
    <cfRule type="colorScale" priority="73">
      <colorScale>
        <cfvo type="min"/>
        <cfvo type="percentile" val="50"/>
        <cfvo type="max"/>
        <color rgb="FFF8696B"/>
        <color rgb="FFFFEB84"/>
        <color rgb="FF63BE7B"/>
      </colorScale>
    </cfRule>
  </conditionalFormatting>
  <conditionalFormatting sqref="C3:C19">
    <cfRule type="colorScale" priority="75">
      <colorScale>
        <cfvo type="min"/>
        <cfvo type="percentile" val="50"/>
        <cfvo type="max"/>
        <color rgb="FFF8696B"/>
        <color rgb="FFFFEB84"/>
        <color rgb="FF63BE7B"/>
      </colorScale>
    </cfRule>
  </conditionalFormatting>
  <conditionalFormatting sqref="E1:E1048576">
    <cfRule type="colorScale" priority="44">
      <colorScale>
        <cfvo type="min"/>
        <cfvo type="percentile" val="50"/>
        <cfvo type="max"/>
        <color rgb="FF63BE7B"/>
        <color rgb="FFFFEB84"/>
        <color rgb="FFF8696B"/>
      </colorScale>
    </cfRule>
  </conditionalFormatting>
  <conditionalFormatting sqref="H1:H1048576">
    <cfRule type="colorScale" priority="40">
      <colorScale>
        <cfvo type="min"/>
        <cfvo type="percentile" val="50"/>
        <cfvo type="max"/>
        <color rgb="FFF8696B"/>
        <color rgb="FFFFEB84"/>
        <color rgb="FF63BE7B"/>
      </colorScale>
    </cfRule>
  </conditionalFormatting>
  <conditionalFormatting sqref="J1:J1048576">
    <cfRule type="colorScale" priority="38">
      <colorScale>
        <cfvo type="min"/>
        <cfvo type="percentile" val="50"/>
        <cfvo type="max"/>
        <color rgb="FF63BE7B"/>
        <color rgb="FFFFEB84"/>
        <color rgb="FFF8696B"/>
      </colorScale>
    </cfRule>
  </conditionalFormatting>
  <conditionalFormatting sqref="K1:L1048576">
    <cfRule type="colorScale" priority="37">
      <colorScale>
        <cfvo type="min"/>
        <cfvo type="percentile" val="50"/>
        <cfvo type="max"/>
        <color rgb="FF63BE7B"/>
        <color rgb="FFFFEB84"/>
        <color rgb="FFF8696B"/>
      </colorScale>
    </cfRule>
  </conditionalFormatting>
  <conditionalFormatting sqref="L1:L1048576">
    <cfRule type="colorScale" priority="36">
      <colorScale>
        <cfvo type="min"/>
        <cfvo type="percentile" val="50"/>
        <cfvo type="max"/>
        <color rgb="FF63BE7B"/>
        <color rgb="FFFFEB84"/>
        <color rgb="FFF8696B"/>
      </colorScale>
    </cfRule>
  </conditionalFormatting>
  <conditionalFormatting sqref="Q2">
    <cfRule type="colorScale" priority="29">
      <colorScale>
        <cfvo type="min"/>
        <cfvo type="percentile" val="50"/>
        <cfvo type="max"/>
        <color rgb="FF63BE7B"/>
        <color rgb="FFFFEB84"/>
        <color rgb="FFF8696B"/>
      </colorScale>
    </cfRule>
  </conditionalFormatting>
  <conditionalFormatting sqref="Q2">
    <cfRule type="colorScale" priority="28">
      <colorScale>
        <cfvo type="min"/>
        <cfvo type="percentile" val="50"/>
        <cfvo type="max"/>
        <color rgb="FF63BE7B"/>
        <color rgb="FFFFEB84"/>
        <color rgb="FFF8696B"/>
      </colorScale>
    </cfRule>
  </conditionalFormatting>
  <conditionalFormatting sqref="R2">
    <cfRule type="colorScale" priority="27">
      <colorScale>
        <cfvo type="min"/>
        <cfvo type="percentile" val="50"/>
        <cfvo type="max"/>
        <color rgb="FFF8696B"/>
        <color rgb="FFFFEB84"/>
        <color rgb="FF63BE7B"/>
      </colorScale>
    </cfRule>
  </conditionalFormatting>
  <conditionalFormatting sqref="S2">
    <cfRule type="colorScale" priority="26">
      <colorScale>
        <cfvo type="min"/>
        <cfvo type="percentile" val="50"/>
        <cfvo type="max"/>
        <color rgb="FF63BE7B"/>
        <color rgb="FFFFEB84"/>
        <color rgb="FFF8696B"/>
      </colorScale>
    </cfRule>
  </conditionalFormatting>
  <conditionalFormatting sqref="U2">
    <cfRule type="colorScale" priority="23">
      <colorScale>
        <cfvo type="min"/>
        <cfvo type="percentile" val="50"/>
        <cfvo type="max"/>
        <color rgb="FFF8696B"/>
        <color rgb="FFFFEB84"/>
        <color rgb="FF63BE7B"/>
      </colorScale>
    </cfRule>
  </conditionalFormatting>
  <conditionalFormatting sqref="T2">
    <cfRule type="colorScale" priority="24">
      <colorScale>
        <cfvo type="min"/>
        <cfvo type="percentile" val="50"/>
        <cfvo type="max"/>
        <color rgb="FFF8696B"/>
        <color rgb="FFFFEB84"/>
        <color rgb="FF63BE7B"/>
      </colorScale>
    </cfRule>
  </conditionalFormatting>
  <conditionalFormatting sqref="W2">
    <cfRule type="colorScale" priority="20">
      <colorScale>
        <cfvo type="min"/>
        <cfvo type="percentile" val="50"/>
        <cfvo type="max"/>
        <color rgb="FF63BE7B"/>
        <color rgb="FFFFEB84"/>
        <color rgb="FFF8696B"/>
      </colorScale>
    </cfRule>
  </conditionalFormatting>
  <conditionalFormatting sqref="W2">
    <cfRule type="colorScale" priority="19">
      <colorScale>
        <cfvo type="min"/>
        <cfvo type="percentile" val="50"/>
        <cfvo type="max"/>
        <color rgb="FF63BE7B"/>
        <color rgb="FFFFEB84"/>
        <color rgb="FFF8696B"/>
      </colorScale>
    </cfRule>
  </conditionalFormatting>
  <conditionalFormatting sqref="V2">
    <cfRule type="colorScale" priority="80">
      <colorScale>
        <cfvo type="min"/>
        <cfvo type="percentile" val="50"/>
        <cfvo type="max"/>
        <color rgb="FF63BE7B"/>
        <color rgb="FFFFEB84"/>
        <color rgb="FFF8696B"/>
      </colorScale>
    </cfRule>
  </conditionalFormatting>
  <conditionalFormatting sqref="G3:L19">
    <cfRule type="colorScale" priority="94">
      <colorScale>
        <cfvo type="min"/>
        <cfvo type="percentile" val="50"/>
        <cfvo type="max"/>
        <color rgb="FFF8696B"/>
        <color rgb="FFFFEB84"/>
        <color rgb="FF63BE7B"/>
      </colorScale>
    </cfRule>
  </conditionalFormatting>
  <conditionalFormatting sqref="B1:B1048576">
    <cfRule type="colorScale" priority="121">
      <colorScale>
        <cfvo type="min"/>
        <cfvo type="percentile" val="50"/>
        <cfvo type="max"/>
        <color rgb="FF63BE7B"/>
        <color rgb="FFFFEB84"/>
        <color rgb="FFF8696B"/>
      </colorScale>
    </cfRule>
  </conditionalFormatting>
  <conditionalFormatting sqref="C1:C1048576">
    <cfRule type="colorScale" priority="124">
      <colorScale>
        <cfvo type="min"/>
        <cfvo type="percentile" val="50"/>
        <cfvo type="max"/>
        <color rgb="FFF8696B"/>
        <color rgb="FFFFEB84"/>
        <color rgb="FF63BE7B"/>
      </colorScale>
    </cfRule>
  </conditionalFormatting>
  <conditionalFormatting sqref="D1:D1048576">
    <cfRule type="colorScale" priority="127">
      <colorScale>
        <cfvo type="min"/>
        <cfvo type="percentile" val="50"/>
        <cfvo type="max"/>
        <color rgb="FF63BE7B"/>
        <color rgb="FFFFEB84"/>
        <color rgb="FFF8696B"/>
      </colorScale>
    </cfRule>
  </conditionalFormatting>
  <conditionalFormatting sqref="G1:G1048576">
    <cfRule type="colorScale" priority="3">
      <colorScale>
        <cfvo type="min"/>
        <cfvo type="percentile" val="50"/>
        <cfvo type="max"/>
        <color rgb="FFF8696B"/>
        <color rgb="FFFFEB84"/>
        <color rgb="FF63BE7B"/>
      </colorScale>
    </cfRule>
  </conditionalFormatting>
  <conditionalFormatting sqref="F1:F1048576">
    <cfRule type="colorScale" priority="148">
      <colorScale>
        <cfvo type="min"/>
        <cfvo type="percentile" val="50"/>
        <cfvo type="max"/>
        <color rgb="FF63BE7B"/>
        <color rgb="FFFFEB84"/>
        <color rgb="FFF8696B"/>
      </colorScale>
    </cfRule>
  </conditionalFormatting>
  <conditionalFormatting sqref="I1:I1048576">
    <cfRule type="colorScale" priority="1">
      <colorScale>
        <cfvo type="min"/>
        <cfvo type="percentile" val="50"/>
        <cfvo type="max"/>
        <color rgb="FF63BE7B"/>
        <color rgb="FFFFEB84"/>
        <color rgb="FFF8696B"/>
      </colorScale>
    </cfRule>
  </conditionalFormatting>
  <pageMargins left="0.7" right="0.7" top="0.75" bottom="0.75" header="0.3" footer="0.3"/>
  <pageSetup paperSize="9" orientation="portrait" horizontalDpi="90" verticalDpi="9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4857B1-C8E8-49D5-A9EE-B6B5FD988F47}">
  <sheetPr codeName="Sheet4"/>
  <dimension ref="B2:H14"/>
  <sheetViews>
    <sheetView showGridLines="0" tabSelected="1" workbookViewId="0">
      <selection activeCell="B3" sqref="B3:B13"/>
    </sheetView>
  </sheetViews>
  <sheetFormatPr defaultRowHeight="14.5" x14ac:dyDescent="0.35"/>
  <cols>
    <col min="2" max="2" width="48.1796875" bestFit="1" customWidth="1"/>
    <col min="3" max="3" width="9.6328125" bestFit="1" customWidth="1"/>
    <col min="4" max="4" width="14.08984375" bestFit="1" customWidth="1"/>
    <col min="5" max="5" width="17.81640625" bestFit="1" customWidth="1"/>
    <col min="6" max="6" width="10.08984375" style="23" bestFit="1" customWidth="1"/>
    <col min="7" max="7" width="13.1796875" style="3" bestFit="1" customWidth="1"/>
    <col min="8" max="8" width="13.81640625" bestFit="1" customWidth="1"/>
  </cols>
  <sheetData>
    <row r="2" spans="2:8" x14ac:dyDescent="0.35">
      <c r="B2" s="51" t="s">
        <v>243</v>
      </c>
      <c r="C2" s="51" t="s">
        <v>171</v>
      </c>
      <c r="D2" s="51" t="s">
        <v>155</v>
      </c>
      <c r="E2" s="51" t="s">
        <v>175</v>
      </c>
      <c r="F2" s="51" t="s">
        <v>176</v>
      </c>
      <c r="G2" s="7" t="s">
        <v>179</v>
      </c>
      <c r="H2" s="4" t="s">
        <v>181</v>
      </c>
    </row>
    <row r="3" spans="2:8" x14ac:dyDescent="0.35">
      <c r="B3" s="4" t="s">
        <v>231</v>
      </c>
      <c r="C3" s="4" t="s">
        <v>173</v>
      </c>
      <c r="D3" s="7">
        <v>163.69999999999999</v>
      </c>
      <c r="E3" s="64">
        <v>500</v>
      </c>
      <c r="F3" s="15">
        <v>3.0543677458766036</v>
      </c>
      <c r="G3" s="7">
        <v>111.52260232131945</v>
      </c>
      <c r="H3" s="82">
        <v>0.22304520464263891</v>
      </c>
    </row>
    <row r="4" spans="2:8" x14ac:dyDescent="0.35">
      <c r="B4" s="4" t="s">
        <v>234</v>
      </c>
      <c r="C4" s="4" t="s">
        <v>172</v>
      </c>
      <c r="D4" s="7">
        <v>80.45</v>
      </c>
      <c r="E4" s="64">
        <v>500</v>
      </c>
      <c r="F4" s="15">
        <v>6.2150403977625857</v>
      </c>
      <c r="G4" s="7">
        <v>186.32691112492233</v>
      </c>
      <c r="H4" s="82">
        <v>0.37265382224984467</v>
      </c>
    </row>
    <row r="5" spans="2:8" x14ac:dyDescent="0.35">
      <c r="B5" s="4" t="s">
        <v>223</v>
      </c>
      <c r="C5" s="4" t="s">
        <v>174</v>
      </c>
      <c r="D5" s="7">
        <v>184.5</v>
      </c>
      <c r="E5" s="64">
        <v>500</v>
      </c>
      <c r="F5" s="15">
        <v>2.7100271002710028</v>
      </c>
      <c r="G5" s="7">
        <v>35.230352303523034</v>
      </c>
      <c r="H5" s="82">
        <v>7.0460704607046065E-2</v>
      </c>
    </row>
    <row r="6" spans="2:8" x14ac:dyDescent="0.35">
      <c r="B6" s="4" t="s">
        <v>232</v>
      </c>
      <c r="C6" s="4" t="s">
        <v>173</v>
      </c>
      <c r="D6" s="7">
        <v>377.15</v>
      </c>
      <c r="E6" s="64">
        <v>500</v>
      </c>
      <c r="F6" s="15">
        <v>1.3257324671881214</v>
      </c>
      <c r="G6" s="7">
        <v>161.2587829775951</v>
      </c>
      <c r="H6" s="82">
        <v>0.32251756595519021</v>
      </c>
    </row>
    <row r="7" spans="2:8" x14ac:dyDescent="0.35">
      <c r="B7" s="4" t="s">
        <v>222</v>
      </c>
      <c r="C7" s="4" t="s">
        <v>173</v>
      </c>
      <c r="D7" s="7">
        <v>79.3</v>
      </c>
      <c r="E7" s="64">
        <v>500</v>
      </c>
      <c r="F7" s="15">
        <v>6.3051702395964693</v>
      </c>
      <c r="G7" s="7">
        <v>445.77553593947039</v>
      </c>
      <c r="H7" s="82">
        <v>0.89155107187894078</v>
      </c>
    </row>
    <row r="8" spans="2:8" x14ac:dyDescent="0.35">
      <c r="B8" s="4" t="s">
        <v>229</v>
      </c>
      <c r="C8" s="4" t="s">
        <v>172</v>
      </c>
      <c r="D8" s="7">
        <v>1356.9</v>
      </c>
      <c r="E8" s="64">
        <v>2000</v>
      </c>
      <c r="F8" s="15">
        <v>1.4739479696366717</v>
      </c>
      <c r="G8" s="7">
        <v>646.47357948264414</v>
      </c>
      <c r="H8" s="82">
        <v>0.32323678974132208</v>
      </c>
    </row>
    <row r="9" spans="2:8" x14ac:dyDescent="0.35">
      <c r="B9" s="4" t="s">
        <v>213</v>
      </c>
      <c r="C9" s="4" t="s">
        <v>174</v>
      </c>
      <c r="D9" s="7">
        <v>1069.1500000000001</v>
      </c>
      <c r="E9" s="64">
        <v>1000</v>
      </c>
      <c r="F9" s="15">
        <v>0.93532245241547018</v>
      </c>
      <c r="G9" s="7">
        <v>-106.29939671701827</v>
      </c>
      <c r="H9" s="82">
        <v>-0.10629939671701827</v>
      </c>
    </row>
    <row r="10" spans="2:8" x14ac:dyDescent="0.35">
      <c r="B10" s="4" t="s">
        <v>224</v>
      </c>
      <c r="C10" s="4" t="s">
        <v>173</v>
      </c>
      <c r="D10" s="7">
        <v>141.44999999999999</v>
      </c>
      <c r="E10" s="64">
        <v>500</v>
      </c>
      <c r="F10" s="15">
        <v>3.5348179568752212</v>
      </c>
      <c r="G10" s="7">
        <v>169.27359490986211</v>
      </c>
      <c r="H10" s="82">
        <v>0.3385471898197242</v>
      </c>
    </row>
    <row r="11" spans="2:8" x14ac:dyDescent="0.35">
      <c r="B11" s="4" t="s">
        <v>233</v>
      </c>
      <c r="C11" s="4" t="s">
        <v>172</v>
      </c>
      <c r="D11" s="7">
        <v>299.75</v>
      </c>
      <c r="E11" s="64">
        <v>500</v>
      </c>
      <c r="F11" s="15">
        <v>1.6680567139282736</v>
      </c>
      <c r="G11" s="7">
        <v>318.40700583819847</v>
      </c>
      <c r="H11" s="82">
        <v>0.63681401167639695</v>
      </c>
    </row>
    <row r="12" spans="2:8" x14ac:dyDescent="0.35">
      <c r="B12" s="4" t="s">
        <v>221</v>
      </c>
      <c r="C12" s="4" t="s">
        <v>174</v>
      </c>
      <c r="D12" s="7">
        <v>80.5</v>
      </c>
      <c r="E12" s="64">
        <v>500</v>
      </c>
      <c r="F12" s="15">
        <v>6.2111801242236027</v>
      </c>
      <c r="G12" s="7">
        <v>9.6273291925465667</v>
      </c>
      <c r="H12" s="82">
        <v>1.9254658385093132E-2</v>
      </c>
    </row>
    <row r="13" spans="2:8" x14ac:dyDescent="0.35">
      <c r="B13" s="4" t="s">
        <v>235</v>
      </c>
      <c r="C13" s="4" t="s">
        <v>172</v>
      </c>
      <c r="D13" s="7">
        <v>189.1</v>
      </c>
      <c r="E13" s="64">
        <v>500</v>
      </c>
      <c r="F13" s="15">
        <v>2.6441036488630356</v>
      </c>
      <c r="G13" s="7">
        <v>277.32681121099955</v>
      </c>
      <c r="H13" s="82">
        <v>0.55465362242199912</v>
      </c>
    </row>
    <row r="14" spans="2:8" x14ac:dyDescent="0.35">
      <c r="B14" s="4" t="s">
        <v>180</v>
      </c>
      <c r="C14" s="4"/>
      <c r="D14" s="4"/>
      <c r="E14" s="4"/>
      <c r="F14" s="4"/>
      <c r="G14" s="7">
        <v>2254.9231085840629</v>
      </c>
      <c r="H14" s="82">
        <v>3.6464352446611779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3CFB51-7290-44EE-BDF7-BCB9A08B53D9}">
  <sheetPr codeName="Sheet5"/>
  <dimension ref="A2:AC8"/>
  <sheetViews>
    <sheetView showGridLines="0" zoomScaleNormal="100" workbookViewId="0">
      <pane xSplit="1" topLeftCell="V1" activePane="topRight" state="frozen"/>
      <selection activeCell="C8" sqref="C8"/>
      <selection pane="topRight" activeCell="X3" sqref="X3:X8"/>
    </sheetView>
  </sheetViews>
  <sheetFormatPr defaultRowHeight="14.5" x14ac:dyDescent="0.35"/>
  <cols>
    <col min="1" max="1" width="45.7265625" bestFit="1" customWidth="1"/>
    <col min="2" max="2" width="6.08984375" bestFit="1" customWidth="1"/>
    <col min="3" max="3" width="18.08984375" style="5" bestFit="1" customWidth="1"/>
    <col min="4" max="4" width="7.26953125" style="13" bestFit="1" customWidth="1"/>
    <col min="5" max="5" width="7.36328125" style="13" bestFit="1" customWidth="1"/>
    <col min="6" max="6" width="11.81640625" style="13" bestFit="1" customWidth="1"/>
    <col min="7" max="7" width="6.81640625" style="5" bestFit="1" customWidth="1"/>
    <col min="8" max="8" width="7.6328125" style="5" bestFit="1" customWidth="1"/>
    <col min="9" max="9" width="11.81640625" style="13" bestFit="1" customWidth="1"/>
    <col min="10" max="10" width="13.453125" style="13" bestFit="1" customWidth="1"/>
    <col min="11" max="11" width="14.1796875" style="13" bestFit="1" customWidth="1"/>
    <col min="12" max="12" width="15.90625" style="13" bestFit="1" customWidth="1"/>
    <col min="13" max="13" width="15.453125" style="6" bestFit="1" customWidth="1"/>
    <col min="14" max="14" width="15.90625" style="6" bestFit="1" customWidth="1"/>
    <col min="15" max="15" width="15.54296875" style="6" bestFit="1" customWidth="1"/>
    <col min="16" max="16" width="8.54296875" style="3" bestFit="1" customWidth="1"/>
    <col min="17" max="17" width="11.08984375" style="13" bestFit="1" customWidth="1"/>
    <col min="18" max="18" width="23.1796875" style="13" bestFit="1" customWidth="1"/>
    <col min="19" max="19" width="16" bestFit="1" customWidth="1"/>
    <col min="20" max="20" width="11.54296875" bestFit="1" customWidth="1"/>
    <col min="21" max="21" width="12.6328125" bestFit="1" customWidth="1"/>
    <col min="22" max="22" width="18.54296875" bestFit="1" customWidth="1"/>
    <col min="23" max="23" width="21" bestFit="1" customWidth="1"/>
    <col min="24" max="24" width="7.36328125" bestFit="1" customWidth="1"/>
    <col min="25" max="25" width="10" bestFit="1" customWidth="1"/>
    <col min="26" max="26" width="19.08984375" style="23" bestFit="1" customWidth="1"/>
    <col min="27" max="28" width="10.08984375" bestFit="1" customWidth="1"/>
    <col min="29" max="29" width="12" bestFit="1" customWidth="1"/>
  </cols>
  <sheetData>
    <row r="2" spans="1:29" x14ac:dyDescent="0.35">
      <c r="A2" s="38" t="s">
        <v>243</v>
      </c>
      <c r="B2" s="16" t="s">
        <v>62</v>
      </c>
      <c r="C2" s="17" t="s">
        <v>47</v>
      </c>
      <c r="D2" s="19" t="s">
        <v>57</v>
      </c>
      <c r="E2" s="19" t="s">
        <v>216</v>
      </c>
      <c r="F2" s="19" t="s">
        <v>217</v>
      </c>
      <c r="G2" s="58" t="s">
        <v>73</v>
      </c>
      <c r="H2" s="58" t="s">
        <v>182</v>
      </c>
      <c r="I2" s="59" t="s">
        <v>97</v>
      </c>
      <c r="J2" s="59" t="s">
        <v>236</v>
      </c>
      <c r="K2" s="59" t="s">
        <v>214</v>
      </c>
      <c r="L2" s="59" t="s">
        <v>237</v>
      </c>
      <c r="M2" s="18" t="s">
        <v>155</v>
      </c>
      <c r="N2" s="18" t="s">
        <v>156</v>
      </c>
      <c r="O2" s="18" t="s">
        <v>157</v>
      </c>
      <c r="P2" s="60" t="s">
        <v>161</v>
      </c>
      <c r="Q2" s="16" t="s">
        <v>162</v>
      </c>
      <c r="R2" s="17" t="s">
        <v>238</v>
      </c>
      <c r="S2" s="19" t="s">
        <v>239</v>
      </c>
      <c r="T2" s="58" t="s">
        <v>164</v>
      </c>
      <c r="U2" s="58" t="s">
        <v>240</v>
      </c>
      <c r="V2" s="59" t="s">
        <v>241</v>
      </c>
      <c r="W2" s="59" t="s">
        <v>242</v>
      </c>
      <c r="X2" s="60" t="s">
        <v>168</v>
      </c>
      <c r="Y2" s="61" t="s">
        <v>171</v>
      </c>
      <c r="Z2" s="62" t="s">
        <v>175</v>
      </c>
      <c r="AA2" s="4" t="s">
        <v>176</v>
      </c>
      <c r="AB2" s="10" t="s">
        <v>177</v>
      </c>
      <c r="AC2" s="10" t="s">
        <v>178</v>
      </c>
    </row>
    <row r="3" spans="1:29" x14ac:dyDescent="0.35">
      <c r="A3" s="37" t="s">
        <v>256</v>
      </c>
      <c r="B3" s="16">
        <v>10.52</v>
      </c>
      <c r="C3" s="17">
        <v>0.56759999999999999</v>
      </c>
      <c r="D3" s="19">
        <v>53.2</v>
      </c>
      <c r="E3" s="19">
        <v>40.590000000000003</v>
      </c>
      <c r="F3" s="19">
        <f>IF(OR(Table224[[#This Row],[P/C]]&lt;=0,Table224[[#This Row],[P/E]]&lt;=0),100,Table224[[#This Row],[P/E]]-Table224[[#This Row],[P/C]])</f>
        <v>12.61</v>
      </c>
      <c r="G3" s="17">
        <v>0.24879999999999999</v>
      </c>
      <c r="H3" s="17">
        <v>0.2117</v>
      </c>
      <c r="I3" s="19">
        <v>2.29</v>
      </c>
      <c r="J3" s="19">
        <f>ABS(IF(Table224[[#This Row],[CFO/PAT]]&lt;0,100,1-Table224[[#This Row],[CFO/PAT]]))</f>
        <v>1.29</v>
      </c>
      <c r="K3" s="19">
        <v>0.93</v>
      </c>
      <c r="L3" s="19">
        <f>ABS(IF(Table224[[#This Row],[Debt Equity]]&lt;0,100,0-Table224[[#This Row],[Debt Equity]]))</f>
        <v>0.93</v>
      </c>
      <c r="M3" s="20">
        <v>529.75</v>
      </c>
      <c r="N3" s="20">
        <v>742.95</v>
      </c>
      <c r="O3" s="20">
        <v>443</v>
      </c>
      <c r="P3" s="17">
        <f>(N3-M3)/M3</f>
        <v>0.40245398773006141</v>
      </c>
      <c r="Q3" s="19">
        <f t="shared" ref="Q3:Q8" si="0">IF(LEFT(B3,1)="0",4,IF(LEFT(B3,1)="1",3,IF(LEFT(B3,1)="2",2,IF(LEFT(B3,1)="3",1,0))))</f>
        <v>3</v>
      </c>
      <c r="R3" s="19">
        <f t="shared" ref="R3:R8" si="1">IF(C3&gt;0.7,4,IF(AND(C3&lt;0.7,C3&gt;0.65),3,IF(AND(C3&lt;0.65,C3&gt;0.6),2,IF(AND(C3&lt;0.6,C3&gt;0.55),1,0))))</f>
        <v>1</v>
      </c>
      <c r="S3" s="19">
        <f t="shared" ref="S3:S8" si="2">IF(F3&lt;10,4,IF(AND(F3&lt;15,F3&gt;10),3,IF(AND(F3&lt;20,F3&gt;15),2,IF(AND(F3&lt;30,F3&gt;20),1,0))))</f>
        <v>3</v>
      </c>
      <c r="T3" s="14">
        <f t="shared" ref="T3:U8" si="3">IF(G3&gt;0.25,4,IF(AND(G3&lt;0.25,G3&gt;0.2),3,IF(AND(G3&lt;0.2,G3&gt;0.15),2,IF(AND(G3&lt;0.15,G3&gt;0.1),1,0))))</f>
        <v>3</v>
      </c>
      <c r="U3" s="14">
        <f t="shared" si="3"/>
        <v>3</v>
      </c>
      <c r="V3" s="14">
        <f t="shared" ref="V3:V8" si="4">IF(J3&lt;0.15,4,IF(AND(J3&lt;0.3,J3&gt;0.15),3,IF(AND(J3&lt;0.45,J3&gt;0.3),2,IF(AND(J3&lt;0.6,J3&gt;0.45),1,0))))</f>
        <v>0</v>
      </c>
      <c r="W3" s="19">
        <f t="shared" ref="W3:W8" si="5">IF(L3=0,4,IF(AND(L3&lt;0.1,L3&gt;0),3,IF(AND(L3&lt;0.2,L3&gt;0.1),2,IF(AND(L3&lt;0.3,L3&gt;0.2),1,0))))</f>
        <v>0</v>
      </c>
      <c r="X3" s="22">
        <f t="shared" ref="X3:X8" si="6">SUM(Q3:W3)/28</f>
        <v>0.4642857142857143</v>
      </c>
      <c r="Y3" s="10" t="s">
        <v>174</v>
      </c>
      <c r="Z3" s="24">
        <v>1000</v>
      </c>
      <c r="AA3" s="14">
        <f t="shared" ref="AA3:AA8" si="7">Z3/M3</f>
        <v>1.8876828692779613</v>
      </c>
      <c r="AB3" s="25">
        <f t="shared" ref="AB3:AB8" si="8">AA3*(N3*(IF(Y3="Low",0.9,IF(Y3="Medium",0.75,0.5)))-M3)</f>
        <v>-298.77300613496925</v>
      </c>
      <c r="AC3" s="63">
        <f>IFERROR(AB3/Z3,0)</f>
        <v>-0.29877300613496927</v>
      </c>
    </row>
    <row r="4" spans="1:29" x14ac:dyDescent="0.35">
      <c r="A4" s="37" t="s">
        <v>257</v>
      </c>
      <c r="B4" s="16">
        <v>7.07</v>
      </c>
      <c r="C4" s="17">
        <v>0.57720000000000005</v>
      </c>
      <c r="D4" s="19">
        <v>54.28</v>
      </c>
      <c r="E4" s="19">
        <v>38.39</v>
      </c>
      <c r="F4" s="19">
        <f>IF(OR(Table224[[#This Row],[P/C]]&lt;=0,Table224[[#This Row],[P/E]]&lt;=0),100,Table224[[#This Row],[P/E]]-Table224[[#This Row],[P/C]])</f>
        <v>15.89</v>
      </c>
      <c r="G4" s="17">
        <v>0.1918</v>
      </c>
      <c r="H4" s="17">
        <v>0.28460000000000002</v>
      </c>
      <c r="I4" s="19">
        <v>2</v>
      </c>
      <c r="J4" s="19">
        <f>ABS(IF(Table224[[#This Row],[CFO/PAT]]&lt;0,100,1-Table224[[#This Row],[CFO/PAT]]))</f>
        <v>1</v>
      </c>
      <c r="K4" s="19">
        <v>7.0000000000000007E-2</v>
      </c>
      <c r="L4" s="19">
        <f>ABS(IF(Table224[[#This Row],[Debt Equity]]&lt;0,100,0-Table224[[#This Row],[Debt Equity]]))</f>
        <v>7.0000000000000007E-2</v>
      </c>
      <c r="M4" s="20">
        <v>933.2</v>
      </c>
      <c r="N4" s="20">
        <v>1483.55</v>
      </c>
      <c r="O4" s="20">
        <v>758.75</v>
      </c>
      <c r="P4" s="17">
        <f t="shared" ref="P4:P7" si="9">(N4-M4)/M4</f>
        <v>0.58974496356622363</v>
      </c>
      <c r="Q4" s="19">
        <f t="shared" si="0"/>
        <v>0</v>
      </c>
      <c r="R4" s="19">
        <f t="shared" si="1"/>
        <v>1</v>
      </c>
      <c r="S4" s="19">
        <f t="shared" si="2"/>
        <v>2</v>
      </c>
      <c r="T4" s="14">
        <f t="shared" si="3"/>
        <v>2</v>
      </c>
      <c r="U4" s="14">
        <f t="shared" si="3"/>
        <v>4</v>
      </c>
      <c r="V4" s="14">
        <f t="shared" si="4"/>
        <v>0</v>
      </c>
      <c r="W4" s="19">
        <f t="shared" si="5"/>
        <v>3</v>
      </c>
      <c r="X4" s="22">
        <f t="shared" si="6"/>
        <v>0.42857142857142855</v>
      </c>
      <c r="Y4" s="10" t="s">
        <v>174</v>
      </c>
      <c r="Z4" s="24">
        <v>1000</v>
      </c>
      <c r="AA4" s="14">
        <f t="shared" si="7"/>
        <v>1.0715816545220744</v>
      </c>
      <c r="AB4" s="25">
        <f t="shared" si="8"/>
        <v>-205.12751821688818</v>
      </c>
      <c r="AC4" s="63">
        <f t="shared" ref="AC4:AC8" si="10">IFERROR(AB4/Z4,0)</f>
        <v>-0.20512751821688818</v>
      </c>
    </row>
    <row r="5" spans="1:29" x14ac:dyDescent="0.35">
      <c r="A5" s="37" t="s">
        <v>258</v>
      </c>
      <c r="B5" s="16">
        <v>22.55</v>
      </c>
      <c r="C5" s="17">
        <v>0.4032</v>
      </c>
      <c r="D5" s="19">
        <v>22.55</v>
      </c>
      <c r="E5" s="19">
        <v>14.18</v>
      </c>
      <c r="F5" s="19">
        <f>IF(OR(Table224[[#This Row],[P/C]]&lt;=0,Table224[[#This Row],[P/E]]&lt;=0),100,Table224[[#This Row],[P/E]]-Table224[[#This Row],[P/C]])</f>
        <v>8.370000000000001</v>
      </c>
      <c r="G5" s="17">
        <v>0.15090000000000001</v>
      </c>
      <c r="H5" s="17">
        <v>0.188</v>
      </c>
      <c r="I5" s="19">
        <v>1.36</v>
      </c>
      <c r="J5" s="19">
        <f>ABS(IF(Table224[[#This Row],[CFO/PAT]]&lt;0,100,1-Table224[[#This Row],[CFO/PAT]]))</f>
        <v>0.3600000000000001</v>
      </c>
      <c r="K5" s="19">
        <v>0.25</v>
      </c>
      <c r="L5" s="19">
        <f>ABS(IF(Table224[[#This Row],[Debt Equity]]&lt;0,100,0-Table224[[#This Row],[Debt Equity]]))</f>
        <v>0.25</v>
      </c>
      <c r="M5" s="20">
        <v>327.85</v>
      </c>
      <c r="N5" s="20">
        <v>439</v>
      </c>
      <c r="O5" s="20">
        <v>220</v>
      </c>
      <c r="P5" s="17">
        <f t="shared" si="9"/>
        <v>0.33902699405215792</v>
      </c>
      <c r="Q5" s="19">
        <f t="shared" si="0"/>
        <v>2</v>
      </c>
      <c r="R5" s="19">
        <f t="shared" si="1"/>
        <v>0</v>
      </c>
      <c r="S5" s="19">
        <f t="shared" si="2"/>
        <v>4</v>
      </c>
      <c r="T5" s="14">
        <f t="shared" si="3"/>
        <v>2</v>
      </c>
      <c r="U5" s="14">
        <f t="shared" si="3"/>
        <v>2</v>
      </c>
      <c r="V5" s="14">
        <f t="shared" si="4"/>
        <v>2</v>
      </c>
      <c r="W5" s="19">
        <f t="shared" si="5"/>
        <v>1</v>
      </c>
      <c r="X5" s="22">
        <f t="shared" si="6"/>
        <v>0.4642857142857143</v>
      </c>
      <c r="Y5" s="10" t="s">
        <v>174</v>
      </c>
      <c r="Z5" s="24">
        <v>1000</v>
      </c>
      <c r="AA5" s="14">
        <f t="shared" si="7"/>
        <v>3.0501753850846423</v>
      </c>
      <c r="AB5" s="25">
        <f t="shared" si="8"/>
        <v>-330.48650297392106</v>
      </c>
      <c r="AC5" s="63">
        <f t="shared" si="10"/>
        <v>-0.33048650297392107</v>
      </c>
    </row>
    <row r="6" spans="1:29" x14ac:dyDescent="0.35">
      <c r="A6" s="37" t="s">
        <v>259</v>
      </c>
      <c r="B6" s="16">
        <v>3.7</v>
      </c>
      <c r="C6" s="17">
        <v>0</v>
      </c>
      <c r="D6" s="19">
        <v>15.43</v>
      </c>
      <c r="E6" s="19">
        <v>18.37</v>
      </c>
      <c r="F6" s="19">
        <f>IF(OR(Table224[[#This Row],[P/C]]&lt;=0,Table224[[#This Row],[P/E]]&lt;=0),100,Table224[[#This Row],[P/E]]-Table224[[#This Row],[P/C]])</f>
        <v>-2.9400000000000013</v>
      </c>
      <c r="G6" s="17">
        <v>0.23799999999999999</v>
      </c>
      <c r="H6" s="17">
        <v>0.34389999999999998</v>
      </c>
      <c r="I6" s="19">
        <v>1.05</v>
      </c>
      <c r="J6" s="19">
        <f>ABS(IF(Table224[[#This Row],[CFO/PAT]]&lt;0,100,1-Table224[[#This Row],[CFO/PAT]]))</f>
        <v>5.0000000000000044E-2</v>
      </c>
      <c r="K6" s="19">
        <v>0</v>
      </c>
      <c r="L6" s="19">
        <f>ABS(IF(Table224[[#This Row],[Debt Equity]]&lt;0,100,0-Table224[[#This Row],[Debt Equity]]))</f>
        <v>0</v>
      </c>
      <c r="M6" s="20">
        <v>188.1</v>
      </c>
      <c r="N6" s="20">
        <v>309.85000000000002</v>
      </c>
      <c r="O6" s="20">
        <v>134.94999999999999</v>
      </c>
      <c r="P6" s="17">
        <f t="shared" si="9"/>
        <v>0.64726209463051587</v>
      </c>
      <c r="Q6" s="19">
        <f t="shared" si="0"/>
        <v>1</v>
      </c>
      <c r="R6" s="19">
        <f t="shared" si="1"/>
        <v>0</v>
      </c>
      <c r="S6" s="19">
        <f t="shared" si="2"/>
        <v>4</v>
      </c>
      <c r="T6" s="14">
        <f t="shared" si="3"/>
        <v>3</v>
      </c>
      <c r="U6" s="14">
        <f t="shared" si="3"/>
        <v>4</v>
      </c>
      <c r="V6" s="14">
        <f t="shared" si="4"/>
        <v>4</v>
      </c>
      <c r="W6" s="19">
        <f t="shared" si="5"/>
        <v>4</v>
      </c>
      <c r="X6" s="22">
        <f t="shared" si="6"/>
        <v>0.7142857142857143</v>
      </c>
      <c r="Y6" s="10" t="s">
        <v>172</v>
      </c>
      <c r="Z6" s="24">
        <v>1000</v>
      </c>
      <c r="AA6" s="14">
        <f t="shared" si="7"/>
        <v>5.3163211057947901</v>
      </c>
      <c r="AB6" s="25">
        <f t="shared" si="8"/>
        <v>482.53588516746419</v>
      </c>
      <c r="AC6" s="63">
        <f t="shared" si="10"/>
        <v>0.48253588516746421</v>
      </c>
    </row>
    <row r="7" spans="1:29" x14ac:dyDescent="0.35">
      <c r="A7" s="37" t="s">
        <v>260</v>
      </c>
      <c r="B7" s="16">
        <v>2.2599999999999998</v>
      </c>
      <c r="C7" s="17">
        <v>0.72189999999999999</v>
      </c>
      <c r="D7" s="19">
        <v>13.24</v>
      </c>
      <c r="E7" s="19">
        <v>14.43</v>
      </c>
      <c r="F7" s="19">
        <f>IF(OR(Table224[[#This Row],[P/C]]&lt;=0,Table224[[#This Row],[P/E]]&lt;=0),100,Table224[[#This Row],[P/E]]-Table224[[#This Row],[P/C]])</f>
        <v>-1.1899999999999995</v>
      </c>
      <c r="G7" s="17">
        <v>0.1356</v>
      </c>
      <c r="H7" s="17">
        <v>0.1966</v>
      </c>
      <c r="I7" s="19">
        <v>1.73</v>
      </c>
      <c r="J7" s="19">
        <f>ABS(IF(Table224[[#This Row],[CFO/PAT]]&lt;0,100,1-Table224[[#This Row],[CFO/PAT]]))</f>
        <v>0.73</v>
      </c>
      <c r="K7" s="19">
        <v>0.02</v>
      </c>
      <c r="L7" s="19">
        <f>ABS(IF(Table224[[#This Row],[Debt Equity]]&lt;0,100,0-Table224[[#This Row],[Debt Equity]]))</f>
        <v>0.02</v>
      </c>
      <c r="M7" s="20">
        <v>1004.45</v>
      </c>
      <c r="N7" s="20">
        <v>1480.4</v>
      </c>
      <c r="O7" s="20">
        <v>675.3</v>
      </c>
      <c r="P7" s="17">
        <f t="shared" si="9"/>
        <v>0.47384140574443728</v>
      </c>
      <c r="Q7" s="19">
        <f t="shared" si="0"/>
        <v>2</v>
      </c>
      <c r="R7" s="19">
        <f t="shared" si="1"/>
        <v>4</v>
      </c>
      <c r="S7" s="19">
        <f t="shared" si="2"/>
        <v>4</v>
      </c>
      <c r="T7" s="14">
        <f t="shared" si="3"/>
        <v>1</v>
      </c>
      <c r="U7" s="14">
        <f t="shared" si="3"/>
        <v>2</v>
      </c>
      <c r="V7" s="14">
        <f t="shared" si="4"/>
        <v>0</v>
      </c>
      <c r="W7" s="19">
        <f t="shared" si="5"/>
        <v>3</v>
      </c>
      <c r="X7" s="22">
        <f t="shared" si="6"/>
        <v>0.5714285714285714</v>
      </c>
      <c r="Y7" s="10" t="s">
        <v>173</v>
      </c>
      <c r="Z7" s="24">
        <v>0</v>
      </c>
      <c r="AA7" s="14">
        <f t="shared" si="7"/>
        <v>0</v>
      </c>
      <c r="AB7" s="25">
        <f t="shared" si="8"/>
        <v>0</v>
      </c>
      <c r="AC7" s="63">
        <f t="shared" si="10"/>
        <v>0</v>
      </c>
    </row>
    <row r="8" spans="1:29" x14ac:dyDescent="0.35">
      <c r="A8" s="37" t="s">
        <v>261</v>
      </c>
      <c r="B8" s="16">
        <v>6.8</v>
      </c>
      <c r="C8" s="17">
        <v>0.3216</v>
      </c>
      <c r="D8" s="19">
        <v>17.079999999999998</v>
      </c>
      <c r="E8" s="19">
        <v>16.87</v>
      </c>
      <c r="F8" s="19">
        <f>IF(OR(Table224[[#This Row],[P/C]]&lt;=0,Table224[[#This Row],[P/E]]&lt;=0),100,Table224[[#This Row],[P/E]]-Table224[[#This Row],[P/C]])</f>
        <v>0.2099999999999973</v>
      </c>
      <c r="G8" s="17">
        <v>0.36409999999999998</v>
      </c>
      <c r="H8" s="17">
        <v>0.56279999999999997</v>
      </c>
      <c r="I8" s="19">
        <v>1.24</v>
      </c>
      <c r="J8" s="19">
        <f>ABS(IF(Table224[[#This Row],[CFO/PAT]]&lt;0,100,1-Table224[[#This Row],[CFO/PAT]]))</f>
        <v>0.24</v>
      </c>
      <c r="K8" s="19">
        <v>0</v>
      </c>
      <c r="L8" s="19">
        <f>ABS(IF(Table224[[#This Row],[Debt Equity]]&lt;0,100,0-Table224[[#This Row],[Debt Equity]]))</f>
        <v>0</v>
      </c>
      <c r="M8" s="20">
        <v>3169.8</v>
      </c>
      <c r="N8" s="20">
        <v>4856.46</v>
      </c>
      <c r="O8" s="20">
        <v>2550</v>
      </c>
      <c r="P8" s="17">
        <f>(N8-M8)/M8</f>
        <v>0.53210297179632782</v>
      </c>
      <c r="Q8" s="19">
        <f t="shared" si="0"/>
        <v>0</v>
      </c>
      <c r="R8" s="19">
        <f t="shared" si="1"/>
        <v>0</v>
      </c>
      <c r="S8" s="19">
        <f t="shared" si="2"/>
        <v>4</v>
      </c>
      <c r="T8" s="14">
        <f t="shared" si="3"/>
        <v>4</v>
      </c>
      <c r="U8" s="14">
        <f t="shared" si="3"/>
        <v>4</v>
      </c>
      <c r="V8" s="14">
        <f t="shared" si="4"/>
        <v>3</v>
      </c>
      <c r="W8" s="19">
        <f t="shared" si="5"/>
        <v>4</v>
      </c>
      <c r="X8" s="22">
        <f t="shared" si="6"/>
        <v>0.6785714285714286</v>
      </c>
      <c r="Y8" s="10" t="s">
        <v>173</v>
      </c>
      <c r="Z8" s="24">
        <v>0</v>
      </c>
      <c r="AA8" s="14">
        <f t="shared" si="7"/>
        <v>0</v>
      </c>
      <c r="AB8" s="25">
        <f t="shared" si="8"/>
        <v>0</v>
      </c>
      <c r="AC8" s="63">
        <f t="shared" si="10"/>
        <v>0</v>
      </c>
    </row>
  </sheetData>
  <conditionalFormatting sqref="E1:E1048576">
    <cfRule type="colorScale" priority="15">
      <colorScale>
        <cfvo type="min"/>
        <cfvo type="percentile" val="50"/>
        <cfvo type="max"/>
        <color rgb="FF63BE7B"/>
        <color rgb="FFFFEB84"/>
        <color rgb="FFF8696B"/>
      </colorScale>
    </cfRule>
  </conditionalFormatting>
  <conditionalFormatting sqref="H1:H1048576">
    <cfRule type="colorScale" priority="14">
      <colorScale>
        <cfvo type="min"/>
        <cfvo type="percentile" val="50"/>
        <cfvo type="max"/>
        <color rgb="FFF8696B"/>
        <color rgb="FFFFEB84"/>
        <color rgb="FF63BE7B"/>
      </colorScale>
    </cfRule>
  </conditionalFormatting>
  <conditionalFormatting sqref="J1:J1048576">
    <cfRule type="colorScale" priority="13">
      <colorScale>
        <cfvo type="min"/>
        <cfvo type="percentile" val="50"/>
        <cfvo type="max"/>
        <color rgb="FF63BE7B"/>
        <color rgb="FFFFEB84"/>
        <color rgb="FFF8696B"/>
      </colorScale>
    </cfRule>
  </conditionalFormatting>
  <conditionalFormatting sqref="K1:L1048576">
    <cfRule type="colorScale" priority="12">
      <colorScale>
        <cfvo type="min"/>
        <cfvo type="percentile" val="50"/>
        <cfvo type="max"/>
        <color rgb="FF63BE7B"/>
        <color rgb="FFFFEB84"/>
        <color rgb="FFF8696B"/>
      </colorScale>
    </cfRule>
  </conditionalFormatting>
  <conditionalFormatting sqref="L1:L1048576">
    <cfRule type="colorScale" priority="11">
      <colorScale>
        <cfvo type="min"/>
        <cfvo type="percentile" val="50"/>
        <cfvo type="max"/>
        <color rgb="FF63BE7B"/>
        <color rgb="FFFFEB84"/>
        <color rgb="FFF8696B"/>
      </colorScale>
    </cfRule>
  </conditionalFormatting>
  <conditionalFormatting sqref="Q2">
    <cfRule type="colorScale" priority="10">
      <colorScale>
        <cfvo type="min"/>
        <cfvo type="percentile" val="50"/>
        <cfvo type="max"/>
        <color rgb="FF63BE7B"/>
        <color rgb="FFFFEB84"/>
        <color rgb="FFF8696B"/>
      </colorScale>
    </cfRule>
  </conditionalFormatting>
  <conditionalFormatting sqref="Q2">
    <cfRule type="colorScale" priority="9">
      <colorScale>
        <cfvo type="min"/>
        <cfvo type="percentile" val="50"/>
        <cfvo type="max"/>
        <color rgb="FF63BE7B"/>
        <color rgb="FFFFEB84"/>
        <color rgb="FFF8696B"/>
      </colorScale>
    </cfRule>
  </conditionalFormatting>
  <conditionalFormatting sqref="R2">
    <cfRule type="colorScale" priority="8">
      <colorScale>
        <cfvo type="min"/>
        <cfvo type="percentile" val="50"/>
        <cfvo type="max"/>
        <color rgb="FFF8696B"/>
        <color rgb="FFFFEB84"/>
        <color rgb="FF63BE7B"/>
      </colorScale>
    </cfRule>
  </conditionalFormatting>
  <conditionalFormatting sqref="S2">
    <cfRule type="colorScale" priority="7">
      <colorScale>
        <cfvo type="min"/>
        <cfvo type="percentile" val="50"/>
        <cfvo type="max"/>
        <color rgb="FF63BE7B"/>
        <color rgb="FFFFEB84"/>
        <color rgb="FFF8696B"/>
      </colorScale>
    </cfRule>
  </conditionalFormatting>
  <conditionalFormatting sqref="U2">
    <cfRule type="colorScale" priority="5">
      <colorScale>
        <cfvo type="min"/>
        <cfvo type="percentile" val="50"/>
        <cfvo type="max"/>
        <color rgb="FFF8696B"/>
        <color rgb="FFFFEB84"/>
        <color rgb="FF63BE7B"/>
      </colorScale>
    </cfRule>
  </conditionalFormatting>
  <conditionalFormatting sqref="T2">
    <cfRule type="colorScale" priority="6">
      <colorScale>
        <cfvo type="min"/>
        <cfvo type="percentile" val="50"/>
        <cfvo type="max"/>
        <color rgb="FFF8696B"/>
        <color rgb="FFFFEB84"/>
        <color rgb="FF63BE7B"/>
      </colorScale>
    </cfRule>
  </conditionalFormatting>
  <conditionalFormatting sqref="W2">
    <cfRule type="colorScale" priority="4">
      <colorScale>
        <cfvo type="min"/>
        <cfvo type="percentile" val="50"/>
        <cfvo type="max"/>
        <color rgb="FF63BE7B"/>
        <color rgb="FFFFEB84"/>
        <color rgb="FFF8696B"/>
      </colorScale>
    </cfRule>
  </conditionalFormatting>
  <conditionalFormatting sqref="W2">
    <cfRule type="colorScale" priority="3">
      <colorScale>
        <cfvo type="min"/>
        <cfvo type="percentile" val="50"/>
        <cfvo type="max"/>
        <color rgb="FF63BE7B"/>
        <color rgb="FFFFEB84"/>
        <color rgb="FFF8696B"/>
      </colorScale>
    </cfRule>
  </conditionalFormatting>
  <conditionalFormatting sqref="V2">
    <cfRule type="colorScale" priority="21">
      <colorScale>
        <cfvo type="min"/>
        <cfvo type="percentile" val="50"/>
        <cfvo type="max"/>
        <color rgb="FF63BE7B"/>
        <color rgb="FFFFEB84"/>
        <color rgb="FFF8696B"/>
      </colorScale>
    </cfRule>
  </conditionalFormatting>
  <conditionalFormatting sqref="B1:B1048576">
    <cfRule type="colorScale" priority="23">
      <colorScale>
        <cfvo type="min"/>
        <cfvo type="percentile" val="50"/>
        <cfvo type="max"/>
        <color rgb="FF63BE7B"/>
        <color rgb="FFFFEB84"/>
        <color rgb="FFF8696B"/>
      </colorScale>
    </cfRule>
  </conditionalFormatting>
  <conditionalFormatting sqref="C1:C1048576">
    <cfRule type="colorScale" priority="24">
      <colorScale>
        <cfvo type="min"/>
        <cfvo type="percentile" val="50"/>
        <cfvo type="max"/>
        <color rgb="FFF8696B"/>
        <color rgb="FFFFEB84"/>
        <color rgb="FF63BE7B"/>
      </colorScale>
    </cfRule>
  </conditionalFormatting>
  <conditionalFormatting sqref="D1:D1048576">
    <cfRule type="colorScale" priority="25">
      <colorScale>
        <cfvo type="min"/>
        <cfvo type="percentile" val="50"/>
        <cfvo type="max"/>
        <color rgb="FF63BE7B"/>
        <color rgb="FFFFEB84"/>
        <color rgb="FFF8696B"/>
      </colorScale>
    </cfRule>
  </conditionalFormatting>
  <conditionalFormatting sqref="G1:G1048576">
    <cfRule type="colorScale" priority="2">
      <colorScale>
        <cfvo type="min"/>
        <cfvo type="percentile" val="50"/>
        <cfvo type="max"/>
        <color rgb="FFF8696B"/>
        <color rgb="FFFFEB84"/>
        <color rgb="FF63BE7B"/>
      </colorScale>
    </cfRule>
  </conditionalFormatting>
  <conditionalFormatting sqref="F1:F1048576">
    <cfRule type="colorScale" priority="26">
      <colorScale>
        <cfvo type="min"/>
        <cfvo type="percentile" val="50"/>
        <cfvo type="max"/>
        <color rgb="FF63BE7B"/>
        <color rgb="FFFFEB84"/>
        <color rgb="FFF8696B"/>
      </colorScale>
    </cfRule>
  </conditionalFormatting>
  <conditionalFormatting sqref="I1:I1048576">
    <cfRule type="colorScale" priority="1">
      <colorScale>
        <cfvo type="min"/>
        <cfvo type="percentile" val="50"/>
        <cfvo type="max"/>
        <color rgb="FF63BE7B"/>
        <color rgb="FFFFEB84"/>
        <color rgb="FFF8696B"/>
      </colorScale>
    </cfRule>
  </conditionalFormatting>
  <conditionalFormatting sqref="B2:B8">
    <cfRule type="colorScale" priority="1311">
      <colorScale>
        <cfvo type="min"/>
        <cfvo type="percentile" val="50"/>
        <cfvo type="max"/>
        <color rgb="FF63BE7B"/>
        <color rgb="FFFFEB84"/>
        <color rgb="FFF8696B"/>
      </colorScale>
    </cfRule>
  </conditionalFormatting>
  <conditionalFormatting sqref="D3:D8">
    <cfRule type="colorScale" priority="1312">
      <colorScale>
        <cfvo type="min"/>
        <cfvo type="percentile" val="50"/>
        <cfvo type="max"/>
        <color rgb="FF63BE7B"/>
        <color rgb="FFFFEB84"/>
        <color rgb="FFF8696B"/>
      </colorScale>
    </cfRule>
  </conditionalFormatting>
  <conditionalFormatting sqref="E3:F8">
    <cfRule type="colorScale" priority="1313">
      <colorScale>
        <cfvo type="min"/>
        <cfvo type="percentile" val="50"/>
        <cfvo type="max"/>
        <color rgb="FFF8696B"/>
        <color rgb="FFFFEB84"/>
        <color rgb="FF63BE7B"/>
      </colorScale>
    </cfRule>
  </conditionalFormatting>
  <conditionalFormatting sqref="X3:X8">
    <cfRule type="colorScale" priority="1314">
      <colorScale>
        <cfvo type="min"/>
        <cfvo type="percentile" val="50"/>
        <cfvo type="max"/>
        <color rgb="FFF8696B"/>
        <color rgb="FFFFEB84"/>
        <color rgb="FF63BE7B"/>
      </colorScale>
    </cfRule>
  </conditionalFormatting>
  <conditionalFormatting sqref="C3:C8">
    <cfRule type="colorScale" priority="1315">
      <colorScale>
        <cfvo type="min"/>
        <cfvo type="percentile" val="50"/>
        <cfvo type="max"/>
        <color rgb="FFF8696B"/>
        <color rgb="FFFFEB84"/>
        <color rgb="FF63BE7B"/>
      </colorScale>
    </cfRule>
  </conditionalFormatting>
  <conditionalFormatting sqref="G3:L8">
    <cfRule type="colorScale" priority="1316">
      <colorScale>
        <cfvo type="min"/>
        <cfvo type="percentile" val="50"/>
        <cfvo type="max"/>
        <color rgb="FFF8696B"/>
        <color rgb="FFFFEB84"/>
        <color rgb="FF63BE7B"/>
      </colorScale>
    </cfRule>
  </conditionalFormatting>
  <pageMargins left="0.7" right="0.7" top="0.75" bottom="0.75" header="0.3" footer="0.3"/>
  <pageSetup paperSize="9" orientation="portrait" horizontalDpi="90" verticalDpi="9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1425DA-D1AA-4D4E-98C5-5AF1AEE92D93}">
  <dimension ref="B2:H7"/>
  <sheetViews>
    <sheetView showGridLines="0" workbookViewId="0">
      <selection activeCell="B6" sqref="B3:B6"/>
    </sheetView>
  </sheetViews>
  <sheetFormatPr defaultRowHeight="14.5" x14ac:dyDescent="0.35"/>
  <cols>
    <col min="2" max="2" width="41.36328125" bestFit="1" customWidth="1"/>
    <col min="3" max="3" width="9.6328125" bestFit="1" customWidth="1"/>
    <col min="4" max="4" width="14.08984375" bestFit="1" customWidth="1"/>
    <col min="5" max="5" width="17.81640625" bestFit="1" customWidth="1"/>
    <col min="6" max="6" width="10.08984375" bestFit="1" customWidth="1"/>
    <col min="7" max="7" width="13.1796875" bestFit="1" customWidth="1"/>
    <col min="8" max="8" width="13.81640625" bestFit="1" customWidth="1"/>
  </cols>
  <sheetData>
    <row r="2" spans="2:8" x14ac:dyDescent="0.35">
      <c r="B2" s="79" t="s">
        <v>243</v>
      </c>
      <c r="C2" s="79" t="s">
        <v>171</v>
      </c>
      <c r="D2" s="79" t="s">
        <v>155</v>
      </c>
      <c r="E2" s="79" t="s">
        <v>175</v>
      </c>
      <c r="F2" s="79" t="s">
        <v>176</v>
      </c>
      <c r="G2" s="6" t="s">
        <v>179</v>
      </c>
      <c r="H2" s="83" t="s">
        <v>181</v>
      </c>
    </row>
    <row r="3" spans="2:8" x14ac:dyDescent="0.35">
      <c r="B3" t="s">
        <v>259</v>
      </c>
      <c r="C3" t="s">
        <v>172</v>
      </c>
      <c r="D3" s="6">
        <v>188.1</v>
      </c>
      <c r="E3" s="80">
        <v>1000</v>
      </c>
      <c r="F3" s="81">
        <v>5.3163211057947901</v>
      </c>
      <c r="G3" s="6">
        <v>482.53588516746419</v>
      </c>
      <c r="H3" s="83">
        <v>0.48253588516746421</v>
      </c>
    </row>
    <row r="4" spans="2:8" x14ac:dyDescent="0.35">
      <c r="B4" t="s">
        <v>258</v>
      </c>
      <c r="C4" t="s">
        <v>174</v>
      </c>
      <c r="D4" s="6">
        <v>327.85</v>
      </c>
      <c r="E4" s="80">
        <v>1000</v>
      </c>
      <c r="F4" s="81">
        <v>3.0501753850846423</v>
      </c>
      <c r="G4" s="6">
        <v>-330.48650297392106</v>
      </c>
      <c r="H4" s="83">
        <v>-0.33048650297392107</v>
      </c>
    </row>
    <row r="5" spans="2:8" x14ac:dyDescent="0.35">
      <c r="B5" t="s">
        <v>257</v>
      </c>
      <c r="C5" t="s">
        <v>174</v>
      </c>
      <c r="D5" s="6">
        <v>933.2</v>
      </c>
      <c r="E5" s="80">
        <v>1000</v>
      </c>
      <c r="F5" s="81">
        <v>1.0715816545220744</v>
      </c>
      <c r="G5" s="6">
        <v>-205.12751821688818</v>
      </c>
      <c r="H5" s="83">
        <v>-0.20512751821688818</v>
      </c>
    </row>
    <row r="6" spans="2:8" x14ac:dyDescent="0.35">
      <c r="B6" t="s">
        <v>256</v>
      </c>
      <c r="C6" t="s">
        <v>174</v>
      </c>
      <c r="D6" s="6">
        <v>529.75</v>
      </c>
      <c r="E6" s="80">
        <v>1000</v>
      </c>
      <c r="F6" s="81">
        <v>1.8876828692779613</v>
      </c>
      <c r="G6" s="6">
        <v>-298.77300613496925</v>
      </c>
      <c r="H6" s="83">
        <v>-0.29877300613496927</v>
      </c>
    </row>
    <row r="7" spans="2:8" x14ac:dyDescent="0.35">
      <c r="B7" t="s">
        <v>180</v>
      </c>
      <c r="G7" s="6">
        <v>-351.8511421583143</v>
      </c>
      <c r="H7" s="83">
        <v>-0.35185114215831431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D9C7AC-99F0-456F-BA5D-091942863084}">
  <sheetPr codeName="Sheet6"/>
  <dimension ref="A2:AC15"/>
  <sheetViews>
    <sheetView showGridLines="0" zoomScaleNormal="100" workbookViewId="0">
      <pane xSplit="1" topLeftCell="T1" activePane="topRight" state="frozen"/>
      <selection activeCell="C8" sqref="C8"/>
      <selection pane="topRight" activeCell="Y3" sqref="Y3:Z15"/>
    </sheetView>
  </sheetViews>
  <sheetFormatPr defaultRowHeight="14.5" x14ac:dyDescent="0.35"/>
  <cols>
    <col min="1" max="1" width="45.7265625" bestFit="1" customWidth="1"/>
    <col min="2" max="2" width="6.08984375" bestFit="1" customWidth="1"/>
    <col min="3" max="3" width="18.08984375" style="5" bestFit="1" customWidth="1"/>
    <col min="4" max="4" width="7.26953125" style="13" bestFit="1" customWidth="1"/>
    <col min="5" max="5" width="8.26953125" style="13" bestFit="1" customWidth="1"/>
    <col min="6" max="6" width="11.81640625" style="13" bestFit="1" customWidth="1"/>
    <col min="7" max="7" width="6.81640625" style="5" bestFit="1" customWidth="1"/>
    <col min="8" max="8" width="7.6328125" style="5" bestFit="1" customWidth="1"/>
    <col min="9" max="9" width="11.81640625" style="13" bestFit="1" customWidth="1"/>
    <col min="10" max="10" width="13.453125" style="13" bestFit="1" customWidth="1"/>
    <col min="11" max="11" width="14.1796875" style="13" bestFit="1" customWidth="1"/>
    <col min="12" max="12" width="15.90625" style="13" bestFit="1" customWidth="1"/>
    <col min="13" max="13" width="15.453125" style="6" bestFit="1" customWidth="1"/>
    <col min="14" max="14" width="15.90625" style="6" bestFit="1" customWidth="1"/>
    <col min="15" max="15" width="15.54296875" style="6" bestFit="1" customWidth="1"/>
    <col min="16" max="16" width="8.54296875" style="3" bestFit="1" customWidth="1"/>
    <col min="17" max="17" width="11.08984375" style="13" bestFit="1" customWidth="1"/>
    <col min="18" max="18" width="23.1796875" style="13" bestFit="1" customWidth="1"/>
    <col min="19" max="19" width="16" bestFit="1" customWidth="1"/>
    <col min="20" max="20" width="11.54296875" bestFit="1" customWidth="1"/>
    <col min="21" max="21" width="12.6328125" bestFit="1" customWidth="1"/>
    <col min="22" max="22" width="18.54296875" bestFit="1" customWidth="1"/>
    <col min="23" max="23" width="21" bestFit="1" customWidth="1"/>
    <col min="24" max="24" width="7.36328125" bestFit="1" customWidth="1"/>
    <col min="25" max="25" width="10" bestFit="1" customWidth="1"/>
    <col min="26" max="26" width="19.08984375" style="23" bestFit="1" customWidth="1"/>
    <col min="27" max="28" width="10.08984375" bestFit="1" customWidth="1"/>
    <col min="29" max="29" width="12" bestFit="1" customWidth="1"/>
  </cols>
  <sheetData>
    <row r="2" spans="1:29" x14ac:dyDescent="0.35">
      <c r="A2" s="38" t="s">
        <v>243</v>
      </c>
      <c r="B2" s="16" t="s">
        <v>62</v>
      </c>
      <c r="C2" s="17" t="s">
        <v>47</v>
      </c>
      <c r="D2" s="19" t="s">
        <v>57</v>
      </c>
      <c r="E2" s="19" t="s">
        <v>216</v>
      </c>
      <c r="F2" s="19" t="s">
        <v>217</v>
      </c>
      <c r="G2" s="58" t="s">
        <v>73</v>
      </c>
      <c r="H2" s="58" t="s">
        <v>182</v>
      </c>
      <c r="I2" s="59" t="s">
        <v>97</v>
      </c>
      <c r="J2" s="59" t="s">
        <v>236</v>
      </c>
      <c r="K2" s="59" t="s">
        <v>214</v>
      </c>
      <c r="L2" s="59" t="s">
        <v>237</v>
      </c>
      <c r="M2" s="18" t="s">
        <v>155</v>
      </c>
      <c r="N2" s="18" t="s">
        <v>156</v>
      </c>
      <c r="O2" s="18" t="s">
        <v>157</v>
      </c>
      <c r="P2" s="60" t="s">
        <v>161</v>
      </c>
      <c r="Q2" s="16" t="s">
        <v>162</v>
      </c>
      <c r="R2" s="17" t="s">
        <v>238</v>
      </c>
      <c r="S2" s="19" t="s">
        <v>239</v>
      </c>
      <c r="T2" s="58" t="s">
        <v>164</v>
      </c>
      <c r="U2" s="58" t="s">
        <v>240</v>
      </c>
      <c r="V2" s="59" t="s">
        <v>241</v>
      </c>
      <c r="W2" s="59" t="s">
        <v>242</v>
      </c>
      <c r="X2" s="60" t="s">
        <v>168</v>
      </c>
      <c r="Y2" s="61" t="s">
        <v>171</v>
      </c>
      <c r="Z2" s="62" t="s">
        <v>175</v>
      </c>
      <c r="AA2" s="4" t="s">
        <v>176</v>
      </c>
      <c r="AB2" s="10" t="s">
        <v>177</v>
      </c>
      <c r="AC2" s="10" t="s">
        <v>178</v>
      </c>
    </row>
    <row r="3" spans="1:29" x14ac:dyDescent="0.35">
      <c r="A3" s="37" t="s">
        <v>266</v>
      </c>
      <c r="B3" s="16">
        <v>86.43</v>
      </c>
      <c r="C3" s="17">
        <v>0.62760000000000005</v>
      </c>
      <c r="D3" s="19">
        <v>84.8</v>
      </c>
      <c r="E3" s="19">
        <v>81.37</v>
      </c>
      <c r="F3" s="19">
        <f>IF(OR(Table22456[[#This Row],[P/C]]&lt;=0,Table22456[[#This Row],[P/E]]&lt;=0),100,Table22456[[#This Row],[P/E]]-Table22456[[#This Row],[P/C]])</f>
        <v>3.4299999999999926</v>
      </c>
      <c r="G3" s="17">
        <v>0.45300000000000001</v>
      </c>
      <c r="H3" s="17">
        <v>0.70930000000000004</v>
      </c>
      <c r="I3" s="19">
        <v>1.51</v>
      </c>
      <c r="J3" s="19">
        <f>ABS(IF(Table22456[[#This Row],[CFO/PAT]]&lt;0,100,1-Table22456[[#This Row],[CFO/PAT]]))</f>
        <v>0.51</v>
      </c>
      <c r="K3" s="19">
        <v>0.01</v>
      </c>
      <c r="L3" s="19">
        <f>ABS(IF(Table22456[[#This Row],[Debt Equity]]&lt;0,100,0-Table22456[[#This Row],[Debt Equity]]))</f>
        <v>0.01</v>
      </c>
      <c r="M3" s="20">
        <v>17322.150000000001</v>
      </c>
      <c r="N3" s="20">
        <v>18301</v>
      </c>
      <c r="O3" s="20">
        <v>10126.450000000001</v>
      </c>
      <c r="P3" s="17">
        <f>(N3-M3)/M3</f>
        <v>5.6508574282060742E-2</v>
      </c>
      <c r="Q3" s="19">
        <f t="shared" ref="Q3:Q15" si="0">IF(LEFT(B3,1)="0",4,IF(LEFT(B3,1)="1",3,IF(LEFT(B3,1)="2",2,IF(LEFT(B3,1)="3",1,0))))</f>
        <v>0</v>
      </c>
      <c r="R3" s="19">
        <f t="shared" ref="R3:R15" si="1">IF(C3&gt;0.7,4,IF(AND(C3&lt;0.7,C3&gt;0.65),3,IF(AND(C3&lt;0.65,C3&gt;0.6),2,IF(AND(C3&lt;0.6,C3&gt;0.55),1,0))))</f>
        <v>2</v>
      </c>
      <c r="S3" s="19">
        <f t="shared" ref="S3:S15" si="2">IF(F3&lt;10,4,IF(AND(F3&lt;15,F3&gt;10),3,IF(AND(F3&lt;20,F3&gt;15),2,IF(AND(F3&lt;30,F3&gt;20),1,0))))</f>
        <v>4</v>
      </c>
      <c r="T3" s="14">
        <f t="shared" ref="T3:T15" si="3">IF(G3&gt;0.25,4,IF(AND(G3&lt;0.25,G3&gt;0.2),3,IF(AND(G3&lt;0.2,G3&gt;0.15),2,IF(AND(G3&lt;0.15,G3&gt;0.1),1,0))))</f>
        <v>4</v>
      </c>
      <c r="U3" s="14">
        <f t="shared" ref="U3:U15" si="4">IF(H3&gt;0.25,4,IF(AND(H3&lt;0.25,H3&gt;0.2),3,IF(AND(H3&lt;0.2,H3&gt;0.15),2,IF(AND(H3&lt;0.15,H3&gt;0.1),1,0))))</f>
        <v>4</v>
      </c>
      <c r="V3" s="14">
        <f t="shared" ref="V3:V15" si="5">IF(J3&lt;0.15,4,IF(AND(J3&lt;0.3,J3&gt;0.15),3,IF(AND(J3&lt;0.45,J3&gt;0.3),2,IF(AND(J3&lt;0.6,J3&gt;0.45),1,0))))</f>
        <v>1</v>
      </c>
      <c r="W3" s="19">
        <f t="shared" ref="W3:W15" si="6">IF(L3=0,4,IF(AND(L3&lt;0.1,L3&gt;0),3,IF(AND(L3&lt;0.2,L3&gt;0.1),2,IF(AND(L3&lt;0.3,L3&gt;0.2),1,0))))</f>
        <v>3</v>
      </c>
      <c r="X3" s="22">
        <f t="shared" ref="X3:X15" si="7">SUM(Q3:W3)/28</f>
        <v>0.6428571428571429</v>
      </c>
      <c r="Y3" s="10" t="s">
        <v>173</v>
      </c>
      <c r="Z3" s="24">
        <v>1000</v>
      </c>
      <c r="AA3" s="14">
        <f t="shared" ref="AA3:AA15" si="8">Z3/M3</f>
        <v>5.772955435670514E-2</v>
      </c>
      <c r="AB3" s="25">
        <f t="shared" ref="AB3:AB15" si="9">AA3*(N3*(IF(Y3="Low",0.9,IF(Y3="Medium",0.75,0.5)))-M3)</f>
        <v>-207.61856928845444</v>
      </c>
      <c r="AC3" s="63">
        <f>IFERROR(AB3/Z3,0)</f>
        <v>-0.20761856928845443</v>
      </c>
    </row>
    <row r="4" spans="1:29" x14ac:dyDescent="0.35">
      <c r="A4" s="37" t="s">
        <v>267</v>
      </c>
      <c r="B4" s="16">
        <v>17.079999999999998</v>
      </c>
      <c r="C4" s="17">
        <v>0.50629999999999997</v>
      </c>
      <c r="D4" s="19">
        <v>51.38</v>
      </c>
      <c r="E4" s="19">
        <v>58.91</v>
      </c>
      <c r="F4" s="19">
        <f>IF(OR(Table22456[[#This Row],[P/C]]&lt;=0,Table22456[[#This Row],[P/E]]&lt;=0),100,Table22456[[#This Row],[P/E]]-Table22456[[#This Row],[P/C]])</f>
        <v>-7.529999999999994</v>
      </c>
      <c r="G4" s="17">
        <v>0.30320000000000003</v>
      </c>
      <c r="H4" s="17">
        <v>0.44359999999999999</v>
      </c>
      <c r="I4" s="19">
        <v>0.95</v>
      </c>
      <c r="J4" s="19">
        <f>ABS(IF(Table22456[[#This Row],[CFO/PAT]]&lt;0,100,1-Table22456[[#This Row],[CFO/PAT]]))</f>
        <v>5.0000000000000044E-2</v>
      </c>
      <c r="K4" s="19">
        <v>0.04</v>
      </c>
      <c r="L4" s="19">
        <f>ABS(IF(Table22456[[#This Row],[Debt Equity]]&lt;0,100,0-Table22456[[#This Row],[Debt Equity]]))</f>
        <v>0.04</v>
      </c>
      <c r="M4" s="20">
        <v>2831.3</v>
      </c>
      <c r="N4" s="20">
        <v>3443.9</v>
      </c>
      <c r="O4" s="20">
        <v>2100.5500000000002</v>
      </c>
      <c r="P4" s="17">
        <f t="shared" ref="P4:P15" si="10">(N4-M4)/M4</f>
        <v>0.21636703987567543</v>
      </c>
      <c r="Q4" s="19">
        <f t="shared" si="0"/>
        <v>3</v>
      </c>
      <c r="R4" s="19">
        <f t="shared" si="1"/>
        <v>0</v>
      </c>
      <c r="S4" s="19">
        <f t="shared" si="2"/>
        <v>4</v>
      </c>
      <c r="T4" s="14">
        <f t="shared" si="3"/>
        <v>4</v>
      </c>
      <c r="U4" s="14">
        <f t="shared" si="4"/>
        <v>4</v>
      </c>
      <c r="V4" s="14">
        <f t="shared" si="5"/>
        <v>4</v>
      </c>
      <c r="W4" s="19">
        <f t="shared" si="6"/>
        <v>3</v>
      </c>
      <c r="X4" s="22">
        <f t="shared" si="7"/>
        <v>0.7857142857142857</v>
      </c>
      <c r="Y4" s="10" t="s">
        <v>172</v>
      </c>
      <c r="Z4" s="24">
        <v>1000</v>
      </c>
      <c r="AA4" s="14">
        <f t="shared" si="8"/>
        <v>0.35319464556917313</v>
      </c>
      <c r="AB4" s="25">
        <f t="shared" si="9"/>
        <v>94.73033588810793</v>
      </c>
      <c r="AC4" s="63">
        <f t="shared" ref="AC4:AC15" si="11">IFERROR(AB4/Z4,0)</f>
        <v>9.4730335888107933E-2</v>
      </c>
    </row>
    <row r="5" spans="1:29" x14ac:dyDescent="0.35">
      <c r="A5" s="37" t="s">
        <v>268</v>
      </c>
      <c r="B5" s="16">
        <v>10.19</v>
      </c>
      <c r="C5" s="17">
        <v>0.72460000000000002</v>
      </c>
      <c r="D5" s="19">
        <v>39.130000000000003</v>
      </c>
      <c r="E5" s="19">
        <v>67.39</v>
      </c>
      <c r="F5" s="19">
        <f>IF(OR(Table22456[[#This Row],[P/C]]&lt;=0,Table22456[[#This Row],[P/E]]&lt;=0),100,Table22456[[#This Row],[P/E]]-Table22456[[#This Row],[P/C]])</f>
        <v>-28.259999999999998</v>
      </c>
      <c r="G5" s="17">
        <v>0.25929999999999997</v>
      </c>
      <c r="H5" s="17">
        <v>0.3992</v>
      </c>
      <c r="I5" s="19">
        <v>0.9</v>
      </c>
      <c r="J5" s="19">
        <f>ABS(IF(Table22456[[#This Row],[CFO/PAT]]&lt;0,100,1-Table22456[[#This Row],[CFO/PAT]]))</f>
        <v>9.9999999999999978E-2</v>
      </c>
      <c r="K5" s="19">
        <v>0</v>
      </c>
      <c r="L5" s="19">
        <f>ABS(IF(Table22456[[#This Row],[Debt Equity]]&lt;0,100,0-Table22456[[#This Row],[Debt Equity]]))</f>
        <v>0</v>
      </c>
      <c r="M5" s="20">
        <v>10753.65</v>
      </c>
      <c r="N5" s="20">
        <v>11290</v>
      </c>
      <c r="O5" s="20">
        <v>6905</v>
      </c>
      <c r="P5" s="17">
        <f t="shared" si="10"/>
        <v>4.987608858387621E-2</v>
      </c>
      <c r="Q5" s="19">
        <f t="shared" si="0"/>
        <v>3</v>
      </c>
      <c r="R5" s="19">
        <f t="shared" si="1"/>
        <v>4</v>
      </c>
      <c r="S5" s="19">
        <f t="shared" si="2"/>
        <v>4</v>
      </c>
      <c r="T5" s="14">
        <f t="shared" si="3"/>
        <v>4</v>
      </c>
      <c r="U5" s="14">
        <f t="shared" si="4"/>
        <v>4</v>
      </c>
      <c r="V5" s="14">
        <f t="shared" si="5"/>
        <v>4</v>
      </c>
      <c r="W5" s="19">
        <f t="shared" si="6"/>
        <v>4</v>
      </c>
      <c r="X5" s="22">
        <f t="shared" si="7"/>
        <v>0.9642857142857143</v>
      </c>
      <c r="Y5" s="10" t="s">
        <v>172</v>
      </c>
      <c r="Z5" s="24">
        <v>1000</v>
      </c>
      <c r="AA5" s="14">
        <f t="shared" si="8"/>
        <v>9.2991681894054573E-2</v>
      </c>
      <c r="AB5" s="25">
        <f t="shared" si="9"/>
        <v>-55.111520274511406</v>
      </c>
      <c r="AC5" s="63">
        <f t="shared" si="11"/>
        <v>-5.5111520274511404E-2</v>
      </c>
    </row>
    <row r="6" spans="1:29" x14ac:dyDescent="0.35">
      <c r="A6" s="37" t="s">
        <v>269</v>
      </c>
      <c r="B6" s="16">
        <v>10.17</v>
      </c>
      <c r="C6" s="17">
        <v>0.59599999999999997</v>
      </c>
      <c r="D6" s="19">
        <v>31.56</v>
      </c>
      <c r="E6" s="19">
        <v>38.07</v>
      </c>
      <c r="F6" s="19">
        <f>IF(OR(Table22456[[#This Row],[P/C]]&lt;=0,Table22456[[#This Row],[P/E]]&lt;=0),100,Table22456[[#This Row],[P/E]]-Table22456[[#This Row],[P/C]])</f>
        <v>-6.5100000000000016</v>
      </c>
      <c r="G6" s="17">
        <v>0.41220000000000001</v>
      </c>
      <c r="H6" s="17">
        <v>0.41510000000000002</v>
      </c>
      <c r="I6" s="19">
        <v>0.93</v>
      </c>
      <c r="J6" s="19">
        <f>ABS(IF(Table22456[[#This Row],[CFO/PAT]]&lt;0,100,1-Table22456[[#This Row],[CFO/PAT]]))</f>
        <v>6.9999999999999951E-2</v>
      </c>
      <c r="K6" s="19">
        <v>0.12</v>
      </c>
      <c r="L6" s="19">
        <f>ABS(IF(Table22456[[#This Row],[Debt Equity]]&lt;0,100,0-Table22456[[#This Row],[Debt Equity]]))</f>
        <v>0.12</v>
      </c>
      <c r="M6" s="20">
        <v>300.2</v>
      </c>
      <c r="N6" s="20">
        <v>403.7</v>
      </c>
      <c r="O6" s="20">
        <v>233.8</v>
      </c>
      <c r="P6" s="17">
        <f t="shared" si="10"/>
        <v>0.34477015323117921</v>
      </c>
      <c r="Q6" s="19">
        <f t="shared" si="0"/>
        <v>3</v>
      </c>
      <c r="R6" s="19">
        <f t="shared" si="1"/>
        <v>1</v>
      </c>
      <c r="S6" s="19">
        <f t="shared" si="2"/>
        <v>4</v>
      </c>
      <c r="T6" s="14">
        <f t="shared" si="3"/>
        <v>4</v>
      </c>
      <c r="U6" s="14">
        <f t="shared" si="4"/>
        <v>4</v>
      </c>
      <c r="V6" s="14">
        <f t="shared" si="5"/>
        <v>4</v>
      </c>
      <c r="W6" s="19">
        <f t="shared" si="6"/>
        <v>2</v>
      </c>
      <c r="X6" s="22">
        <f t="shared" si="7"/>
        <v>0.7857142857142857</v>
      </c>
      <c r="Y6" s="10" t="s">
        <v>172</v>
      </c>
      <c r="Z6" s="24">
        <v>1000</v>
      </c>
      <c r="AA6" s="14">
        <f t="shared" si="8"/>
        <v>3.3311125916055966</v>
      </c>
      <c r="AB6" s="25">
        <f t="shared" si="9"/>
        <v>210.29313790806131</v>
      </c>
      <c r="AC6" s="63">
        <f t="shared" si="11"/>
        <v>0.21029313790806131</v>
      </c>
    </row>
    <row r="7" spans="1:29" x14ac:dyDescent="0.35">
      <c r="A7" s="37" t="s">
        <v>270</v>
      </c>
      <c r="B7" s="16">
        <v>17.27</v>
      </c>
      <c r="C7" s="17">
        <v>0.4194</v>
      </c>
      <c r="D7" s="19">
        <v>62.79</v>
      </c>
      <c r="E7" s="19">
        <v>48.02</v>
      </c>
      <c r="F7" s="19">
        <f>IF(OR(Table22456[[#This Row],[P/C]]&lt;=0,Table22456[[#This Row],[P/E]]&lt;=0),100,Table22456[[#This Row],[P/E]]-Table22456[[#This Row],[P/C]])</f>
        <v>14.769999999999996</v>
      </c>
      <c r="G7" s="17">
        <v>0.28660000000000002</v>
      </c>
      <c r="H7" s="17">
        <v>0.43940000000000001</v>
      </c>
      <c r="I7" s="19">
        <v>2.3199999999999998</v>
      </c>
      <c r="J7" s="19">
        <f>ABS(IF(Table22456[[#This Row],[CFO/PAT]]&lt;0,100,1-Table22456[[#This Row],[CFO/PAT]]))</f>
        <v>1.3199999999999998</v>
      </c>
      <c r="K7" s="19">
        <v>0</v>
      </c>
      <c r="L7" s="19">
        <f>ABS(IF(Table22456[[#This Row],[Debt Equity]]&lt;0,100,0-Table22456[[#This Row],[Debt Equity]]))</f>
        <v>0</v>
      </c>
      <c r="M7" s="20">
        <v>1548.85</v>
      </c>
      <c r="N7" s="20">
        <v>1973.05</v>
      </c>
      <c r="O7" s="20">
        <v>1078.05</v>
      </c>
      <c r="P7" s="17">
        <f t="shared" si="10"/>
        <v>0.27388062110598188</v>
      </c>
      <c r="Q7" s="19">
        <f t="shared" si="0"/>
        <v>3</v>
      </c>
      <c r="R7" s="19">
        <f t="shared" si="1"/>
        <v>0</v>
      </c>
      <c r="S7" s="19">
        <f t="shared" si="2"/>
        <v>3</v>
      </c>
      <c r="T7" s="14">
        <f t="shared" si="3"/>
        <v>4</v>
      </c>
      <c r="U7" s="14">
        <f t="shared" si="4"/>
        <v>4</v>
      </c>
      <c r="V7" s="14">
        <f t="shared" si="5"/>
        <v>0</v>
      </c>
      <c r="W7" s="19">
        <f t="shared" si="6"/>
        <v>4</v>
      </c>
      <c r="X7" s="22">
        <f t="shared" si="7"/>
        <v>0.6428571428571429</v>
      </c>
      <c r="Y7" s="10" t="s">
        <v>173</v>
      </c>
      <c r="Z7" s="24">
        <v>1000</v>
      </c>
      <c r="AA7" s="14">
        <f t="shared" si="8"/>
        <v>0.64564031378119258</v>
      </c>
      <c r="AB7" s="25">
        <f t="shared" si="9"/>
        <v>-44.589534170513609</v>
      </c>
      <c r="AC7" s="63">
        <f t="shared" si="11"/>
        <v>-4.458953417051361E-2</v>
      </c>
    </row>
    <row r="8" spans="1:29" x14ac:dyDescent="0.35">
      <c r="A8" s="37" t="s">
        <v>271</v>
      </c>
      <c r="B8" s="16">
        <v>10.119999999999999</v>
      </c>
      <c r="C8" s="17">
        <v>0.73580000000000001</v>
      </c>
      <c r="D8" s="19">
        <v>67.599999999999994</v>
      </c>
      <c r="E8" s="19">
        <v>22.45</v>
      </c>
      <c r="F8" s="19">
        <f>IF(OR(Table22456[[#This Row],[P/C]]&lt;=0,Table22456[[#This Row],[P/E]]&lt;=0),100,Table22456[[#This Row],[P/E]]-Table22456[[#This Row],[P/C]])</f>
        <v>45.149999999999991</v>
      </c>
      <c r="G8" s="17">
        <v>0.1963</v>
      </c>
      <c r="H8" s="17">
        <v>0.14119999999999999</v>
      </c>
      <c r="I8" s="19">
        <v>2.94</v>
      </c>
      <c r="J8" s="19">
        <f>ABS(IF(Table22456[[#This Row],[CFO/PAT]]&lt;0,100,1-Table22456[[#This Row],[CFO/PAT]]))</f>
        <v>1.94</v>
      </c>
      <c r="K8" s="19">
        <v>1.28</v>
      </c>
      <c r="L8" s="19">
        <f>ABS(IF(Table22456[[#This Row],[Debt Equity]]&lt;0,100,0-Table22456[[#This Row],[Debt Equity]]))</f>
        <v>1.28</v>
      </c>
      <c r="M8" s="20">
        <v>520.65</v>
      </c>
      <c r="N8" s="20">
        <v>774.9</v>
      </c>
      <c r="O8" s="20">
        <v>375.05</v>
      </c>
      <c r="P8" s="17">
        <f>(N8-M8)/M8</f>
        <v>0.48833189282627487</v>
      </c>
      <c r="Q8" s="19">
        <f t="shared" si="0"/>
        <v>3</v>
      </c>
      <c r="R8" s="19">
        <f t="shared" si="1"/>
        <v>4</v>
      </c>
      <c r="S8" s="19">
        <f t="shared" si="2"/>
        <v>0</v>
      </c>
      <c r="T8" s="14">
        <f t="shared" si="3"/>
        <v>2</v>
      </c>
      <c r="U8" s="14">
        <f t="shared" si="4"/>
        <v>1</v>
      </c>
      <c r="V8" s="14">
        <f t="shared" si="5"/>
        <v>0</v>
      </c>
      <c r="W8" s="19">
        <f t="shared" si="6"/>
        <v>0</v>
      </c>
      <c r="X8" s="22">
        <f t="shared" si="7"/>
        <v>0.35714285714285715</v>
      </c>
      <c r="Y8" s="10" t="s">
        <v>174</v>
      </c>
      <c r="Z8" s="24">
        <v>0</v>
      </c>
      <c r="AA8" s="14">
        <f t="shared" si="8"/>
        <v>0</v>
      </c>
      <c r="AB8" s="25">
        <f t="shared" si="9"/>
        <v>0</v>
      </c>
      <c r="AC8" s="63">
        <f t="shared" si="11"/>
        <v>0</v>
      </c>
    </row>
    <row r="9" spans="1:29" x14ac:dyDescent="0.35">
      <c r="A9" s="37" t="s">
        <v>272</v>
      </c>
      <c r="B9" s="16">
        <v>2.42</v>
      </c>
      <c r="C9" s="17">
        <v>0.98870000000000002</v>
      </c>
      <c r="D9" s="19">
        <v>1.01</v>
      </c>
      <c r="E9" s="19">
        <v>32.65</v>
      </c>
      <c r="F9" s="19">
        <f>IF(OR(Table22456[[#This Row],[P/C]]&lt;=0,Table22456[[#This Row],[P/E]]&lt;=0),100,Table22456[[#This Row],[P/E]]-Table22456[[#This Row],[P/C]])</f>
        <v>-31.639999999999997</v>
      </c>
      <c r="G9" s="17">
        <v>0</v>
      </c>
      <c r="H9" s="17">
        <v>3.39E-2</v>
      </c>
      <c r="I9" s="19">
        <v>-1.1499999999999999</v>
      </c>
      <c r="J9" s="19">
        <f>ABS(IF(Table22456[[#This Row],[CFO/PAT]]&lt;0,100,1-Table22456[[#This Row],[CFO/PAT]]))</f>
        <v>100</v>
      </c>
      <c r="K9" s="19">
        <v>-1.64</v>
      </c>
      <c r="L9" s="19">
        <f>ABS(IF(Table22456[[#This Row],[Debt Equity]]&lt;0,100,0-Table22456[[#This Row],[Debt Equity]]))</f>
        <v>100</v>
      </c>
      <c r="M9" s="20">
        <v>264.60000000000002</v>
      </c>
      <c r="N9" s="20">
        <v>264.60000000000002</v>
      </c>
      <c r="O9" s="20">
        <v>3.28</v>
      </c>
      <c r="P9" s="17">
        <f t="shared" si="10"/>
        <v>0</v>
      </c>
      <c r="Q9" s="19">
        <f t="shared" si="0"/>
        <v>2</v>
      </c>
      <c r="R9" s="19">
        <f t="shared" si="1"/>
        <v>4</v>
      </c>
      <c r="S9" s="19">
        <f t="shared" si="2"/>
        <v>4</v>
      </c>
      <c r="T9" s="14">
        <f t="shared" si="3"/>
        <v>0</v>
      </c>
      <c r="U9" s="14">
        <f t="shared" si="4"/>
        <v>0</v>
      </c>
      <c r="V9" s="14">
        <f t="shared" si="5"/>
        <v>0</v>
      </c>
      <c r="W9" s="19">
        <f t="shared" si="6"/>
        <v>0</v>
      </c>
      <c r="X9" s="22">
        <f t="shared" si="7"/>
        <v>0.35714285714285715</v>
      </c>
      <c r="Y9" s="10" t="s">
        <v>174</v>
      </c>
      <c r="Z9" s="24">
        <v>1000</v>
      </c>
      <c r="AA9" s="14">
        <f t="shared" si="8"/>
        <v>3.7792894935752077</v>
      </c>
      <c r="AB9" s="25">
        <f t="shared" si="9"/>
        <v>-500</v>
      </c>
      <c r="AC9" s="63">
        <f t="shared" si="11"/>
        <v>-0.5</v>
      </c>
    </row>
    <row r="10" spans="1:29" x14ac:dyDescent="0.35">
      <c r="A10" s="37" t="s">
        <v>273</v>
      </c>
      <c r="B10" s="16">
        <v>2.2599999999999998</v>
      </c>
      <c r="C10" s="17">
        <v>0.67720000000000002</v>
      </c>
      <c r="D10" s="19">
        <v>57.37</v>
      </c>
      <c r="E10" s="19">
        <v>51.82</v>
      </c>
      <c r="F10" s="19">
        <f>IF(OR(Table22456[[#This Row],[P/C]]&lt;=0,Table22456[[#This Row],[P/E]]&lt;=0),100,Table22456[[#This Row],[P/E]]-Table22456[[#This Row],[P/C]])</f>
        <v>5.5499999999999972</v>
      </c>
      <c r="G10" s="17">
        <v>8.4000000000000005E-2</v>
      </c>
      <c r="H10" s="17">
        <v>7.0800000000000002E-2</v>
      </c>
      <c r="I10" s="19">
        <v>0.72</v>
      </c>
      <c r="J10" s="19">
        <f>ABS(IF(Table22456[[#This Row],[CFO/PAT]]&lt;0,100,1-Table22456[[#This Row],[CFO/PAT]]))</f>
        <v>0.28000000000000003</v>
      </c>
      <c r="K10" s="19">
        <v>0.46</v>
      </c>
      <c r="L10" s="19">
        <f>ABS(IF(Table22456[[#This Row],[Debt Equity]]&lt;0,100,0-Table22456[[#This Row],[Debt Equity]]))</f>
        <v>0.46</v>
      </c>
      <c r="M10" s="20">
        <v>1342.4</v>
      </c>
      <c r="N10" s="20">
        <v>1858.8</v>
      </c>
      <c r="O10" s="20">
        <v>1070</v>
      </c>
      <c r="P10" s="17">
        <f t="shared" si="10"/>
        <v>0.38468414779499394</v>
      </c>
      <c r="Q10" s="19">
        <f t="shared" si="0"/>
        <v>2</v>
      </c>
      <c r="R10" s="19">
        <f t="shared" si="1"/>
        <v>3</v>
      </c>
      <c r="S10" s="19">
        <f t="shared" si="2"/>
        <v>4</v>
      </c>
      <c r="T10" s="14">
        <f t="shared" si="3"/>
        <v>0</v>
      </c>
      <c r="U10" s="14">
        <f t="shared" si="4"/>
        <v>0</v>
      </c>
      <c r="V10" s="14">
        <f t="shared" si="5"/>
        <v>3</v>
      </c>
      <c r="W10" s="19">
        <f t="shared" si="6"/>
        <v>0</v>
      </c>
      <c r="X10" s="22">
        <f t="shared" si="7"/>
        <v>0.42857142857142855</v>
      </c>
      <c r="Y10" s="10" t="s">
        <v>174</v>
      </c>
      <c r="Z10" s="24">
        <v>1000</v>
      </c>
      <c r="AA10" s="14">
        <f t="shared" si="8"/>
        <v>0.74493444576877232</v>
      </c>
      <c r="AB10" s="25">
        <f t="shared" si="9"/>
        <v>-307.65792610250304</v>
      </c>
      <c r="AC10" s="63">
        <f t="shared" si="11"/>
        <v>-0.30765792610250303</v>
      </c>
    </row>
    <row r="11" spans="1:29" x14ac:dyDescent="0.35">
      <c r="A11" s="37" t="s">
        <v>274</v>
      </c>
      <c r="B11" s="16">
        <v>1.68</v>
      </c>
      <c r="C11" s="17">
        <v>0.59130000000000005</v>
      </c>
      <c r="D11" s="19">
        <v>9.43</v>
      </c>
      <c r="E11" s="19">
        <v>-45.08</v>
      </c>
      <c r="F11" s="19">
        <f>IF(OR(Table22456[[#This Row],[P/C]]&lt;=0,Table22456[[#This Row],[P/E]]&lt;=0),100,Table22456[[#This Row],[P/E]]-Table22456[[#This Row],[P/C]])</f>
        <v>100</v>
      </c>
      <c r="G11" s="17">
        <v>0.2006</v>
      </c>
      <c r="H11" s="17">
        <v>0.20830000000000001</v>
      </c>
      <c r="I11" s="19">
        <v>0.67</v>
      </c>
      <c r="J11" s="19">
        <f>ABS(IF(Table22456[[#This Row],[CFO/PAT]]&lt;0,100,1-Table22456[[#This Row],[CFO/PAT]]))</f>
        <v>0.32999999999999996</v>
      </c>
      <c r="K11" s="19">
        <v>0.52</v>
      </c>
      <c r="L11" s="19">
        <f>ABS(IF(Table22456[[#This Row],[Debt Equity]]&lt;0,100,0-Table22456[[#This Row],[Debt Equity]]))</f>
        <v>0.52</v>
      </c>
      <c r="M11" s="20">
        <v>218.8</v>
      </c>
      <c r="N11" s="20">
        <v>365</v>
      </c>
      <c r="O11" s="20">
        <v>91.25</v>
      </c>
      <c r="P11" s="17">
        <f t="shared" si="10"/>
        <v>0.6681901279707495</v>
      </c>
      <c r="Q11" s="19">
        <f t="shared" si="0"/>
        <v>3</v>
      </c>
      <c r="R11" s="19">
        <f t="shared" si="1"/>
        <v>1</v>
      </c>
      <c r="S11" s="19">
        <f t="shared" si="2"/>
        <v>0</v>
      </c>
      <c r="T11" s="14">
        <f t="shared" si="3"/>
        <v>3</v>
      </c>
      <c r="U11" s="14">
        <f t="shared" si="4"/>
        <v>3</v>
      </c>
      <c r="V11" s="14">
        <f t="shared" si="5"/>
        <v>2</v>
      </c>
      <c r="W11" s="19">
        <f t="shared" si="6"/>
        <v>0</v>
      </c>
      <c r="X11" s="22">
        <f t="shared" si="7"/>
        <v>0.42857142857142855</v>
      </c>
      <c r="Y11" s="10" t="s">
        <v>174</v>
      </c>
      <c r="Z11" s="24">
        <v>0</v>
      </c>
      <c r="AA11" s="14">
        <f t="shared" si="8"/>
        <v>0</v>
      </c>
      <c r="AB11" s="25">
        <f t="shared" si="9"/>
        <v>0</v>
      </c>
      <c r="AC11" s="63">
        <f t="shared" si="11"/>
        <v>0</v>
      </c>
    </row>
    <row r="12" spans="1:29" x14ac:dyDescent="0.35">
      <c r="A12" s="37" t="s">
        <v>275</v>
      </c>
      <c r="B12" s="16">
        <v>5.94</v>
      </c>
      <c r="C12" s="17">
        <v>0.61870000000000003</v>
      </c>
      <c r="D12" s="19">
        <v>76.290000000000006</v>
      </c>
      <c r="E12" s="19">
        <v>-407.78</v>
      </c>
      <c r="F12" s="19">
        <f>IF(OR(Table22456[[#This Row],[P/C]]&lt;=0,Table22456[[#This Row],[P/E]]&lt;=0),100,Table22456[[#This Row],[P/E]]-Table22456[[#This Row],[P/C]])</f>
        <v>100</v>
      </c>
      <c r="G12" s="17">
        <v>0.2019</v>
      </c>
      <c r="H12" s="17">
        <v>0.1799</v>
      </c>
      <c r="I12" s="19">
        <v>-0.16400000000000001</v>
      </c>
      <c r="J12" s="19">
        <f>ABS(IF(Table22456[[#This Row],[CFO/PAT]]&lt;0,100,1-Table22456[[#This Row],[CFO/PAT]]))</f>
        <v>100</v>
      </c>
      <c r="K12" s="19">
        <v>1.06</v>
      </c>
      <c r="L12" s="19">
        <f>ABS(IF(Table22456[[#This Row],[Debt Equity]]&lt;0,100,0-Table22456[[#This Row],[Debt Equity]]))</f>
        <v>1.06</v>
      </c>
      <c r="M12" s="20">
        <v>579</v>
      </c>
      <c r="N12" s="20">
        <v>750</v>
      </c>
      <c r="O12" s="20">
        <v>330</v>
      </c>
      <c r="P12" s="17">
        <f t="shared" si="10"/>
        <v>0.29533678756476683</v>
      </c>
      <c r="Q12" s="19">
        <f t="shared" si="0"/>
        <v>0</v>
      </c>
      <c r="R12" s="19">
        <f t="shared" si="1"/>
        <v>2</v>
      </c>
      <c r="S12" s="19">
        <f t="shared" si="2"/>
        <v>0</v>
      </c>
      <c r="T12" s="14">
        <f t="shared" si="3"/>
        <v>3</v>
      </c>
      <c r="U12" s="14">
        <f t="shared" si="4"/>
        <v>2</v>
      </c>
      <c r="V12" s="14">
        <f t="shared" si="5"/>
        <v>0</v>
      </c>
      <c r="W12" s="19">
        <f t="shared" si="6"/>
        <v>0</v>
      </c>
      <c r="X12" s="22">
        <f t="shared" si="7"/>
        <v>0.25</v>
      </c>
      <c r="Y12" s="10" t="s">
        <v>174</v>
      </c>
      <c r="Z12" s="24">
        <v>1000</v>
      </c>
      <c r="AA12" s="14">
        <f t="shared" si="8"/>
        <v>1.7271157167530224</v>
      </c>
      <c r="AB12" s="25">
        <f t="shared" si="9"/>
        <v>-352.33160621761658</v>
      </c>
      <c r="AC12" s="63">
        <f t="shared" si="11"/>
        <v>-0.35233160621761656</v>
      </c>
    </row>
    <row r="13" spans="1:29" x14ac:dyDescent="0.35">
      <c r="A13" s="37" t="s">
        <v>276</v>
      </c>
      <c r="B13" s="16">
        <v>10.87</v>
      </c>
      <c r="C13" s="17">
        <v>0.51770000000000005</v>
      </c>
      <c r="D13" s="19">
        <v>31.75</v>
      </c>
      <c r="E13" s="19">
        <v>39.04</v>
      </c>
      <c r="F13" s="19">
        <f>IF(OR(Table22456[[#This Row],[P/C]]&lt;=0,Table22456[[#This Row],[P/E]]&lt;=0),100,Table22456[[#This Row],[P/E]]-Table22456[[#This Row],[P/C]])</f>
        <v>-7.2899999999999991</v>
      </c>
      <c r="G13" s="17">
        <v>0.1002</v>
      </c>
      <c r="H13" s="17">
        <v>0.14330000000000001</v>
      </c>
      <c r="I13" s="19">
        <v>1.35</v>
      </c>
      <c r="J13" s="19">
        <f>ABS(IF(Table22456[[#This Row],[CFO/PAT]]&lt;0,100,1-Table22456[[#This Row],[CFO/PAT]]))</f>
        <v>0.35000000000000009</v>
      </c>
      <c r="K13" s="19">
        <v>0</v>
      </c>
      <c r="L13" s="19">
        <f>ABS(IF(Table22456[[#This Row],[Debt Equity]]&lt;0,100,0-Table22456[[#This Row],[Debt Equity]]))</f>
        <v>0</v>
      </c>
      <c r="M13" s="20">
        <v>501.4</v>
      </c>
      <c r="N13" s="20">
        <v>738.1</v>
      </c>
      <c r="O13" s="20">
        <v>350</v>
      </c>
      <c r="P13" s="17">
        <f t="shared" si="10"/>
        <v>0.47207818109293986</v>
      </c>
      <c r="Q13" s="19">
        <f t="shared" si="0"/>
        <v>3</v>
      </c>
      <c r="R13" s="19">
        <f t="shared" si="1"/>
        <v>0</v>
      </c>
      <c r="S13" s="19">
        <f t="shared" si="2"/>
        <v>4</v>
      </c>
      <c r="T13" s="14">
        <f t="shared" si="3"/>
        <v>1</v>
      </c>
      <c r="U13" s="14">
        <f t="shared" si="4"/>
        <v>1</v>
      </c>
      <c r="V13" s="14">
        <f t="shared" si="5"/>
        <v>2</v>
      </c>
      <c r="W13" s="19">
        <f t="shared" si="6"/>
        <v>4</v>
      </c>
      <c r="X13" s="22">
        <f t="shared" si="7"/>
        <v>0.5357142857142857</v>
      </c>
      <c r="Y13" s="10" t="s">
        <v>173</v>
      </c>
      <c r="Z13" s="24">
        <v>0</v>
      </c>
      <c r="AA13" s="14">
        <f t="shared" si="8"/>
        <v>0</v>
      </c>
      <c r="AB13" s="25">
        <f t="shared" si="9"/>
        <v>0</v>
      </c>
      <c r="AC13" s="63">
        <f t="shared" si="11"/>
        <v>0</v>
      </c>
    </row>
    <row r="14" spans="1:29" x14ac:dyDescent="0.35">
      <c r="A14" s="37" t="s">
        <v>277</v>
      </c>
      <c r="B14" s="21">
        <v>5.25</v>
      </c>
      <c r="C14" s="17">
        <v>0.68430000000000002</v>
      </c>
      <c r="D14" s="19">
        <v>37.270000000000003</v>
      </c>
      <c r="E14" s="19">
        <v>13.39</v>
      </c>
      <c r="F14" s="19">
        <f>IF(OR(Table22456[[#This Row],[P/C]]&lt;=0,Table22456[[#This Row],[P/E]]&lt;=0),100,Table22456[[#This Row],[P/E]]-Table22456[[#This Row],[P/C]])</f>
        <v>23.880000000000003</v>
      </c>
      <c r="G14" s="17">
        <v>0.1757</v>
      </c>
      <c r="H14" s="17">
        <v>0.1759</v>
      </c>
      <c r="I14" s="19">
        <v>6.71</v>
      </c>
      <c r="J14" s="19">
        <f>ABS(IF(Table22456[[#This Row],[CFO/PAT]]&lt;0,100,1-Table22456[[#This Row],[CFO/PAT]]))</f>
        <v>5.71</v>
      </c>
      <c r="K14" s="19">
        <v>1.03</v>
      </c>
      <c r="L14" s="19">
        <f>ABS(IF(Table22456[[#This Row],[Debt Equity]]&lt;0,100,0-Table22456[[#This Row],[Debt Equity]]))</f>
        <v>1.03</v>
      </c>
      <c r="M14" s="18">
        <v>605.5</v>
      </c>
      <c r="N14" s="18">
        <v>869.9</v>
      </c>
      <c r="O14" s="18">
        <v>485.05</v>
      </c>
      <c r="P14" s="17">
        <f t="shared" si="10"/>
        <v>0.43666391412056149</v>
      </c>
      <c r="Q14" s="19">
        <f t="shared" si="0"/>
        <v>0</v>
      </c>
      <c r="R14" s="19">
        <f t="shared" si="1"/>
        <v>3</v>
      </c>
      <c r="S14" s="19">
        <f t="shared" si="2"/>
        <v>1</v>
      </c>
      <c r="T14" s="14">
        <f t="shared" si="3"/>
        <v>2</v>
      </c>
      <c r="U14" s="14">
        <f t="shared" si="4"/>
        <v>2</v>
      </c>
      <c r="V14" s="14">
        <f t="shared" si="5"/>
        <v>0</v>
      </c>
      <c r="W14" s="19">
        <f t="shared" si="6"/>
        <v>0</v>
      </c>
      <c r="X14" s="22">
        <f t="shared" si="7"/>
        <v>0.2857142857142857</v>
      </c>
      <c r="Y14" s="10" t="s">
        <v>174</v>
      </c>
      <c r="Z14" s="24">
        <v>0</v>
      </c>
      <c r="AA14" s="14">
        <f t="shared" si="8"/>
        <v>0</v>
      </c>
      <c r="AB14" s="25">
        <f t="shared" si="9"/>
        <v>0</v>
      </c>
      <c r="AC14" s="63">
        <f t="shared" si="11"/>
        <v>0</v>
      </c>
    </row>
    <row r="15" spans="1:29" x14ac:dyDescent="0.35">
      <c r="A15" s="45" t="s">
        <v>235</v>
      </c>
      <c r="B15" s="16">
        <v>1.45</v>
      </c>
      <c r="C15" s="17">
        <v>0.66839999999999999</v>
      </c>
      <c r="D15" s="19">
        <v>9.41</v>
      </c>
      <c r="E15" s="19">
        <v>7.94</v>
      </c>
      <c r="F15" s="19">
        <f>IF(OR(Table22456[[#This Row],[P/C]]&lt;=0,Table22456[[#This Row],[P/E]]&lt;=0),100,Table22456[[#This Row],[P/E]]-Table22456[[#This Row],[P/C]])</f>
        <v>1.4699999999999998</v>
      </c>
      <c r="G15" s="17">
        <v>0.14630000000000001</v>
      </c>
      <c r="H15" s="17">
        <v>0.1489</v>
      </c>
      <c r="I15" s="19">
        <v>1.31</v>
      </c>
      <c r="J15" s="19">
        <f>ABS(IF(Table22456[[#This Row],[CFO/PAT]]&lt;0,100,1-Table22456[[#This Row],[CFO/PAT]]))</f>
        <v>0.31000000000000005</v>
      </c>
      <c r="K15" s="19">
        <v>0.53</v>
      </c>
      <c r="L15" s="19">
        <f>ABS(IF(Table22456[[#This Row],[Debt Equity]]&lt;0,100,0-Table22456[[#This Row],[Debt Equity]]))</f>
        <v>0.53</v>
      </c>
      <c r="M15" s="20">
        <v>189.1</v>
      </c>
      <c r="N15" s="20">
        <v>326.64999999999998</v>
      </c>
      <c r="O15" s="20">
        <v>121.25</v>
      </c>
      <c r="P15" s="17">
        <f t="shared" si="10"/>
        <v>0.72739291380222093</v>
      </c>
      <c r="Q15" s="19">
        <f t="shared" si="0"/>
        <v>3</v>
      </c>
      <c r="R15" s="19">
        <f t="shared" si="1"/>
        <v>3</v>
      </c>
      <c r="S15" s="19">
        <f t="shared" si="2"/>
        <v>4</v>
      </c>
      <c r="T15" s="14">
        <f t="shared" si="3"/>
        <v>1</v>
      </c>
      <c r="U15" s="14">
        <f t="shared" si="4"/>
        <v>1</v>
      </c>
      <c r="V15" s="14">
        <f t="shared" si="5"/>
        <v>2</v>
      </c>
      <c r="W15" s="19">
        <f t="shared" si="6"/>
        <v>0</v>
      </c>
      <c r="X15" s="22">
        <f t="shared" si="7"/>
        <v>0.5</v>
      </c>
      <c r="Y15" s="10" t="s">
        <v>173</v>
      </c>
      <c r="Z15" s="24">
        <v>0</v>
      </c>
      <c r="AA15" s="14">
        <f t="shared" si="8"/>
        <v>0</v>
      </c>
      <c r="AB15" s="25">
        <f t="shared" si="9"/>
        <v>0</v>
      </c>
      <c r="AC15" s="63">
        <f t="shared" si="11"/>
        <v>0</v>
      </c>
    </row>
  </sheetData>
  <conditionalFormatting sqref="E1:E1048576">
    <cfRule type="colorScale" priority="15">
      <colorScale>
        <cfvo type="min"/>
        <cfvo type="percentile" val="50"/>
        <cfvo type="max"/>
        <color rgb="FF63BE7B"/>
        <color rgb="FFFFEB84"/>
        <color rgb="FFF8696B"/>
      </colorScale>
    </cfRule>
  </conditionalFormatting>
  <conditionalFormatting sqref="H1:H1048576">
    <cfRule type="colorScale" priority="14">
      <colorScale>
        <cfvo type="min"/>
        <cfvo type="percentile" val="50"/>
        <cfvo type="max"/>
        <color rgb="FFF8696B"/>
        <color rgb="FFFFEB84"/>
        <color rgb="FF63BE7B"/>
      </colorScale>
    </cfRule>
  </conditionalFormatting>
  <conditionalFormatting sqref="J1:J1048576">
    <cfRule type="colorScale" priority="13">
      <colorScale>
        <cfvo type="min"/>
        <cfvo type="percentile" val="50"/>
        <cfvo type="max"/>
        <color rgb="FF63BE7B"/>
        <color rgb="FFFFEB84"/>
        <color rgb="FFF8696B"/>
      </colorScale>
    </cfRule>
  </conditionalFormatting>
  <conditionalFormatting sqref="K1:L1048576">
    <cfRule type="colorScale" priority="12">
      <colorScale>
        <cfvo type="min"/>
        <cfvo type="percentile" val="50"/>
        <cfvo type="max"/>
        <color rgb="FF63BE7B"/>
        <color rgb="FFFFEB84"/>
        <color rgb="FFF8696B"/>
      </colorScale>
    </cfRule>
  </conditionalFormatting>
  <conditionalFormatting sqref="L1:L1048576">
    <cfRule type="colorScale" priority="11">
      <colorScale>
        <cfvo type="min"/>
        <cfvo type="percentile" val="50"/>
        <cfvo type="max"/>
        <color rgb="FF63BE7B"/>
        <color rgb="FFFFEB84"/>
        <color rgb="FFF8696B"/>
      </colorScale>
    </cfRule>
  </conditionalFormatting>
  <conditionalFormatting sqref="Q2">
    <cfRule type="colorScale" priority="10">
      <colorScale>
        <cfvo type="min"/>
        <cfvo type="percentile" val="50"/>
        <cfvo type="max"/>
        <color rgb="FF63BE7B"/>
        <color rgb="FFFFEB84"/>
        <color rgb="FFF8696B"/>
      </colorScale>
    </cfRule>
  </conditionalFormatting>
  <conditionalFormatting sqref="Q2">
    <cfRule type="colorScale" priority="9">
      <colorScale>
        <cfvo type="min"/>
        <cfvo type="percentile" val="50"/>
        <cfvo type="max"/>
        <color rgb="FF63BE7B"/>
        <color rgb="FFFFEB84"/>
        <color rgb="FFF8696B"/>
      </colorScale>
    </cfRule>
  </conditionalFormatting>
  <conditionalFormatting sqref="R2">
    <cfRule type="colorScale" priority="8">
      <colorScale>
        <cfvo type="min"/>
        <cfvo type="percentile" val="50"/>
        <cfvo type="max"/>
        <color rgb="FFF8696B"/>
        <color rgb="FFFFEB84"/>
        <color rgb="FF63BE7B"/>
      </colorScale>
    </cfRule>
  </conditionalFormatting>
  <conditionalFormatting sqref="S2">
    <cfRule type="colorScale" priority="7">
      <colorScale>
        <cfvo type="min"/>
        <cfvo type="percentile" val="50"/>
        <cfvo type="max"/>
        <color rgb="FF63BE7B"/>
        <color rgb="FFFFEB84"/>
        <color rgb="FFF8696B"/>
      </colorScale>
    </cfRule>
  </conditionalFormatting>
  <conditionalFormatting sqref="U2">
    <cfRule type="colorScale" priority="5">
      <colorScale>
        <cfvo type="min"/>
        <cfvo type="percentile" val="50"/>
        <cfvo type="max"/>
        <color rgb="FFF8696B"/>
        <color rgb="FFFFEB84"/>
        <color rgb="FF63BE7B"/>
      </colorScale>
    </cfRule>
  </conditionalFormatting>
  <conditionalFormatting sqref="T2">
    <cfRule type="colorScale" priority="6">
      <colorScale>
        <cfvo type="min"/>
        <cfvo type="percentile" val="50"/>
        <cfvo type="max"/>
        <color rgb="FFF8696B"/>
        <color rgb="FFFFEB84"/>
        <color rgb="FF63BE7B"/>
      </colorScale>
    </cfRule>
  </conditionalFormatting>
  <conditionalFormatting sqref="W2">
    <cfRule type="colorScale" priority="4">
      <colorScale>
        <cfvo type="min"/>
        <cfvo type="percentile" val="50"/>
        <cfvo type="max"/>
        <color rgb="FF63BE7B"/>
        <color rgb="FFFFEB84"/>
        <color rgb="FFF8696B"/>
      </colorScale>
    </cfRule>
  </conditionalFormatting>
  <conditionalFormatting sqref="W2">
    <cfRule type="colorScale" priority="3">
      <colorScale>
        <cfvo type="min"/>
        <cfvo type="percentile" val="50"/>
        <cfvo type="max"/>
        <color rgb="FF63BE7B"/>
        <color rgb="FFFFEB84"/>
        <color rgb="FFF8696B"/>
      </colorScale>
    </cfRule>
  </conditionalFormatting>
  <conditionalFormatting sqref="V2">
    <cfRule type="colorScale" priority="21">
      <colorScale>
        <cfvo type="min"/>
        <cfvo type="percentile" val="50"/>
        <cfvo type="max"/>
        <color rgb="FF63BE7B"/>
        <color rgb="FFFFEB84"/>
        <color rgb="FFF8696B"/>
      </colorScale>
    </cfRule>
  </conditionalFormatting>
  <conditionalFormatting sqref="B1:B1048576">
    <cfRule type="colorScale" priority="23">
      <colorScale>
        <cfvo type="min"/>
        <cfvo type="percentile" val="50"/>
        <cfvo type="max"/>
        <color rgb="FF63BE7B"/>
        <color rgb="FFFFEB84"/>
        <color rgb="FFF8696B"/>
      </colorScale>
    </cfRule>
  </conditionalFormatting>
  <conditionalFormatting sqref="C1:C1048576">
    <cfRule type="colorScale" priority="24">
      <colorScale>
        <cfvo type="min"/>
        <cfvo type="percentile" val="50"/>
        <cfvo type="max"/>
        <color rgb="FFF8696B"/>
        <color rgb="FFFFEB84"/>
        <color rgb="FF63BE7B"/>
      </colorScale>
    </cfRule>
  </conditionalFormatting>
  <conditionalFormatting sqref="D1:D1048576">
    <cfRule type="colorScale" priority="25">
      <colorScale>
        <cfvo type="min"/>
        <cfvo type="percentile" val="50"/>
        <cfvo type="max"/>
        <color rgb="FF63BE7B"/>
        <color rgb="FFFFEB84"/>
        <color rgb="FFF8696B"/>
      </colorScale>
    </cfRule>
  </conditionalFormatting>
  <conditionalFormatting sqref="G1:G1048576">
    <cfRule type="colorScale" priority="2">
      <colorScale>
        <cfvo type="min"/>
        <cfvo type="percentile" val="50"/>
        <cfvo type="max"/>
        <color rgb="FFF8696B"/>
        <color rgb="FFFFEB84"/>
        <color rgb="FF63BE7B"/>
      </colorScale>
    </cfRule>
  </conditionalFormatting>
  <conditionalFormatting sqref="F1:F1048576">
    <cfRule type="colorScale" priority="26">
      <colorScale>
        <cfvo type="min"/>
        <cfvo type="percentile" val="50"/>
        <cfvo type="max"/>
        <color rgb="FF63BE7B"/>
        <color rgb="FFFFEB84"/>
        <color rgb="FFF8696B"/>
      </colorScale>
    </cfRule>
  </conditionalFormatting>
  <conditionalFormatting sqref="I1:I1048576">
    <cfRule type="colorScale" priority="1">
      <colorScale>
        <cfvo type="min"/>
        <cfvo type="percentile" val="50"/>
        <cfvo type="max"/>
        <color rgb="FF63BE7B"/>
        <color rgb="FFFFEB84"/>
        <color rgb="FFF8696B"/>
      </colorScale>
    </cfRule>
  </conditionalFormatting>
  <conditionalFormatting sqref="B2:B15">
    <cfRule type="colorScale" priority="296">
      <colorScale>
        <cfvo type="min"/>
        <cfvo type="percentile" val="50"/>
        <cfvo type="max"/>
        <color rgb="FF63BE7B"/>
        <color rgb="FFFFEB84"/>
        <color rgb="FFF8696B"/>
      </colorScale>
    </cfRule>
  </conditionalFormatting>
  <conditionalFormatting sqref="D3:D15">
    <cfRule type="colorScale" priority="298">
      <colorScale>
        <cfvo type="min"/>
        <cfvo type="percentile" val="50"/>
        <cfvo type="max"/>
        <color rgb="FF63BE7B"/>
        <color rgb="FFFFEB84"/>
        <color rgb="FFF8696B"/>
      </colorScale>
    </cfRule>
  </conditionalFormatting>
  <conditionalFormatting sqref="E3:F15">
    <cfRule type="colorScale" priority="300">
      <colorScale>
        <cfvo type="min"/>
        <cfvo type="percentile" val="50"/>
        <cfvo type="max"/>
        <color rgb="FFF8696B"/>
        <color rgb="FFFFEB84"/>
        <color rgb="FF63BE7B"/>
      </colorScale>
    </cfRule>
  </conditionalFormatting>
  <conditionalFormatting sqref="X3:X15">
    <cfRule type="colorScale" priority="302">
      <colorScale>
        <cfvo type="min"/>
        <cfvo type="percentile" val="50"/>
        <cfvo type="max"/>
        <color rgb="FFF8696B"/>
        <color rgb="FFFFEB84"/>
        <color rgb="FF63BE7B"/>
      </colorScale>
    </cfRule>
  </conditionalFormatting>
  <conditionalFormatting sqref="C3:C15">
    <cfRule type="colorScale" priority="304">
      <colorScale>
        <cfvo type="min"/>
        <cfvo type="percentile" val="50"/>
        <cfvo type="max"/>
        <color rgb="FFF8696B"/>
        <color rgb="FFFFEB84"/>
        <color rgb="FF63BE7B"/>
      </colorScale>
    </cfRule>
  </conditionalFormatting>
  <conditionalFormatting sqref="G3:L15">
    <cfRule type="colorScale" priority="306">
      <colorScale>
        <cfvo type="min"/>
        <cfvo type="percentile" val="50"/>
        <cfvo type="max"/>
        <color rgb="FFF8696B"/>
        <color rgb="FFFFEB84"/>
        <color rgb="FF63BE7B"/>
      </colorScale>
    </cfRule>
  </conditionalFormatting>
  <pageMargins left="0.7" right="0.7" top="0.75" bottom="0.75" header="0.3" footer="0.3"/>
  <pageSetup paperSize="9" orientation="portrait" horizontalDpi="90" verticalDpi="9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A18A7-9E52-4FE9-9582-A724C41027A6}">
  <dimension ref="B2:G16"/>
  <sheetViews>
    <sheetView showGridLines="0" workbookViewId="0">
      <selection activeCell="B3" sqref="B3:B15"/>
    </sheetView>
  </sheetViews>
  <sheetFormatPr defaultRowHeight="14.5" x14ac:dyDescent="0.35"/>
  <cols>
    <col min="2" max="2" width="87.36328125" bestFit="1" customWidth="1"/>
    <col min="3" max="3" width="12.453125" bestFit="1" customWidth="1"/>
    <col min="4" max="4" width="13.81640625" bestFit="1" customWidth="1"/>
    <col min="5" max="5" width="17.81640625" bestFit="1" customWidth="1"/>
    <col min="6" max="6" width="13.1796875" bestFit="1" customWidth="1"/>
    <col min="7" max="7" width="13.81640625" bestFit="1" customWidth="1"/>
  </cols>
  <sheetData>
    <row r="2" spans="2:7" x14ac:dyDescent="0.35">
      <c r="B2" s="79" t="s">
        <v>243</v>
      </c>
      <c r="C2" s="79" t="s">
        <v>171</v>
      </c>
      <c r="D2" s="79" t="s">
        <v>155</v>
      </c>
      <c r="E2" s="79" t="s">
        <v>175</v>
      </c>
      <c r="F2" s="6" t="s">
        <v>179</v>
      </c>
      <c r="G2" s="83" t="s">
        <v>181</v>
      </c>
    </row>
    <row r="3" spans="2:7" x14ac:dyDescent="0.35">
      <c r="B3" t="s">
        <v>276</v>
      </c>
      <c r="C3" t="s">
        <v>173</v>
      </c>
      <c r="D3" s="6">
        <v>501.4</v>
      </c>
      <c r="E3" s="80">
        <v>0</v>
      </c>
      <c r="F3" s="6">
        <v>0</v>
      </c>
      <c r="G3" s="83">
        <v>0</v>
      </c>
    </row>
    <row r="4" spans="2:7" x14ac:dyDescent="0.35">
      <c r="B4" t="s">
        <v>267</v>
      </c>
      <c r="C4" t="s">
        <v>172</v>
      </c>
      <c r="D4" s="6">
        <v>2831.3</v>
      </c>
      <c r="E4" s="80">
        <v>1000</v>
      </c>
      <c r="F4" s="6">
        <v>94.73033588810793</v>
      </c>
      <c r="G4" s="83">
        <v>9.4730335888107933E-2</v>
      </c>
    </row>
    <row r="5" spans="2:7" x14ac:dyDescent="0.35">
      <c r="B5" t="s">
        <v>268</v>
      </c>
      <c r="C5" t="s">
        <v>172</v>
      </c>
      <c r="D5" s="6">
        <v>10753.65</v>
      </c>
      <c r="E5" s="80">
        <v>1000</v>
      </c>
      <c r="F5" s="6">
        <v>-55.111520274511406</v>
      </c>
      <c r="G5" s="83">
        <v>-5.5111520274511404E-2</v>
      </c>
    </row>
    <row r="6" spans="2:7" x14ac:dyDescent="0.35">
      <c r="B6" t="s">
        <v>271</v>
      </c>
      <c r="C6" t="s">
        <v>174</v>
      </c>
      <c r="D6" s="6">
        <v>520.65</v>
      </c>
      <c r="E6" s="80">
        <v>0</v>
      </c>
      <c r="F6" s="6">
        <v>0</v>
      </c>
      <c r="G6" s="83">
        <v>0</v>
      </c>
    </row>
    <row r="7" spans="2:7" x14ac:dyDescent="0.35">
      <c r="B7" t="s">
        <v>275</v>
      </c>
      <c r="C7" t="s">
        <v>174</v>
      </c>
      <c r="D7" s="6">
        <v>579</v>
      </c>
      <c r="E7" s="80">
        <v>1000</v>
      </c>
      <c r="F7" s="6">
        <v>-352.33160621761658</v>
      </c>
      <c r="G7" s="83">
        <v>-0.35233160621761656</v>
      </c>
    </row>
    <row r="8" spans="2:7" x14ac:dyDescent="0.35">
      <c r="B8" t="s">
        <v>270</v>
      </c>
      <c r="C8" t="s">
        <v>173</v>
      </c>
      <c r="D8" s="6">
        <v>1548.85</v>
      </c>
      <c r="E8" s="80">
        <v>1000</v>
      </c>
      <c r="F8" s="6">
        <v>-44.589534170513609</v>
      </c>
      <c r="G8" s="83">
        <v>-4.458953417051361E-2</v>
      </c>
    </row>
    <row r="9" spans="2:7" x14ac:dyDescent="0.35">
      <c r="B9" t="s">
        <v>274</v>
      </c>
      <c r="C9" t="s">
        <v>174</v>
      </c>
      <c r="D9" s="6">
        <v>218.8</v>
      </c>
      <c r="E9" s="80">
        <v>0</v>
      </c>
      <c r="F9" s="6">
        <v>0</v>
      </c>
      <c r="G9" s="83">
        <v>0</v>
      </c>
    </row>
    <row r="10" spans="2:7" x14ac:dyDescent="0.35">
      <c r="B10" t="s">
        <v>269</v>
      </c>
      <c r="C10" t="s">
        <v>172</v>
      </c>
      <c r="D10" s="6">
        <v>300.2</v>
      </c>
      <c r="E10" s="80">
        <v>1000</v>
      </c>
      <c r="F10" s="6">
        <v>210.29313790806131</v>
      </c>
      <c r="G10" s="83">
        <v>0.21029313790806131</v>
      </c>
    </row>
    <row r="11" spans="2:7" x14ac:dyDescent="0.35">
      <c r="B11" t="s">
        <v>266</v>
      </c>
      <c r="C11" t="s">
        <v>173</v>
      </c>
      <c r="D11" s="6">
        <v>17322.150000000001</v>
      </c>
      <c r="E11" s="80">
        <v>1000</v>
      </c>
      <c r="F11" s="6">
        <v>-207.61856928845444</v>
      </c>
      <c r="G11" s="83">
        <v>-0.20761856928845443</v>
      </c>
    </row>
    <row r="12" spans="2:7" x14ac:dyDescent="0.35">
      <c r="B12" t="s">
        <v>272</v>
      </c>
      <c r="C12" t="s">
        <v>174</v>
      </c>
      <c r="D12" s="6">
        <v>264.60000000000002</v>
      </c>
      <c r="E12" s="80">
        <v>1000</v>
      </c>
      <c r="F12" s="6">
        <v>-500</v>
      </c>
      <c r="G12" s="83">
        <v>-0.5</v>
      </c>
    </row>
    <row r="13" spans="2:7" x14ac:dyDescent="0.35">
      <c r="B13" t="s">
        <v>235</v>
      </c>
      <c r="C13" t="s">
        <v>173</v>
      </c>
      <c r="D13" s="6">
        <v>189.1</v>
      </c>
      <c r="E13" s="80">
        <v>0</v>
      </c>
      <c r="F13" s="6">
        <v>0</v>
      </c>
      <c r="G13" s="83">
        <v>0</v>
      </c>
    </row>
    <row r="14" spans="2:7" x14ac:dyDescent="0.35">
      <c r="B14" t="s">
        <v>277</v>
      </c>
      <c r="C14" t="s">
        <v>174</v>
      </c>
      <c r="D14" s="6">
        <v>605.5</v>
      </c>
      <c r="E14" s="80">
        <v>0</v>
      </c>
      <c r="F14" s="6">
        <v>0</v>
      </c>
      <c r="G14" s="83">
        <v>0</v>
      </c>
    </row>
    <row r="15" spans="2:7" x14ac:dyDescent="0.35">
      <c r="B15" t="s">
        <v>273</v>
      </c>
      <c r="C15" t="s">
        <v>174</v>
      </c>
      <c r="D15" s="6">
        <v>1342.4</v>
      </c>
      <c r="E15" s="80">
        <v>1000</v>
      </c>
      <c r="F15" s="6">
        <v>-307.65792610250304</v>
      </c>
      <c r="G15" s="83">
        <v>-0.30765792610250303</v>
      </c>
    </row>
    <row r="16" spans="2:7" x14ac:dyDescent="0.35">
      <c r="B16" t="s">
        <v>180</v>
      </c>
      <c r="F16" s="6">
        <v>-1162.2856822574299</v>
      </c>
      <c r="G16" s="83">
        <v>-1.1622856822574297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6E0EF2-F051-4ADB-8C20-E9D807E878B3}">
  <sheetPr codeName="Sheet7"/>
  <dimension ref="A2:AC11"/>
  <sheetViews>
    <sheetView showGridLines="0" zoomScaleNormal="100" workbookViewId="0">
      <pane xSplit="1" topLeftCell="T1" activePane="topRight" state="frozen"/>
      <selection activeCell="C8" sqref="C8"/>
      <selection pane="topRight" activeCell="Y3" sqref="Y3:Z11"/>
    </sheetView>
  </sheetViews>
  <sheetFormatPr defaultRowHeight="14.5" x14ac:dyDescent="0.35"/>
  <cols>
    <col min="1" max="1" width="45.7265625" bestFit="1" customWidth="1"/>
    <col min="2" max="2" width="6.08984375" bestFit="1" customWidth="1"/>
    <col min="3" max="3" width="18.08984375" style="5" bestFit="1" customWidth="1"/>
    <col min="4" max="4" width="7.26953125" style="13" bestFit="1" customWidth="1"/>
    <col min="5" max="5" width="8.26953125" style="13" bestFit="1" customWidth="1"/>
    <col min="6" max="6" width="11.81640625" style="13" bestFit="1" customWidth="1"/>
    <col min="7" max="7" width="7.453125" style="5" bestFit="1" customWidth="1"/>
    <col min="8" max="8" width="7.6328125" style="5" bestFit="1" customWidth="1"/>
    <col min="9" max="9" width="11.81640625" style="13" bestFit="1" customWidth="1"/>
    <col min="10" max="10" width="13.453125" style="13" bestFit="1" customWidth="1"/>
    <col min="11" max="11" width="14.1796875" style="13" bestFit="1" customWidth="1"/>
    <col min="12" max="12" width="15.90625" style="13" bestFit="1" customWidth="1"/>
    <col min="13" max="13" width="15.453125" style="6" bestFit="1" customWidth="1"/>
    <col min="14" max="14" width="15.90625" style="6" bestFit="1" customWidth="1"/>
    <col min="15" max="15" width="15.54296875" style="6" bestFit="1" customWidth="1"/>
    <col min="16" max="16" width="8.54296875" style="3" bestFit="1" customWidth="1"/>
    <col min="17" max="17" width="11.08984375" style="13" bestFit="1" customWidth="1"/>
    <col min="18" max="18" width="23.1796875" style="13" bestFit="1" customWidth="1"/>
    <col min="19" max="19" width="16" bestFit="1" customWidth="1"/>
    <col min="20" max="20" width="11.54296875" bestFit="1" customWidth="1"/>
    <col min="21" max="21" width="12.6328125" bestFit="1" customWidth="1"/>
    <col min="22" max="22" width="18.54296875" bestFit="1" customWidth="1"/>
    <col min="23" max="23" width="21" bestFit="1" customWidth="1"/>
    <col min="24" max="24" width="7.36328125" bestFit="1" customWidth="1"/>
    <col min="25" max="25" width="10" bestFit="1" customWidth="1"/>
    <col min="26" max="26" width="19.08984375" style="23" bestFit="1" customWidth="1"/>
    <col min="27" max="28" width="10.08984375" bestFit="1" customWidth="1"/>
    <col min="29" max="29" width="12" bestFit="1" customWidth="1"/>
  </cols>
  <sheetData>
    <row r="2" spans="1:29" x14ac:dyDescent="0.35">
      <c r="A2" s="38" t="s">
        <v>243</v>
      </c>
      <c r="B2" s="16" t="s">
        <v>62</v>
      </c>
      <c r="C2" s="17" t="s">
        <v>47</v>
      </c>
      <c r="D2" s="19" t="s">
        <v>57</v>
      </c>
      <c r="E2" s="19" t="s">
        <v>216</v>
      </c>
      <c r="F2" s="19" t="s">
        <v>217</v>
      </c>
      <c r="G2" s="58" t="s">
        <v>73</v>
      </c>
      <c r="H2" s="58" t="s">
        <v>182</v>
      </c>
      <c r="I2" s="59" t="s">
        <v>97</v>
      </c>
      <c r="J2" s="59" t="s">
        <v>236</v>
      </c>
      <c r="K2" s="59" t="s">
        <v>214</v>
      </c>
      <c r="L2" s="59" t="s">
        <v>237</v>
      </c>
      <c r="M2" s="18" t="s">
        <v>155</v>
      </c>
      <c r="N2" s="18" t="s">
        <v>156</v>
      </c>
      <c r="O2" s="18" t="s">
        <v>157</v>
      </c>
      <c r="P2" s="60" t="s">
        <v>161</v>
      </c>
      <c r="Q2" s="16" t="s">
        <v>162</v>
      </c>
      <c r="R2" s="17" t="s">
        <v>238</v>
      </c>
      <c r="S2" s="19" t="s">
        <v>239</v>
      </c>
      <c r="T2" s="58" t="s">
        <v>164</v>
      </c>
      <c r="U2" s="58" t="s">
        <v>240</v>
      </c>
      <c r="V2" s="59" t="s">
        <v>241</v>
      </c>
      <c r="W2" s="59" t="s">
        <v>242</v>
      </c>
      <c r="X2" s="60" t="s">
        <v>168</v>
      </c>
      <c r="Y2" s="61" t="s">
        <v>171</v>
      </c>
      <c r="Z2" s="62" t="s">
        <v>175</v>
      </c>
      <c r="AA2" s="4" t="s">
        <v>176</v>
      </c>
      <c r="AB2" s="10" t="s">
        <v>177</v>
      </c>
      <c r="AC2" s="10" t="s">
        <v>178</v>
      </c>
    </row>
    <row r="3" spans="1:29" x14ac:dyDescent="0.35">
      <c r="A3" s="37" t="s">
        <v>281</v>
      </c>
      <c r="B3" s="16">
        <v>1.99</v>
      </c>
      <c r="C3" s="17">
        <v>0</v>
      </c>
      <c r="D3" s="19">
        <v>13.41</v>
      </c>
      <c r="E3" s="19">
        <v>-27.77</v>
      </c>
      <c r="F3" s="19">
        <f>IF(OR(Table224568[[#This Row],[P/C]]&lt;=0,Table224568[[#This Row],[P/E]]&lt;=0),100,Table224568[[#This Row],[P/E]]-Table224568[[#This Row],[P/C]])</f>
        <v>100</v>
      </c>
      <c r="G3" s="17">
        <v>0.17560000000000001</v>
      </c>
      <c r="H3" s="17">
        <v>0.13780000000000001</v>
      </c>
      <c r="I3" s="19">
        <v>-0.37</v>
      </c>
      <c r="J3" s="19">
        <f>ABS(IF(Table224568[[#This Row],[CFO/PAT]]&lt;0,100,1-Table224568[[#This Row],[CFO/PAT]]))</f>
        <v>100</v>
      </c>
      <c r="K3" s="19">
        <v>2.02</v>
      </c>
      <c r="L3" s="19">
        <f>ABS(IF(Table224568[[#This Row],[Debt Equity]]&lt;0,100,0-Table224568[[#This Row],[Debt Equity]]))</f>
        <v>2.02</v>
      </c>
      <c r="M3" s="20">
        <v>933.15</v>
      </c>
      <c r="N3" s="20">
        <v>1606.7</v>
      </c>
      <c r="O3" s="20">
        <v>661.05</v>
      </c>
      <c r="P3" s="17">
        <f>(N3-M3)/M3</f>
        <v>0.72180249691903775</v>
      </c>
      <c r="Q3" s="19">
        <f t="shared" ref="Q3:Q11" si="0">IF(LEFT(B3,1)="0",4,IF(LEFT(B3,1)="1",3,IF(LEFT(B3,1)="2",2,IF(LEFT(B3,1)="3",1,0))))</f>
        <v>3</v>
      </c>
      <c r="R3" s="19">
        <f t="shared" ref="R3:R11" si="1">IF(C3&gt;0.7,4,IF(AND(C3&lt;0.7,C3&gt;0.65),3,IF(AND(C3&lt;0.65,C3&gt;0.6),2,IF(AND(C3&lt;0.6,C3&gt;0.55),1,0))))</f>
        <v>0</v>
      </c>
      <c r="S3" s="19">
        <f t="shared" ref="S3:S11" si="2">IF(F3&lt;10,4,IF(AND(F3&lt;15,F3&gt;10),3,IF(AND(F3&lt;20,F3&gt;15),2,IF(AND(F3&lt;30,F3&gt;20),1,0))))</f>
        <v>0</v>
      </c>
      <c r="T3" s="14">
        <f t="shared" ref="T3:T11" si="3">IF(G3&gt;0.25,4,IF(AND(G3&lt;0.25,G3&gt;0.2),3,IF(AND(G3&lt;0.2,G3&gt;0.15),2,IF(AND(G3&lt;0.15,G3&gt;0.1),1,0))))</f>
        <v>2</v>
      </c>
      <c r="U3" s="14">
        <f t="shared" ref="U3:U11" si="4">IF(H3&gt;0.25,4,IF(AND(H3&lt;0.25,H3&gt;0.2),3,IF(AND(H3&lt;0.2,H3&gt;0.15),2,IF(AND(H3&lt;0.15,H3&gt;0.1),1,0))))</f>
        <v>1</v>
      </c>
      <c r="V3" s="14">
        <f t="shared" ref="V3:V11" si="5">IF(J3&lt;0.15,4,IF(AND(J3&lt;0.3,J3&gt;0.15),3,IF(AND(J3&lt;0.45,J3&gt;0.3),2,IF(AND(J3&lt;0.6,J3&gt;0.45),1,0))))</f>
        <v>0</v>
      </c>
      <c r="W3" s="19">
        <f t="shared" ref="W3:W11" si="6">IF(L3=0,4,IF(AND(L3&lt;0.1,L3&gt;0),3,IF(AND(L3&lt;0.2,L3&gt;0.1),2,IF(AND(L3&lt;0.3,L3&gt;0.2),1,0))))</f>
        <v>0</v>
      </c>
      <c r="X3" s="22">
        <f t="shared" ref="X3:X11" si="7">SUM(Q3:W3)/28</f>
        <v>0.21428571428571427</v>
      </c>
      <c r="Y3" s="10" t="s">
        <v>174</v>
      </c>
      <c r="Z3" s="24">
        <v>1000</v>
      </c>
      <c r="AA3" s="14">
        <f t="shared" ref="AA3:AA11" si="8">Z3/M3</f>
        <v>1.0716390719605637</v>
      </c>
      <c r="AB3" s="25">
        <f t="shared" ref="AB3:AB11" si="9">AA3*(N3*(IF(Y3="Low",0.9,IF(Y3="Medium",0.75,0.5)))-M3)</f>
        <v>-139.09875154048112</v>
      </c>
      <c r="AC3" s="63">
        <f>IFERROR(AB3/Z3,0)</f>
        <v>-0.13909875154048112</v>
      </c>
    </row>
    <row r="4" spans="1:29" x14ac:dyDescent="0.35">
      <c r="A4" s="37" t="s">
        <v>283</v>
      </c>
      <c r="B4" s="16">
        <v>0</v>
      </c>
      <c r="C4" s="17">
        <v>0.63600000000000001</v>
      </c>
      <c r="D4" s="19">
        <v>0</v>
      </c>
      <c r="E4" s="19">
        <v>5.24</v>
      </c>
      <c r="F4" s="19">
        <f>IF(OR(Table224568[[#This Row],[P/C]]&lt;=0,Table224568[[#This Row],[P/E]]&lt;=0),100,Table224568[[#This Row],[P/E]]-Table224568[[#This Row],[P/C]])</f>
        <v>100</v>
      </c>
      <c r="G4" s="17">
        <v>-0.77400000000000002</v>
      </c>
      <c r="H4" s="17">
        <v>-2.46E-2</v>
      </c>
      <c r="I4" s="19">
        <v>-2.5299999999999998</v>
      </c>
      <c r="J4" s="19">
        <f>ABS(IF(Table224568[[#This Row],[CFO/PAT]]&lt;0,100,1-Table224568[[#This Row],[CFO/PAT]]))</f>
        <v>100</v>
      </c>
      <c r="K4" s="19">
        <v>-33.630000000000003</v>
      </c>
      <c r="L4" s="19">
        <f>ABS(IF(Table224568[[#This Row],[Debt Equity]]&lt;0,100,0-Table224568[[#This Row],[Debt Equity]]))</f>
        <v>100</v>
      </c>
      <c r="M4" s="20">
        <v>17.8</v>
      </c>
      <c r="N4" s="20">
        <v>26.55</v>
      </c>
      <c r="O4" s="20">
        <v>14.05</v>
      </c>
      <c r="P4" s="17">
        <f t="shared" ref="P4:P11" si="10">(N4-M4)/M4</f>
        <v>0.49157303370786515</v>
      </c>
      <c r="Q4" s="19">
        <f t="shared" si="0"/>
        <v>4</v>
      </c>
      <c r="R4" s="19">
        <f t="shared" si="1"/>
        <v>2</v>
      </c>
      <c r="S4" s="19">
        <f t="shared" si="2"/>
        <v>0</v>
      </c>
      <c r="T4" s="14">
        <f t="shared" si="3"/>
        <v>0</v>
      </c>
      <c r="U4" s="14">
        <f t="shared" si="4"/>
        <v>0</v>
      </c>
      <c r="V4" s="14">
        <f t="shared" si="5"/>
        <v>0</v>
      </c>
      <c r="W4" s="19">
        <f t="shared" si="6"/>
        <v>0</v>
      </c>
      <c r="X4" s="22">
        <f t="shared" si="7"/>
        <v>0.21428571428571427</v>
      </c>
      <c r="Y4" s="10" t="s">
        <v>174</v>
      </c>
      <c r="Z4" s="24">
        <v>1000</v>
      </c>
      <c r="AA4" s="14">
        <f t="shared" si="8"/>
        <v>56.179775280898873</v>
      </c>
      <c r="AB4" s="25">
        <f t="shared" si="9"/>
        <v>-254.21348314606743</v>
      </c>
      <c r="AC4" s="63">
        <f t="shared" ref="AC4:AC11" si="11">IFERROR(AB4/Z4,0)</f>
        <v>-0.25421348314606745</v>
      </c>
    </row>
    <row r="5" spans="1:29" x14ac:dyDescent="0.35">
      <c r="A5" s="37" t="s">
        <v>284</v>
      </c>
      <c r="B5" s="16">
        <v>1.76</v>
      </c>
      <c r="C5" s="17">
        <v>0.51590000000000003</v>
      </c>
      <c r="D5" s="19">
        <v>8.42</v>
      </c>
      <c r="E5" s="19">
        <v>24.2</v>
      </c>
      <c r="F5" s="19">
        <f>IF(OR(Table224568[[#This Row],[P/C]]&lt;=0,Table224568[[#This Row],[P/E]]&lt;=0),100,Table224568[[#This Row],[P/E]]-Table224568[[#This Row],[P/C]])</f>
        <v>-15.78</v>
      </c>
      <c r="G5" s="17">
        <v>0.22370000000000001</v>
      </c>
      <c r="H5" s="17">
        <v>0.2868</v>
      </c>
      <c r="I5" s="19">
        <v>1.55</v>
      </c>
      <c r="J5" s="19">
        <f>ABS(IF(Table224568[[#This Row],[CFO/PAT]]&lt;0,100,1-Table224568[[#This Row],[CFO/PAT]]))</f>
        <v>0.55000000000000004</v>
      </c>
      <c r="K5" s="19">
        <v>0.76</v>
      </c>
      <c r="L5" s="19">
        <f>ABS(IF(Table224568[[#This Row],[Debt Equity]]&lt;0,100,0-Table224568[[#This Row],[Debt Equity]]))</f>
        <v>0.76</v>
      </c>
      <c r="M5" s="20">
        <v>187.1</v>
      </c>
      <c r="N5" s="20">
        <v>358.3</v>
      </c>
      <c r="O5" s="20">
        <v>154.5</v>
      </c>
      <c r="P5" s="17">
        <f t="shared" si="10"/>
        <v>0.91501870657402473</v>
      </c>
      <c r="Q5" s="19">
        <f t="shared" si="0"/>
        <v>3</v>
      </c>
      <c r="R5" s="19">
        <f t="shared" si="1"/>
        <v>0</v>
      </c>
      <c r="S5" s="19">
        <f t="shared" si="2"/>
        <v>4</v>
      </c>
      <c r="T5" s="14">
        <f t="shared" si="3"/>
        <v>3</v>
      </c>
      <c r="U5" s="14">
        <f t="shared" si="4"/>
        <v>4</v>
      </c>
      <c r="V5" s="14">
        <f t="shared" si="5"/>
        <v>1</v>
      </c>
      <c r="W5" s="19">
        <f t="shared" si="6"/>
        <v>0</v>
      </c>
      <c r="X5" s="22">
        <f t="shared" si="7"/>
        <v>0.5357142857142857</v>
      </c>
      <c r="Y5" s="10" t="s">
        <v>174</v>
      </c>
      <c r="Z5" s="24">
        <v>1000</v>
      </c>
      <c r="AA5" s="14">
        <f t="shared" si="8"/>
        <v>5.344735435595938</v>
      </c>
      <c r="AB5" s="25">
        <f t="shared" si="9"/>
        <v>-42.490646712987648</v>
      </c>
      <c r="AC5" s="63">
        <f t="shared" si="11"/>
        <v>-4.2490646712987648E-2</v>
      </c>
    </row>
    <row r="6" spans="1:29" x14ac:dyDescent="0.35">
      <c r="A6" s="37" t="s">
        <v>285</v>
      </c>
      <c r="B6" s="16">
        <v>1.04</v>
      </c>
      <c r="C6" s="17">
        <v>0.89180000000000004</v>
      </c>
      <c r="D6" s="19">
        <v>9.2899999999999991</v>
      </c>
      <c r="E6" s="19">
        <v>-3.58</v>
      </c>
      <c r="F6" s="19">
        <f>IF(OR(Table224568[[#This Row],[P/C]]&lt;=0,Table224568[[#This Row],[P/E]]&lt;=0),100,Table224568[[#This Row],[P/E]]-Table224568[[#This Row],[P/C]])</f>
        <v>100</v>
      </c>
      <c r="G6" s="17">
        <v>0.1109</v>
      </c>
      <c r="H6" s="17">
        <v>8.8200000000000001E-2</v>
      </c>
      <c r="I6" s="19">
        <v>-0.47</v>
      </c>
      <c r="J6" s="19">
        <f>ABS(IF(Table224568[[#This Row],[CFO/PAT]]&lt;0,100,1-Table224568[[#This Row],[CFO/PAT]]))</f>
        <v>100</v>
      </c>
      <c r="K6" s="19">
        <v>0.78</v>
      </c>
      <c r="L6" s="19">
        <f>ABS(IF(Table224568[[#This Row],[Debt Equity]]&lt;0,100,0-Table224568[[#This Row],[Debt Equity]]))</f>
        <v>0.78</v>
      </c>
      <c r="M6" s="20">
        <v>92.75</v>
      </c>
      <c r="N6" s="20">
        <v>119.76</v>
      </c>
      <c r="O6" s="20">
        <v>58.2</v>
      </c>
      <c r="P6" s="17">
        <f t="shared" si="10"/>
        <v>0.29121293800539089</v>
      </c>
      <c r="Q6" s="19">
        <f t="shared" si="0"/>
        <v>3</v>
      </c>
      <c r="R6" s="19">
        <f t="shared" si="1"/>
        <v>4</v>
      </c>
      <c r="S6" s="19">
        <f t="shared" si="2"/>
        <v>0</v>
      </c>
      <c r="T6" s="14">
        <f t="shared" si="3"/>
        <v>1</v>
      </c>
      <c r="U6" s="14">
        <f t="shared" si="4"/>
        <v>0</v>
      </c>
      <c r="V6" s="14">
        <f t="shared" si="5"/>
        <v>0</v>
      </c>
      <c r="W6" s="19">
        <f t="shared" si="6"/>
        <v>0</v>
      </c>
      <c r="X6" s="22">
        <f t="shared" si="7"/>
        <v>0.2857142857142857</v>
      </c>
      <c r="Y6" s="10" t="s">
        <v>173</v>
      </c>
      <c r="Z6" s="24">
        <v>0</v>
      </c>
      <c r="AA6" s="14">
        <f t="shared" si="8"/>
        <v>0</v>
      </c>
      <c r="AB6" s="25">
        <f t="shared" si="9"/>
        <v>0</v>
      </c>
      <c r="AC6" s="63">
        <f t="shared" si="11"/>
        <v>0</v>
      </c>
    </row>
    <row r="7" spans="1:29" x14ac:dyDescent="0.35">
      <c r="A7" s="37" t="s">
        <v>286</v>
      </c>
      <c r="B7" s="16">
        <v>1.37</v>
      </c>
      <c r="C7" s="17">
        <v>0.56069999999999998</v>
      </c>
      <c r="D7" s="19">
        <v>5.37</v>
      </c>
      <c r="E7" s="19">
        <v>17.09</v>
      </c>
      <c r="F7" s="19">
        <f>IF(OR(Table224568[[#This Row],[P/C]]&lt;=0,Table224568[[#This Row],[P/E]]&lt;=0),100,Table224568[[#This Row],[P/E]]-Table224568[[#This Row],[P/C]])</f>
        <v>-11.719999999999999</v>
      </c>
      <c r="G7" s="17">
        <v>0.18890000000000001</v>
      </c>
      <c r="H7" s="17">
        <v>0.16619999999999999</v>
      </c>
      <c r="I7" s="19">
        <v>1.71</v>
      </c>
      <c r="J7" s="19">
        <f>ABS(IF(Table224568[[#This Row],[CFO/PAT]]&lt;0,100,1-Table224568[[#This Row],[CFO/PAT]]))</f>
        <v>0.71</v>
      </c>
      <c r="K7" s="19">
        <v>1.37</v>
      </c>
      <c r="L7" s="19">
        <f>ABS(IF(Table224568[[#This Row],[Debt Equity]]&lt;0,100,0-Table224568[[#This Row],[Debt Equity]]))</f>
        <v>1.37</v>
      </c>
      <c r="M7" s="20">
        <v>131.44999999999999</v>
      </c>
      <c r="N7" s="20">
        <v>219.4</v>
      </c>
      <c r="O7" s="20">
        <v>80.849999999999994</v>
      </c>
      <c r="P7" s="17">
        <f t="shared" si="10"/>
        <v>0.66907569418029689</v>
      </c>
      <c r="Q7" s="19">
        <f t="shared" si="0"/>
        <v>3</v>
      </c>
      <c r="R7" s="19">
        <f t="shared" si="1"/>
        <v>1</v>
      </c>
      <c r="S7" s="19">
        <f t="shared" si="2"/>
        <v>4</v>
      </c>
      <c r="T7" s="14">
        <f t="shared" si="3"/>
        <v>2</v>
      </c>
      <c r="U7" s="14">
        <f t="shared" si="4"/>
        <v>2</v>
      </c>
      <c r="V7" s="14">
        <f t="shared" si="5"/>
        <v>0</v>
      </c>
      <c r="W7" s="19">
        <f t="shared" si="6"/>
        <v>0</v>
      </c>
      <c r="X7" s="22">
        <f t="shared" si="7"/>
        <v>0.42857142857142855</v>
      </c>
      <c r="Y7" s="10" t="s">
        <v>174</v>
      </c>
      <c r="Z7" s="24">
        <v>1000</v>
      </c>
      <c r="AA7" s="14">
        <f t="shared" si="8"/>
        <v>7.6074553062000767</v>
      </c>
      <c r="AB7" s="25">
        <f t="shared" si="9"/>
        <v>-165.46215290985157</v>
      </c>
      <c r="AC7" s="63">
        <f t="shared" si="11"/>
        <v>-0.16546215290985156</v>
      </c>
    </row>
    <row r="8" spans="1:29" x14ac:dyDescent="0.35">
      <c r="A8" s="37" t="s">
        <v>287</v>
      </c>
      <c r="B8" s="16">
        <v>2.09</v>
      </c>
      <c r="C8" s="17">
        <v>0.55169999999999997</v>
      </c>
      <c r="D8" s="19">
        <v>10.72</v>
      </c>
      <c r="E8" s="19">
        <v>12.13</v>
      </c>
      <c r="F8" s="19">
        <f>IF(OR(Table224568[[#This Row],[P/C]]&lt;=0,Table224568[[#This Row],[P/E]]&lt;=0),100,Table224568[[#This Row],[P/E]]-Table224568[[#This Row],[P/C]])</f>
        <v>-1.4100000000000001</v>
      </c>
      <c r="G8" s="17">
        <v>0.222</v>
      </c>
      <c r="H8" s="17">
        <v>0.1951</v>
      </c>
      <c r="I8" s="19">
        <v>1.67</v>
      </c>
      <c r="J8" s="19">
        <f>ABS(IF(Table224568[[#This Row],[CFO/PAT]]&lt;0,100,1-Table224568[[#This Row],[CFO/PAT]]))</f>
        <v>0.66999999999999993</v>
      </c>
      <c r="K8" s="19">
        <v>0.57999999999999996</v>
      </c>
      <c r="L8" s="19">
        <f>ABS(IF(Table224568[[#This Row],[Debt Equity]]&lt;0,100,0-Table224568[[#This Row],[Debt Equity]]))</f>
        <v>0.57999999999999996</v>
      </c>
      <c r="M8" s="20">
        <v>220.75</v>
      </c>
      <c r="N8" s="20">
        <v>311.05</v>
      </c>
      <c r="O8" s="20">
        <v>171.65</v>
      </c>
      <c r="P8" s="17">
        <f>(N8-M8)/M8</f>
        <v>0.4090600226500567</v>
      </c>
      <c r="Q8" s="19">
        <f t="shared" si="0"/>
        <v>2</v>
      </c>
      <c r="R8" s="19">
        <f t="shared" si="1"/>
        <v>1</v>
      </c>
      <c r="S8" s="19">
        <f t="shared" si="2"/>
        <v>4</v>
      </c>
      <c r="T8" s="14">
        <f t="shared" si="3"/>
        <v>3</v>
      </c>
      <c r="U8" s="14">
        <f t="shared" si="4"/>
        <v>2</v>
      </c>
      <c r="V8" s="14">
        <f t="shared" si="5"/>
        <v>0</v>
      </c>
      <c r="W8" s="19">
        <f t="shared" si="6"/>
        <v>0</v>
      </c>
      <c r="X8" s="22">
        <f t="shared" si="7"/>
        <v>0.42857142857142855</v>
      </c>
      <c r="Y8" s="10" t="s">
        <v>173</v>
      </c>
      <c r="Z8" s="24">
        <v>0</v>
      </c>
      <c r="AA8" s="14">
        <f t="shared" si="8"/>
        <v>0</v>
      </c>
      <c r="AB8" s="25">
        <f t="shared" si="9"/>
        <v>0</v>
      </c>
      <c r="AC8" s="63">
        <f t="shared" si="11"/>
        <v>0</v>
      </c>
    </row>
    <row r="9" spans="1:29" x14ac:dyDescent="0.35">
      <c r="A9" s="37" t="s">
        <v>289</v>
      </c>
      <c r="B9" s="16">
        <v>3.26</v>
      </c>
      <c r="C9" s="17">
        <v>0.68579999999999997</v>
      </c>
      <c r="D9" s="19">
        <v>30.5</v>
      </c>
      <c r="E9" s="19">
        <v>-12.22</v>
      </c>
      <c r="F9" s="19">
        <f>IF(OR(Table224568[[#This Row],[P/C]]&lt;=0,Table224568[[#This Row],[P/E]]&lt;=0),100,Table224568[[#This Row],[P/E]]-Table224568[[#This Row],[P/C]])</f>
        <v>100</v>
      </c>
      <c r="G9" s="17">
        <v>8.8200000000000001E-2</v>
      </c>
      <c r="H9" s="17">
        <v>0.23380000000000001</v>
      </c>
      <c r="I9" s="19">
        <v>-34.659999999999997</v>
      </c>
      <c r="J9" s="19">
        <f>ABS(IF(Table224568[[#This Row],[CFO/PAT]]&lt;0,100,1-Table224568[[#This Row],[CFO/PAT]]))</f>
        <v>100</v>
      </c>
      <c r="K9" s="19">
        <v>0</v>
      </c>
      <c r="L9" s="19">
        <f>ABS(IF(Table224568[[#This Row],[Debt Equity]]&lt;0,100,0-Table224568[[#This Row],[Debt Equity]]))</f>
        <v>0</v>
      </c>
      <c r="M9" s="20">
        <v>438</v>
      </c>
      <c r="N9" s="20">
        <v>933</v>
      </c>
      <c r="O9" s="20">
        <v>420</v>
      </c>
      <c r="P9" s="17">
        <f t="shared" si="10"/>
        <v>1.1301369863013699</v>
      </c>
      <c r="Q9" s="19">
        <f t="shared" si="0"/>
        <v>1</v>
      </c>
      <c r="R9" s="19">
        <f t="shared" si="1"/>
        <v>3</v>
      </c>
      <c r="S9" s="19">
        <f t="shared" si="2"/>
        <v>0</v>
      </c>
      <c r="T9" s="14">
        <f t="shared" si="3"/>
        <v>0</v>
      </c>
      <c r="U9" s="14">
        <f t="shared" si="4"/>
        <v>3</v>
      </c>
      <c r="V9" s="14">
        <f t="shared" si="5"/>
        <v>0</v>
      </c>
      <c r="W9" s="19">
        <f t="shared" si="6"/>
        <v>4</v>
      </c>
      <c r="X9" s="22">
        <f t="shared" si="7"/>
        <v>0.39285714285714285</v>
      </c>
      <c r="Y9" s="10" t="s">
        <v>173</v>
      </c>
      <c r="Z9" s="24">
        <v>1000</v>
      </c>
      <c r="AA9" s="14">
        <f t="shared" si="8"/>
        <v>2.2831050228310503</v>
      </c>
      <c r="AB9" s="25">
        <f t="shared" si="9"/>
        <v>597.60273972602738</v>
      </c>
      <c r="AC9" s="63">
        <f t="shared" si="11"/>
        <v>0.5976027397260274</v>
      </c>
    </row>
    <row r="10" spans="1:29" x14ac:dyDescent="0.35">
      <c r="A10" s="37" t="s">
        <v>288</v>
      </c>
      <c r="B10" s="16">
        <v>0.4</v>
      </c>
      <c r="C10" s="17">
        <v>0.57640000000000002</v>
      </c>
      <c r="D10" s="19">
        <v>3.53</v>
      </c>
      <c r="E10" s="19">
        <v>1.01</v>
      </c>
      <c r="F10" s="19">
        <f>IF(OR(Table224568[[#This Row],[P/C]]&lt;=0,Table224568[[#This Row],[P/E]]&lt;=0),100,Table224568[[#This Row],[P/E]]-Table224568[[#This Row],[P/C]])</f>
        <v>2.5199999999999996</v>
      </c>
      <c r="G10" s="17">
        <v>0.1419</v>
      </c>
      <c r="H10" s="17">
        <v>0.1226</v>
      </c>
      <c r="I10" s="19">
        <v>3.4</v>
      </c>
      <c r="J10" s="19">
        <f>ABS(IF(Table224568[[#This Row],[CFO/PAT]]&lt;0,100,1-Table224568[[#This Row],[CFO/PAT]]))</f>
        <v>2.4</v>
      </c>
      <c r="K10" s="19">
        <v>2.63</v>
      </c>
      <c r="L10" s="19">
        <f>ABS(IF(Table224568[[#This Row],[Debt Equity]]&lt;0,100,0-Table224568[[#This Row],[Debt Equity]]))</f>
        <v>2.63</v>
      </c>
      <c r="M10" s="20">
        <v>77.75</v>
      </c>
      <c r="N10" s="20">
        <v>142.65</v>
      </c>
      <c r="O10" s="20">
        <v>46</v>
      </c>
      <c r="P10" s="17">
        <f t="shared" si="10"/>
        <v>0.83472668810289397</v>
      </c>
      <c r="Q10" s="19">
        <f t="shared" si="0"/>
        <v>4</v>
      </c>
      <c r="R10" s="19">
        <f t="shared" si="1"/>
        <v>1</v>
      </c>
      <c r="S10" s="19">
        <f t="shared" si="2"/>
        <v>4</v>
      </c>
      <c r="T10" s="14">
        <f t="shared" si="3"/>
        <v>1</v>
      </c>
      <c r="U10" s="14">
        <f t="shared" si="4"/>
        <v>1</v>
      </c>
      <c r="V10" s="14">
        <f t="shared" si="5"/>
        <v>0</v>
      </c>
      <c r="W10" s="19">
        <f t="shared" si="6"/>
        <v>0</v>
      </c>
      <c r="X10" s="22">
        <f t="shared" si="7"/>
        <v>0.39285714285714285</v>
      </c>
      <c r="Y10" s="10" t="s">
        <v>174</v>
      </c>
      <c r="Z10" s="24">
        <v>0</v>
      </c>
      <c r="AA10" s="14">
        <f t="shared" si="8"/>
        <v>0</v>
      </c>
      <c r="AB10" s="25">
        <f t="shared" si="9"/>
        <v>0</v>
      </c>
      <c r="AC10" s="63">
        <f t="shared" si="11"/>
        <v>0</v>
      </c>
    </row>
    <row r="11" spans="1:29" x14ac:dyDescent="0.35">
      <c r="A11" s="37" t="s">
        <v>290</v>
      </c>
      <c r="B11" s="16">
        <v>0.78</v>
      </c>
      <c r="C11" s="17">
        <v>0.87839999999999996</v>
      </c>
      <c r="D11" s="19">
        <v>5.53</v>
      </c>
      <c r="E11" s="19">
        <v>-13.17</v>
      </c>
      <c r="F11" s="19">
        <f>IF(OR(Table224568[[#This Row],[P/C]]&lt;=0,Table224568[[#This Row],[P/E]]&lt;=0),100,Table224568[[#This Row],[P/E]]-Table224568[[#This Row],[P/C]])</f>
        <v>100</v>
      </c>
      <c r="G11" s="17">
        <v>0.14580000000000001</v>
      </c>
      <c r="H11" s="17">
        <v>0.13070000000000001</v>
      </c>
      <c r="I11" s="19">
        <v>-3.27</v>
      </c>
      <c r="J11" s="19">
        <f>ABS(IF(Table224568[[#This Row],[CFO/PAT]]&lt;0,100,1-Table224568[[#This Row],[CFO/PAT]]))</f>
        <v>100</v>
      </c>
      <c r="K11" s="19">
        <v>0.52</v>
      </c>
      <c r="L11" s="19">
        <f>ABS(IF(Table224568[[#This Row],[Debt Equity]]&lt;0,100,0-Table224568[[#This Row],[Debt Equity]]))</f>
        <v>0.52</v>
      </c>
      <c r="M11" s="20">
        <v>18.5</v>
      </c>
      <c r="N11" s="20">
        <v>29.85</v>
      </c>
      <c r="O11" s="20">
        <v>10.199999999999999</v>
      </c>
      <c r="P11" s="17">
        <f t="shared" si="10"/>
        <v>0.61351351351351358</v>
      </c>
      <c r="Q11" s="19">
        <f t="shared" si="0"/>
        <v>4</v>
      </c>
      <c r="R11" s="19">
        <f t="shared" si="1"/>
        <v>4</v>
      </c>
      <c r="S11" s="19">
        <f t="shared" si="2"/>
        <v>0</v>
      </c>
      <c r="T11" s="14">
        <f t="shared" si="3"/>
        <v>1</v>
      </c>
      <c r="U11" s="14">
        <f t="shared" si="4"/>
        <v>1</v>
      </c>
      <c r="V11" s="14">
        <f t="shared" si="5"/>
        <v>0</v>
      </c>
      <c r="W11" s="19">
        <f t="shared" si="6"/>
        <v>0</v>
      </c>
      <c r="X11" s="22">
        <f t="shared" si="7"/>
        <v>0.35714285714285715</v>
      </c>
      <c r="Y11" s="10" t="s">
        <v>173</v>
      </c>
      <c r="Z11" s="24">
        <v>1000</v>
      </c>
      <c r="AA11" s="14">
        <f t="shared" si="8"/>
        <v>54.054054054054056</v>
      </c>
      <c r="AB11" s="25">
        <f t="shared" si="9"/>
        <v>210.1351351351353</v>
      </c>
      <c r="AC11" s="63">
        <f t="shared" si="11"/>
        <v>0.21013513513513529</v>
      </c>
    </row>
  </sheetData>
  <conditionalFormatting sqref="E1:E1048576">
    <cfRule type="colorScale" priority="15">
      <colorScale>
        <cfvo type="min"/>
        <cfvo type="percentile" val="50"/>
        <cfvo type="max"/>
        <color rgb="FF63BE7B"/>
        <color rgb="FFFFEB84"/>
        <color rgb="FFF8696B"/>
      </colorScale>
    </cfRule>
  </conditionalFormatting>
  <conditionalFormatting sqref="H1:H1048576">
    <cfRule type="colorScale" priority="14">
      <colorScale>
        <cfvo type="min"/>
        <cfvo type="percentile" val="50"/>
        <cfvo type="max"/>
        <color rgb="FFF8696B"/>
        <color rgb="FFFFEB84"/>
        <color rgb="FF63BE7B"/>
      </colorScale>
    </cfRule>
  </conditionalFormatting>
  <conditionalFormatting sqref="J1:J1048576">
    <cfRule type="colorScale" priority="13">
      <colorScale>
        <cfvo type="min"/>
        <cfvo type="percentile" val="50"/>
        <cfvo type="max"/>
        <color rgb="FF63BE7B"/>
        <color rgb="FFFFEB84"/>
        <color rgb="FFF8696B"/>
      </colorScale>
    </cfRule>
  </conditionalFormatting>
  <conditionalFormatting sqref="K1:L1048576">
    <cfRule type="colorScale" priority="12">
      <colorScale>
        <cfvo type="min"/>
        <cfvo type="percentile" val="50"/>
        <cfvo type="max"/>
        <color rgb="FF63BE7B"/>
        <color rgb="FFFFEB84"/>
        <color rgb="FFF8696B"/>
      </colorScale>
    </cfRule>
  </conditionalFormatting>
  <conditionalFormatting sqref="L1:L1048576">
    <cfRule type="colorScale" priority="11">
      <colorScale>
        <cfvo type="min"/>
        <cfvo type="percentile" val="50"/>
        <cfvo type="max"/>
        <color rgb="FF63BE7B"/>
        <color rgb="FFFFEB84"/>
        <color rgb="FFF8696B"/>
      </colorScale>
    </cfRule>
  </conditionalFormatting>
  <conditionalFormatting sqref="Q2">
    <cfRule type="colorScale" priority="10">
      <colorScale>
        <cfvo type="min"/>
        <cfvo type="percentile" val="50"/>
        <cfvo type="max"/>
        <color rgb="FF63BE7B"/>
        <color rgb="FFFFEB84"/>
        <color rgb="FFF8696B"/>
      </colorScale>
    </cfRule>
  </conditionalFormatting>
  <conditionalFormatting sqref="Q2">
    <cfRule type="colorScale" priority="9">
      <colorScale>
        <cfvo type="min"/>
        <cfvo type="percentile" val="50"/>
        <cfvo type="max"/>
        <color rgb="FF63BE7B"/>
        <color rgb="FFFFEB84"/>
        <color rgb="FFF8696B"/>
      </colorScale>
    </cfRule>
  </conditionalFormatting>
  <conditionalFormatting sqref="R2">
    <cfRule type="colorScale" priority="8">
      <colorScale>
        <cfvo type="min"/>
        <cfvo type="percentile" val="50"/>
        <cfvo type="max"/>
        <color rgb="FFF8696B"/>
        <color rgb="FFFFEB84"/>
        <color rgb="FF63BE7B"/>
      </colorScale>
    </cfRule>
  </conditionalFormatting>
  <conditionalFormatting sqref="S2">
    <cfRule type="colorScale" priority="7">
      <colorScale>
        <cfvo type="min"/>
        <cfvo type="percentile" val="50"/>
        <cfvo type="max"/>
        <color rgb="FF63BE7B"/>
        <color rgb="FFFFEB84"/>
        <color rgb="FFF8696B"/>
      </colorScale>
    </cfRule>
  </conditionalFormatting>
  <conditionalFormatting sqref="U2">
    <cfRule type="colorScale" priority="5">
      <colorScale>
        <cfvo type="min"/>
        <cfvo type="percentile" val="50"/>
        <cfvo type="max"/>
        <color rgb="FFF8696B"/>
        <color rgb="FFFFEB84"/>
        <color rgb="FF63BE7B"/>
      </colorScale>
    </cfRule>
  </conditionalFormatting>
  <conditionalFormatting sqref="T2">
    <cfRule type="colorScale" priority="6">
      <colorScale>
        <cfvo type="min"/>
        <cfvo type="percentile" val="50"/>
        <cfvo type="max"/>
        <color rgb="FFF8696B"/>
        <color rgb="FFFFEB84"/>
        <color rgb="FF63BE7B"/>
      </colorScale>
    </cfRule>
  </conditionalFormatting>
  <conditionalFormatting sqref="W2">
    <cfRule type="colorScale" priority="4">
      <colorScale>
        <cfvo type="min"/>
        <cfvo type="percentile" val="50"/>
        <cfvo type="max"/>
        <color rgb="FF63BE7B"/>
        <color rgb="FFFFEB84"/>
        <color rgb="FFF8696B"/>
      </colorScale>
    </cfRule>
  </conditionalFormatting>
  <conditionalFormatting sqref="W2">
    <cfRule type="colorScale" priority="3">
      <colorScale>
        <cfvo type="min"/>
        <cfvo type="percentile" val="50"/>
        <cfvo type="max"/>
        <color rgb="FF63BE7B"/>
        <color rgb="FFFFEB84"/>
        <color rgb="FFF8696B"/>
      </colorScale>
    </cfRule>
  </conditionalFormatting>
  <conditionalFormatting sqref="V2">
    <cfRule type="colorScale" priority="16">
      <colorScale>
        <cfvo type="min"/>
        <cfvo type="percentile" val="50"/>
        <cfvo type="max"/>
        <color rgb="FF63BE7B"/>
        <color rgb="FFFFEB84"/>
        <color rgb="FFF8696B"/>
      </colorScale>
    </cfRule>
  </conditionalFormatting>
  <conditionalFormatting sqref="B1:B1048576">
    <cfRule type="colorScale" priority="17">
      <colorScale>
        <cfvo type="min"/>
        <cfvo type="percentile" val="50"/>
        <cfvo type="max"/>
        <color rgb="FF63BE7B"/>
        <color rgb="FFFFEB84"/>
        <color rgb="FFF8696B"/>
      </colorScale>
    </cfRule>
  </conditionalFormatting>
  <conditionalFormatting sqref="C1:C1048576">
    <cfRule type="colorScale" priority="18">
      <colorScale>
        <cfvo type="min"/>
        <cfvo type="percentile" val="50"/>
        <cfvo type="max"/>
        <color rgb="FFF8696B"/>
        <color rgb="FFFFEB84"/>
        <color rgb="FF63BE7B"/>
      </colorScale>
    </cfRule>
  </conditionalFormatting>
  <conditionalFormatting sqref="D1:D1048576">
    <cfRule type="colorScale" priority="19">
      <colorScale>
        <cfvo type="min"/>
        <cfvo type="percentile" val="50"/>
        <cfvo type="max"/>
        <color rgb="FF63BE7B"/>
        <color rgb="FFFFEB84"/>
        <color rgb="FFF8696B"/>
      </colorScale>
    </cfRule>
  </conditionalFormatting>
  <conditionalFormatting sqref="G1:G1048576">
    <cfRule type="colorScale" priority="2">
      <colorScale>
        <cfvo type="min"/>
        <cfvo type="percentile" val="50"/>
        <cfvo type="max"/>
        <color rgb="FFF8696B"/>
        <color rgb="FFFFEB84"/>
        <color rgb="FF63BE7B"/>
      </colorScale>
    </cfRule>
  </conditionalFormatting>
  <conditionalFormatting sqref="F1:F1048576">
    <cfRule type="colorScale" priority="20">
      <colorScale>
        <cfvo type="min"/>
        <cfvo type="percentile" val="50"/>
        <cfvo type="max"/>
        <color rgb="FF63BE7B"/>
        <color rgb="FFFFEB84"/>
        <color rgb="FFF8696B"/>
      </colorScale>
    </cfRule>
  </conditionalFormatting>
  <conditionalFormatting sqref="I1:I1048576">
    <cfRule type="colorScale" priority="1">
      <colorScale>
        <cfvo type="min"/>
        <cfvo type="percentile" val="50"/>
        <cfvo type="max"/>
        <color rgb="FF63BE7B"/>
        <color rgb="FFFFEB84"/>
        <color rgb="FFF8696B"/>
      </colorScale>
    </cfRule>
  </conditionalFormatting>
  <conditionalFormatting sqref="B2:B11">
    <cfRule type="colorScale" priority="1917">
      <colorScale>
        <cfvo type="min"/>
        <cfvo type="percentile" val="50"/>
        <cfvo type="max"/>
        <color rgb="FF63BE7B"/>
        <color rgb="FFFFEB84"/>
        <color rgb="FFF8696B"/>
      </colorScale>
    </cfRule>
  </conditionalFormatting>
  <conditionalFormatting sqref="D3:D11">
    <cfRule type="colorScale" priority="1918">
      <colorScale>
        <cfvo type="min"/>
        <cfvo type="percentile" val="50"/>
        <cfvo type="max"/>
        <color rgb="FF63BE7B"/>
        <color rgb="FFFFEB84"/>
        <color rgb="FFF8696B"/>
      </colorScale>
    </cfRule>
  </conditionalFormatting>
  <conditionalFormatting sqref="E3:F11">
    <cfRule type="colorScale" priority="1919">
      <colorScale>
        <cfvo type="min"/>
        <cfvo type="percentile" val="50"/>
        <cfvo type="max"/>
        <color rgb="FFF8696B"/>
        <color rgb="FFFFEB84"/>
        <color rgb="FF63BE7B"/>
      </colorScale>
    </cfRule>
  </conditionalFormatting>
  <conditionalFormatting sqref="X3:X11">
    <cfRule type="colorScale" priority="1920">
      <colorScale>
        <cfvo type="min"/>
        <cfvo type="percentile" val="50"/>
        <cfvo type="max"/>
        <color rgb="FFF8696B"/>
        <color rgb="FFFFEB84"/>
        <color rgb="FF63BE7B"/>
      </colorScale>
    </cfRule>
  </conditionalFormatting>
  <conditionalFormatting sqref="C3:C11">
    <cfRule type="colorScale" priority="1921">
      <colorScale>
        <cfvo type="min"/>
        <cfvo type="percentile" val="50"/>
        <cfvo type="max"/>
        <color rgb="FFF8696B"/>
        <color rgb="FFFFEB84"/>
        <color rgb="FF63BE7B"/>
      </colorScale>
    </cfRule>
  </conditionalFormatting>
  <conditionalFormatting sqref="G3:L11">
    <cfRule type="colorScale" priority="1922">
      <colorScale>
        <cfvo type="min"/>
        <cfvo type="percentile" val="50"/>
        <cfvo type="max"/>
        <color rgb="FFF8696B"/>
        <color rgb="FFFFEB84"/>
        <color rgb="FF63BE7B"/>
      </colorScale>
    </cfRule>
  </conditionalFormatting>
  <pageMargins left="0.7" right="0.7" top="0.75" bottom="0.75" header="0.3" footer="0.3"/>
  <pageSetup paperSize="9" orientation="portrait" horizontalDpi="90" verticalDpi="90"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AB8CA-641C-42CB-8A0D-74F775F69B01}">
  <dimension ref="B2:G12"/>
  <sheetViews>
    <sheetView showGridLines="0" workbookViewId="0">
      <selection activeCell="B3" sqref="B3:B11"/>
    </sheetView>
  </sheetViews>
  <sheetFormatPr defaultRowHeight="14.5" x14ac:dyDescent="0.35"/>
  <cols>
    <col min="2" max="2" width="41.90625" bestFit="1" customWidth="1"/>
    <col min="3" max="3" width="12.453125" bestFit="1" customWidth="1"/>
    <col min="4" max="4" width="13.81640625" bestFit="1" customWidth="1"/>
    <col min="5" max="5" width="17.81640625" bestFit="1" customWidth="1"/>
    <col min="6" max="6" width="12.453125" bestFit="1" customWidth="1"/>
    <col min="7" max="7" width="13.81640625" bestFit="1" customWidth="1"/>
  </cols>
  <sheetData>
    <row r="2" spans="2:7" x14ac:dyDescent="0.35">
      <c r="B2" s="79" t="s">
        <v>243</v>
      </c>
      <c r="C2" s="79" t="s">
        <v>171</v>
      </c>
      <c r="D2" s="79" t="s">
        <v>155</v>
      </c>
      <c r="E2" s="79" t="s">
        <v>175</v>
      </c>
      <c r="F2" s="6" t="s">
        <v>179</v>
      </c>
      <c r="G2" s="83" t="s">
        <v>181</v>
      </c>
    </row>
    <row r="3" spans="2:7" x14ac:dyDescent="0.35">
      <c r="B3" t="s">
        <v>289</v>
      </c>
      <c r="C3" t="s">
        <v>173</v>
      </c>
      <c r="D3" s="6">
        <v>438</v>
      </c>
      <c r="E3" s="80">
        <v>1000</v>
      </c>
      <c r="F3" s="6">
        <v>597.60273972602738</v>
      </c>
      <c r="G3" s="83">
        <v>0.5976027397260274</v>
      </c>
    </row>
    <row r="4" spans="2:7" x14ac:dyDescent="0.35">
      <c r="B4" t="s">
        <v>283</v>
      </c>
      <c r="C4" t="s">
        <v>174</v>
      </c>
      <c r="D4" s="6">
        <v>17.8</v>
      </c>
      <c r="E4" s="80">
        <v>1000</v>
      </c>
      <c r="F4" s="6">
        <v>-254.21348314606743</v>
      </c>
      <c r="G4" s="83">
        <v>-0.25421348314606745</v>
      </c>
    </row>
    <row r="5" spans="2:7" x14ac:dyDescent="0.35">
      <c r="B5" t="s">
        <v>288</v>
      </c>
      <c r="C5" t="s">
        <v>174</v>
      </c>
      <c r="D5" s="6">
        <v>77.75</v>
      </c>
      <c r="E5" s="80">
        <v>0</v>
      </c>
      <c r="F5" s="6">
        <v>0</v>
      </c>
      <c r="G5" s="83">
        <v>0</v>
      </c>
    </row>
    <row r="6" spans="2:7" x14ac:dyDescent="0.35">
      <c r="B6" t="s">
        <v>285</v>
      </c>
      <c r="C6" t="s">
        <v>173</v>
      </c>
      <c r="D6" s="6">
        <v>92.75</v>
      </c>
      <c r="E6" s="80">
        <v>0</v>
      </c>
      <c r="F6" s="6">
        <v>0</v>
      </c>
      <c r="G6" s="83">
        <v>0</v>
      </c>
    </row>
    <row r="7" spans="2:7" x14ac:dyDescent="0.35">
      <c r="B7" t="s">
        <v>284</v>
      </c>
      <c r="C7" t="s">
        <v>174</v>
      </c>
      <c r="D7" s="6">
        <v>187.1</v>
      </c>
      <c r="E7" s="80">
        <v>1000</v>
      </c>
      <c r="F7" s="6">
        <v>-42.490646712987648</v>
      </c>
      <c r="G7" s="83">
        <v>-4.2490646712987648E-2</v>
      </c>
    </row>
    <row r="8" spans="2:7" x14ac:dyDescent="0.35">
      <c r="B8" t="s">
        <v>287</v>
      </c>
      <c r="C8" t="s">
        <v>173</v>
      </c>
      <c r="D8" s="6">
        <v>220.75</v>
      </c>
      <c r="E8" s="80">
        <v>0</v>
      </c>
      <c r="F8" s="6">
        <v>0</v>
      </c>
      <c r="G8" s="83">
        <v>0</v>
      </c>
    </row>
    <row r="9" spans="2:7" x14ac:dyDescent="0.35">
      <c r="B9" t="s">
        <v>281</v>
      </c>
      <c r="C9" t="s">
        <v>174</v>
      </c>
      <c r="D9" s="6">
        <v>933.15</v>
      </c>
      <c r="E9" s="80">
        <v>1000</v>
      </c>
      <c r="F9" s="6">
        <v>-139.09875154048112</v>
      </c>
      <c r="G9" s="83">
        <v>-0.13909875154048112</v>
      </c>
    </row>
    <row r="10" spans="2:7" x14ac:dyDescent="0.35">
      <c r="B10" t="s">
        <v>286</v>
      </c>
      <c r="C10" t="s">
        <v>174</v>
      </c>
      <c r="D10" s="6">
        <v>131.44999999999999</v>
      </c>
      <c r="E10" s="80">
        <v>1000</v>
      </c>
      <c r="F10" s="6">
        <v>-165.46215290985157</v>
      </c>
      <c r="G10" s="83">
        <v>-0.16546215290985156</v>
      </c>
    </row>
    <row r="11" spans="2:7" x14ac:dyDescent="0.35">
      <c r="B11" t="s">
        <v>290</v>
      </c>
      <c r="C11" t="s">
        <v>173</v>
      </c>
      <c r="D11" s="6">
        <v>18.5</v>
      </c>
      <c r="E11" s="80">
        <v>1000</v>
      </c>
      <c r="F11" s="6">
        <v>210.1351351351353</v>
      </c>
      <c r="G11" s="83">
        <v>0.21013513513513529</v>
      </c>
    </row>
    <row r="12" spans="2:7" x14ac:dyDescent="0.35">
      <c r="B12" t="s">
        <v>180</v>
      </c>
      <c r="F12" s="6">
        <v>206.47284055177488</v>
      </c>
      <c r="G12" s="83">
        <v>0.20647284055177492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76B12A-AD16-4A83-83D6-6677F1B8CD90}">
  <sheetPr codeName="Sheet8"/>
  <dimension ref="A2:AC6"/>
  <sheetViews>
    <sheetView showGridLines="0" zoomScaleNormal="100" workbookViewId="0">
      <pane xSplit="1" topLeftCell="Q1" activePane="topRight" state="frozen"/>
      <selection activeCell="C8" sqref="C8"/>
      <selection pane="topRight" activeCell="Q3" sqref="Q3"/>
    </sheetView>
  </sheetViews>
  <sheetFormatPr defaultRowHeight="14.5" x14ac:dyDescent="0.35"/>
  <cols>
    <col min="1" max="1" width="45.7265625" bestFit="1" customWidth="1"/>
    <col min="2" max="2" width="6.08984375" bestFit="1" customWidth="1"/>
    <col min="3" max="3" width="18.08984375" style="5" bestFit="1" customWidth="1"/>
    <col min="4" max="4" width="7.26953125" style="13" bestFit="1" customWidth="1"/>
    <col min="5" max="5" width="7.6328125" style="13" bestFit="1" customWidth="1"/>
    <col min="6" max="6" width="11.81640625" style="13" bestFit="1" customWidth="1"/>
    <col min="7" max="7" width="6.81640625" style="5" bestFit="1" customWidth="1"/>
    <col min="8" max="8" width="7.6328125" style="5" bestFit="1" customWidth="1"/>
    <col min="9" max="9" width="11.81640625" style="13" bestFit="1" customWidth="1"/>
    <col min="10" max="10" width="13.453125" style="13" bestFit="1" customWidth="1"/>
    <col min="11" max="11" width="14.1796875" style="13" bestFit="1" customWidth="1"/>
    <col min="12" max="12" width="15.90625" style="13" bestFit="1" customWidth="1"/>
    <col min="13" max="13" width="15.453125" style="6" bestFit="1" customWidth="1"/>
    <col min="14" max="14" width="15.90625" style="6" bestFit="1" customWidth="1"/>
    <col min="15" max="15" width="15.54296875" style="6" bestFit="1" customWidth="1"/>
    <col min="16" max="16" width="8.54296875" style="3" bestFit="1" customWidth="1"/>
    <col min="17" max="17" width="11.08984375" style="13" bestFit="1" customWidth="1"/>
    <col min="18" max="18" width="23.1796875" style="13" bestFit="1" customWidth="1"/>
    <col min="19" max="19" width="16" bestFit="1" customWidth="1"/>
    <col min="20" max="20" width="11.54296875" bestFit="1" customWidth="1"/>
    <col min="21" max="21" width="12.6328125" bestFit="1" customWidth="1"/>
    <col min="22" max="22" width="18.54296875" bestFit="1" customWidth="1"/>
    <col min="23" max="23" width="21" bestFit="1" customWidth="1"/>
    <col min="24" max="24" width="7.36328125" bestFit="1" customWidth="1"/>
    <col min="25" max="25" width="10" bestFit="1" customWidth="1"/>
    <col min="26" max="26" width="19.08984375" style="23" bestFit="1" customWidth="1"/>
    <col min="27" max="28" width="10.08984375" bestFit="1" customWidth="1"/>
    <col min="29" max="29" width="12" bestFit="1" customWidth="1"/>
  </cols>
  <sheetData>
    <row r="2" spans="1:29" x14ac:dyDescent="0.35">
      <c r="A2" s="38" t="s">
        <v>243</v>
      </c>
      <c r="B2" s="16" t="s">
        <v>62</v>
      </c>
      <c r="C2" s="17" t="s">
        <v>47</v>
      </c>
      <c r="D2" s="19" t="s">
        <v>57</v>
      </c>
      <c r="E2" s="19" t="s">
        <v>216</v>
      </c>
      <c r="F2" s="19" t="s">
        <v>217</v>
      </c>
      <c r="G2" s="58" t="s">
        <v>73</v>
      </c>
      <c r="H2" s="58" t="s">
        <v>182</v>
      </c>
      <c r="I2" s="59" t="s">
        <v>97</v>
      </c>
      <c r="J2" s="59" t="s">
        <v>236</v>
      </c>
      <c r="K2" s="59" t="s">
        <v>214</v>
      </c>
      <c r="L2" s="59" t="s">
        <v>237</v>
      </c>
      <c r="M2" s="18" t="s">
        <v>155</v>
      </c>
      <c r="N2" s="18" t="s">
        <v>156</v>
      </c>
      <c r="O2" s="18" t="s">
        <v>157</v>
      </c>
      <c r="P2" s="60" t="s">
        <v>161</v>
      </c>
      <c r="Q2" s="16" t="s">
        <v>162</v>
      </c>
      <c r="R2" s="17" t="s">
        <v>238</v>
      </c>
      <c r="S2" s="19" t="s">
        <v>239</v>
      </c>
      <c r="T2" s="58" t="s">
        <v>164</v>
      </c>
      <c r="U2" s="58" t="s">
        <v>240</v>
      </c>
      <c r="V2" s="59" t="s">
        <v>241</v>
      </c>
      <c r="W2" s="59" t="s">
        <v>242</v>
      </c>
      <c r="X2" s="60" t="s">
        <v>168</v>
      </c>
      <c r="Y2" s="61" t="s">
        <v>171</v>
      </c>
      <c r="Z2" s="62" t="s">
        <v>175</v>
      </c>
      <c r="AA2" s="4" t="s">
        <v>176</v>
      </c>
      <c r="AB2" s="10" t="s">
        <v>177</v>
      </c>
      <c r="AC2" s="10" t="s">
        <v>178</v>
      </c>
    </row>
    <row r="3" spans="1:29" x14ac:dyDescent="0.35">
      <c r="A3" s="37" t="s">
        <v>262</v>
      </c>
      <c r="B3" s="16">
        <v>13.16</v>
      </c>
      <c r="C3" s="17">
        <v>0.40479999999999999</v>
      </c>
      <c r="D3" s="19">
        <v>0</v>
      </c>
      <c r="E3" s="19">
        <v>110.49</v>
      </c>
      <c r="F3" s="19">
        <f>IF(OR(Table2245[[#This Row],[P/C]]&lt;=0,Table2245[[#This Row],[P/E]]&lt;=0),100,Table2245[[#This Row],[P/E]]-Table2245[[#This Row],[P/C]])</f>
        <v>100</v>
      </c>
      <c r="G3" s="17">
        <v>0.4022</v>
      </c>
      <c r="H3" s="17">
        <v>0.45040000000000002</v>
      </c>
      <c r="I3" s="19">
        <v>-1.07</v>
      </c>
      <c r="J3" s="19">
        <f>ABS(IF(Table2245[[#This Row],[CFO/PAT]]&lt;0,100,1-Table2245[[#This Row],[CFO/PAT]]))</f>
        <v>100</v>
      </c>
      <c r="K3" s="19">
        <v>0</v>
      </c>
      <c r="L3" s="19">
        <f>ABS(IF(Table2245[[#This Row],[Debt Equity]]&lt;0,100,0-Table2245[[#This Row],[Debt Equity]]))</f>
        <v>0</v>
      </c>
      <c r="M3" s="20">
        <v>2486.15</v>
      </c>
      <c r="N3" s="20">
        <v>3125</v>
      </c>
      <c r="O3" s="20">
        <v>1580</v>
      </c>
      <c r="P3" s="17">
        <f>(N3-M3)/M3</f>
        <v>0.25696357822335736</v>
      </c>
      <c r="Q3" s="19">
        <f>IF(LEFT(B3,1)="0",4,IF(LEFT(B3,1)="1",3,IF(LEFT(B3,1)="2",2,IF(LEFT(B3,1)="3",1,0))))</f>
        <v>3</v>
      </c>
      <c r="R3" s="19">
        <f>IF(C3&gt;0.7,4,IF(AND(C3&lt;0.7,C3&gt;0.65),3,IF(AND(C3&lt;0.65,C3&gt;0.6),2,IF(AND(C3&lt;0.6,C3&gt;0.55),1,0))))</f>
        <v>0</v>
      </c>
      <c r="S3" s="19">
        <f>IF(F3&lt;10,4,IF(AND(F3&lt;15,F3&gt;10),3,IF(AND(F3&lt;20,F3&gt;15),2,IF(AND(F3&lt;30,F3&gt;20),1,0))))</f>
        <v>0</v>
      </c>
      <c r="T3" s="14">
        <f t="shared" ref="T3:U6" si="0">IF(G3&gt;0.25,4,IF(AND(G3&lt;0.25,G3&gt;0.2),3,IF(AND(G3&lt;0.2,G3&gt;0.15),2,IF(AND(G3&lt;0.15,G3&gt;0.1),1,0))))</f>
        <v>4</v>
      </c>
      <c r="U3" s="14">
        <f t="shared" si="0"/>
        <v>4</v>
      </c>
      <c r="V3" s="14">
        <f>IF(J3&lt;0.15,4,IF(AND(J3&lt;0.3,J3&gt;0.15),3,IF(AND(J3&lt;0.45,J3&gt;0.3),2,IF(AND(J3&lt;0.6,J3&gt;0.45),1,0))))</f>
        <v>0</v>
      </c>
      <c r="W3" s="19">
        <f t="shared" ref="W3:W6" si="1">IF(L3=0,4,IF(AND(L3&lt;0.1,L3&gt;0),3,IF(AND(L3&lt;0.2,L3&gt;0.1),2,IF(AND(L3&lt;0.3,L3&gt;0.2),1,0))))</f>
        <v>4</v>
      </c>
      <c r="X3" s="22">
        <f t="shared" ref="X3:X6" si="2">SUM(Q3:W3)/28</f>
        <v>0.5357142857142857</v>
      </c>
      <c r="Y3" s="10" t="s">
        <v>174</v>
      </c>
      <c r="Z3" s="24">
        <v>1000</v>
      </c>
      <c r="AA3" s="14">
        <f>Z3/M3</f>
        <v>0.40222834503147437</v>
      </c>
      <c r="AB3" s="25">
        <f>AA3*(N3*(IF(Y3="Low",0.9,IF(Y3="Medium",0.75,0.5)))-M3)</f>
        <v>-371.51821088832133</v>
      </c>
      <c r="AC3" s="63">
        <f>IFERROR(AB3/Z3,0)</f>
        <v>-0.37151821088832132</v>
      </c>
    </row>
    <row r="4" spans="1:29" x14ac:dyDescent="0.35">
      <c r="A4" s="37" t="s">
        <v>263</v>
      </c>
      <c r="B4" s="16">
        <v>7.07</v>
      </c>
      <c r="C4" s="17">
        <v>0.50760000000000005</v>
      </c>
      <c r="D4" s="19">
        <v>8.14</v>
      </c>
      <c r="E4" s="19">
        <v>8.4</v>
      </c>
      <c r="F4" s="19">
        <f>IF(OR(Table2245[[#This Row],[P/C]]&lt;=0,Table2245[[#This Row],[P/E]]&lt;=0),100,Table2245[[#This Row],[P/E]]-Table2245[[#This Row],[P/C]])</f>
        <v>-0.25999999999999979</v>
      </c>
      <c r="G4" s="17">
        <v>0.1794</v>
      </c>
      <c r="H4" s="17">
        <v>0.24110000000000001</v>
      </c>
      <c r="I4" s="19">
        <v>1.02</v>
      </c>
      <c r="J4" s="19">
        <f>ABS(IF(Table2245[[#This Row],[CFO/PAT]]&lt;0,100,1-Table2245[[#This Row],[CFO/PAT]]))</f>
        <v>2.0000000000000018E-2</v>
      </c>
      <c r="K4" s="19">
        <v>0</v>
      </c>
      <c r="L4" s="19">
        <f>ABS(IF(Table2245[[#This Row],[Debt Equity]]&lt;0,100,0-Table2245[[#This Row],[Debt Equity]]))</f>
        <v>0</v>
      </c>
      <c r="M4" s="20">
        <v>468.5</v>
      </c>
      <c r="N4" s="20">
        <v>1156</v>
      </c>
      <c r="O4" s="20">
        <v>323.14999999999998</v>
      </c>
      <c r="P4" s="17">
        <f t="shared" ref="P4:P6" si="3">(N4-M4)/M4</f>
        <v>1.4674493062966916</v>
      </c>
      <c r="Q4" s="19">
        <f>IF(LEFT(B4,1)="0",4,IF(LEFT(B4,1)="1",3,IF(LEFT(B4,1)="2",2,IF(LEFT(B4,1)="3",1,0))))</f>
        <v>0</v>
      </c>
      <c r="R4" s="19">
        <f>IF(C4&gt;0.7,4,IF(AND(C4&lt;0.7,C4&gt;0.65),3,IF(AND(C4&lt;0.65,C4&gt;0.6),2,IF(AND(C4&lt;0.6,C4&gt;0.55),1,0))))</f>
        <v>0</v>
      </c>
      <c r="S4" s="19">
        <f>IF(F4&lt;10,4,IF(AND(F4&lt;15,F4&gt;10),3,IF(AND(F4&lt;20,F4&gt;15),2,IF(AND(F4&lt;30,F4&gt;20),1,0))))</f>
        <v>4</v>
      </c>
      <c r="T4" s="14">
        <f t="shared" si="0"/>
        <v>2</v>
      </c>
      <c r="U4" s="14">
        <f t="shared" si="0"/>
        <v>3</v>
      </c>
      <c r="V4" s="14">
        <f>IF(J4&lt;0.15,4,IF(AND(J4&lt;0.3,J4&gt;0.15),3,IF(AND(J4&lt;0.45,J4&gt;0.3),2,IF(AND(J4&lt;0.6,J4&gt;0.45),1,0))))</f>
        <v>4</v>
      </c>
      <c r="W4" s="19">
        <f t="shared" si="1"/>
        <v>4</v>
      </c>
      <c r="X4" s="22">
        <f t="shared" si="2"/>
        <v>0.6071428571428571</v>
      </c>
      <c r="Y4" s="10" t="s">
        <v>174</v>
      </c>
      <c r="Z4" s="24">
        <v>1000</v>
      </c>
      <c r="AA4" s="14">
        <f>Z4/M4</f>
        <v>2.134471718249733</v>
      </c>
      <c r="AB4" s="25">
        <f>AA4*(N4*(IF(Y4="Low",0.9,IF(Y4="Medium",0.75,0.5)))-M4)</f>
        <v>233.72465314834577</v>
      </c>
      <c r="AC4" s="63">
        <f t="shared" ref="AC4:AC6" si="4">IFERROR(AB4/Z4,0)</f>
        <v>0.23372465314834576</v>
      </c>
    </row>
    <row r="5" spans="1:29" x14ac:dyDescent="0.35">
      <c r="A5" s="37" t="s">
        <v>264</v>
      </c>
      <c r="B5" s="16">
        <v>0.67</v>
      </c>
      <c r="C5" s="17">
        <v>0.6724</v>
      </c>
      <c r="D5" s="19">
        <v>5.37</v>
      </c>
      <c r="E5" s="19">
        <v>6.73</v>
      </c>
      <c r="F5" s="19">
        <f>IF(OR(Table2245[[#This Row],[P/C]]&lt;=0,Table2245[[#This Row],[P/E]]&lt;=0),100,Table2245[[#This Row],[P/E]]-Table2245[[#This Row],[P/C]])</f>
        <v>-1.3600000000000003</v>
      </c>
      <c r="G5" s="17">
        <v>0.1116</v>
      </c>
      <c r="H5" s="17">
        <v>0.13270000000000001</v>
      </c>
      <c r="I5" s="19">
        <v>1.51</v>
      </c>
      <c r="J5" s="19">
        <f>ABS(IF(Table2245[[#This Row],[CFO/PAT]]&lt;0,100,1-Table2245[[#This Row],[CFO/PAT]]))</f>
        <v>0.51</v>
      </c>
      <c r="K5" s="19">
        <v>0.37</v>
      </c>
      <c r="L5" s="19">
        <f>ABS(IF(Table2245[[#This Row],[Debt Equity]]&lt;0,100,0-Table2245[[#This Row],[Debt Equity]]))</f>
        <v>0.37</v>
      </c>
      <c r="M5" s="20">
        <v>549.5</v>
      </c>
      <c r="N5" s="20">
        <v>1008</v>
      </c>
      <c r="O5" s="20">
        <v>412.2</v>
      </c>
      <c r="P5" s="17">
        <f t="shared" si="3"/>
        <v>0.83439490445859876</v>
      </c>
      <c r="Q5" s="19">
        <f>IF(LEFT(B5,1)="0",4,IF(LEFT(B5,1)="1",3,IF(LEFT(B5,1)="2",2,IF(LEFT(B5,1)="3",1,0))))</f>
        <v>4</v>
      </c>
      <c r="R5" s="19">
        <f>IF(C5&gt;0.7,4,IF(AND(C5&lt;0.7,C5&gt;0.65),3,IF(AND(C5&lt;0.65,C5&gt;0.6),2,IF(AND(C5&lt;0.6,C5&gt;0.55),1,0))))</f>
        <v>3</v>
      </c>
      <c r="S5" s="19">
        <f>IF(F5&lt;10,4,IF(AND(F5&lt;15,F5&gt;10),3,IF(AND(F5&lt;20,F5&gt;15),2,IF(AND(F5&lt;30,F5&gt;20),1,0))))</f>
        <v>4</v>
      </c>
      <c r="T5" s="14">
        <f t="shared" si="0"/>
        <v>1</v>
      </c>
      <c r="U5" s="14">
        <f t="shared" si="0"/>
        <v>1</v>
      </c>
      <c r="V5" s="14">
        <f>IF(J5&lt;0.15,4,IF(AND(J5&lt;0.3,J5&gt;0.15),3,IF(AND(J5&lt;0.45,J5&gt;0.3),2,IF(AND(J5&lt;0.6,J5&gt;0.45),1,0))))</f>
        <v>1</v>
      </c>
      <c r="W5" s="19">
        <f t="shared" si="1"/>
        <v>0</v>
      </c>
      <c r="X5" s="22">
        <f t="shared" si="2"/>
        <v>0.5</v>
      </c>
      <c r="Y5" s="10" t="s">
        <v>174</v>
      </c>
      <c r="Z5" s="24">
        <v>0</v>
      </c>
      <c r="AA5" s="14">
        <f>Z5/M5</f>
        <v>0</v>
      </c>
      <c r="AB5" s="25">
        <f>AA5*(N5*(IF(Y5="Low",0.9,IF(Y5="Medium",0.75,0.5)))-M5)</f>
        <v>0</v>
      </c>
      <c r="AC5" s="63">
        <f t="shared" si="4"/>
        <v>0</v>
      </c>
    </row>
    <row r="6" spans="1:29" x14ac:dyDescent="0.35">
      <c r="A6" s="37" t="s">
        <v>265</v>
      </c>
      <c r="B6" s="16">
        <v>3.32</v>
      </c>
      <c r="C6" s="17">
        <v>0.505</v>
      </c>
      <c r="D6" s="19">
        <v>24.45</v>
      </c>
      <c r="E6" s="19">
        <v>14.63</v>
      </c>
      <c r="F6" s="19">
        <f>IF(OR(Table2245[[#This Row],[P/C]]&lt;=0,Table2245[[#This Row],[P/E]]&lt;=0),100,Table2245[[#This Row],[P/E]]-Table2245[[#This Row],[P/C]])</f>
        <v>9.8199999999999985</v>
      </c>
      <c r="G6" s="17">
        <v>0.23150000000000001</v>
      </c>
      <c r="H6" s="17">
        <v>0.31280000000000002</v>
      </c>
      <c r="I6" s="19">
        <v>-2.2200000000000002</v>
      </c>
      <c r="J6" s="19">
        <f>ABS(IF(Table2245[[#This Row],[CFO/PAT]]&lt;0,100,1-Table2245[[#This Row],[CFO/PAT]]))</f>
        <v>100</v>
      </c>
      <c r="K6" s="19">
        <v>0</v>
      </c>
      <c r="L6" s="19">
        <f>ABS(IF(Table2245[[#This Row],[Debt Equity]]&lt;0,100,0-Table2245[[#This Row],[Debt Equity]]))</f>
        <v>0</v>
      </c>
      <c r="M6" s="20">
        <v>322.60000000000002</v>
      </c>
      <c r="N6" s="20">
        <v>750</v>
      </c>
      <c r="O6" s="20">
        <v>251</v>
      </c>
      <c r="P6" s="17">
        <f t="shared" si="3"/>
        <v>1.3248605083694978</v>
      </c>
      <c r="Q6" s="19">
        <f>IF(LEFT(B6,1)="0",4,IF(LEFT(B6,1)="1",3,IF(LEFT(B6,1)="2",2,IF(LEFT(B6,1)="3",1,0))))</f>
        <v>1</v>
      </c>
      <c r="R6" s="19">
        <f>IF(C6&gt;0.7,4,IF(AND(C6&lt;0.7,C6&gt;0.65),3,IF(AND(C6&lt;0.65,C6&gt;0.6),2,IF(AND(C6&lt;0.6,C6&gt;0.55),1,0))))</f>
        <v>0</v>
      </c>
      <c r="S6" s="19">
        <f>IF(F6&lt;10,4,IF(AND(F6&lt;15,F6&gt;10),3,IF(AND(F6&lt;20,F6&gt;15),2,IF(AND(F6&lt;30,F6&gt;20),1,0))))</f>
        <v>4</v>
      </c>
      <c r="T6" s="14">
        <f t="shared" si="0"/>
        <v>3</v>
      </c>
      <c r="U6" s="14">
        <f t="shared" si="0"/>
        <v>4</v>
      </c>
      <c r="V6" s="14">
        <f>IF(J6&lt;0.15,4,IF(AND(J6&lt;0.3,J6&gt;0.15),3,IF(AND(J6&lt;0.45,J6&gt;0.3),2,IF(AND(J6&lt;0.6,J6&gt;0.45),1,0))))</f>
        <v>0</v>
      </c>
      <c r="W6" s="19">
        <f t="shared" si="1"/>
        <v>4</v>
      </c>
      <c r="X6" s="22">
        <f t="shared" si="2"/>
        <v>0.5714285714285714</v>
      </c>
      <c r="Y6" s="10" t="s">
        <v>173</v>
      </c>
      <c r="Z6" s="24">
        <v>1000</v>
      </c>
      <c r="AA6" s="14">
        <f>Z6/M6</f>
        <v>3.0998140111593302</v>
      </c>
      <c r="AB6" s="25">
        <f>AA6*(N6*(IF(Y6="Low",0.9,IF(Y6="Medium",0.75,0.5)))-M6)</f>
        <v>743.64538127712319</v>
      </c>
      <c r="AC6" s="63">
        <f t="shared" si="4"/>
        <v>0.74364538127712321</v>
      </c>
    </row>
  </sheetData>
  <conditionalFormatting sqref="E1:E1048576">
    <cfRule type="colorScale" priority="15">
      <colorScale>
        <cfvo type="min"/>
        <cfvo type="percentile" val="50"/>
        <cfvo type="max"/>
        <color rgb="FF63BE7B"/>
        <color rgb="FFFFEB84"/>
        <color rgb="FFF8696B"/>
      </colorScale>
    </cfRule>
  </conditionalFormatting>
  <conditionalFormatting sqref="H1:H1048576">
    <cfRule type="colorScale" priority="14">
      <colorScale>
        <cfvo type="min"/>
        <cfvo type="percentile" val="50"/>
        <cfvo type="max"/>
        <color rgb="FFF8696B"/>
        <color rgb="FFFFEB84"/>
        <color rgb="FF63BE7B"/>
      </colorScale>
    </cfRule>
  </conditionalFormatting>
  <conditionalFormatting sqref="J1:J1048576">
    <cfRule type="colorScale" priority="13">
      <colorScale>
        <cfvo type="min"/>
        <cfvo type="percentile" val="50"/>
        <cfvo type="max"/>
        <color rgb="FF63BE7B"/>
        <color rgb="FFFFEB84"/>
        <color rgb="FFF8696B"/>
      </colorScale>
    </cfRule>
  </conditionalFormatting>
  <conditionalFormatting sqref="K1:L1048576">
    <cfRule type="colorScale" priority="12">
      <colorScale>
        <cfvo type="min"/>
        <cfvo type="percentile" val="50"/>
        <cfvo type="max"/>
        <color rgb="FF63BE7B"/>
        <color rgb="FFFFEB84"/>
        <color rgb="FFF8696B"/>
      </colorScale>
    </cfRule>
  </conditionalFormatting>
  <conditionalFormatting sqref="L1:L1048576">
    <cfRule type="colorScale" priority="11">
      <colorScale>
        <cfvo type="min"/>
        <cfvo type="percentile" val="50"/>
        <cfvo type="max"/>
        <color rgb="FF63BE7B"/>
        <color rgb="FFFFEB84"/>
        <color rgb="FFF8696B"/>
      </colorScale>
    </cfRule>
  </conditionalFormatting>
  <conditionalFormatting sqref="Q2">
    <cfRule type="colorScale" priority="10">
      <colorScale>
        <cfvo type="min"/>
        <cfvo type="percentile" val="50"/>
        <cfvo type="max"/>
        <color rgb="FF63BE7B"/>
        <color rgb="FFFFEB84"/>
        <color rgb="FFF8696B"/>
      </colorScale>
    </cfRule>
  </conditionalFormatting>
  <conditionalFormatting sqref="Q2">
    <cfRule type="colorScale" priority="9">
      <colorScale>
        <cfvo type="min"/>
        <cfvo type="percentile" val="50"/>
        <cfvo type="max"/>
        <color rgb="FF63BE7B"/>
        <color rgb="FFFFEB84"/>
        <color rgb="FFF8696B"/>
      </colorScale>
    </cfRule>
  </conditionalFormatting>
  <conditionalFormatting sqref="R2">
    <cfRule type="colorScale" priority="8">
      <colorScale>
        <cfvo type="min"/>
        <cfvo type="percentile" val="50"/>
        <cfvo type="max"/>
        <color rgb="FFF8696B"/>
        <color rgb="FFFFEB84"/>
        <color rgb="FF63BE7B"/>
      </colorScale>
    </cfRule>
  </conditionalFormatting>
  <conditionalFormatting sqref="S2">
    <cfRule type="colorScale" priority="7">
      <colorScale>
        <cfvo type="min"/>
        <cfvo type="percentile" val="50"/>
        <cfvo type="max"/>
        <color rgb="FF63BE7B"/>
        <color rgb="FFFFEB84"/>
        <color rgb="FFF8696B"/>
      </colorScale>
    </cfRule>
  </conditionalFormatting>
  <conditionalFormatting sqref="U2">
    <cfRule type="colorScale" priority="5">
      <colorScale>
        <cfvo type="min"/>
        <cfvo type="percentile" val="50"/>
        <cfvo type="max"/>
        <color rgb="FFF8696B"/>
        <color rgb="FFFFEB84"/>
        <color rgb="FF63BE7B"/>
      </colorScale>
    </cfRule>
  </conditionalFormatting>
  <conditionalFormatting sqref="T2">
    <cfRule type="colorScale" priority="6">
      <colorScale>
        <cfvo type="min"/>
        <cfvo type="percentile" val="50"/>
        <cfvo type="max"/>
        <color rgb="FFF8696B"/>
        <color rgb="FFFFEB84"/>
        <color rgb="FF63BE7B"/>
      </colorScale>
    </cfRule>
  </conditionalFormatting>
  <conditionalFormatting sqref="W2">
    <cfRule type="colorScale" priority="4">
      <colorScale>
        <cfvo type="min"/>
        <cfvo type="percentile" val="50"/>
        <cfvo type="max"/>
        <color rgb="FF63BE7B"/>
        <color rgb="FFFFEB84"/>
        <color rgb="FFF8696B"/>
      </colorScale>
    </cfRule>
  </conditionalFormatting>
  <conditionalFormatting sqref="W2">
    <cfRule type="colorScale" priority="3">
      <colorScale>
        <cfvo type="min"/>
        <cfvo type="percentile" val="50"/>
        <cfvo type="max"/>
        <color rgb="FF63BE7B"/>
        <color rgb="FFFFEB84"/>
        <color rgb="FFF8696B"/>
      </colorScale>
    </cfRule>
  </conditionalFormatting>
  <conditionalFormatting sqref="V2">
    <cfRule type="colorScale" priority="21">
      <colorScale>
        <cfvo type="min"/>
        <cfvo type="percentile" val="50"/>
        <cfvo type="max"/>
        <color rgb="FF63BE7B"/>
        <color rgb="FFFFEB84"/>
        <color rgb="FFF8696B"/>
      </colorScale>
    </cfRule>
  </conditionalFormatting>
  <conditionalFormatting sqref="B1:B1048576">
    <cfRule type="colorScale" priority="23">
      <colorScale>
        <cfvo type="min"/>
        <cfvo type="percentile" val="50"/>
        <cfvo type="max"/>
        <color rgb="FF63BE7B"/>
        <color rgb="FFFFEB84"/>
        <color rgb="FFF8696B"/>
      </colorScale>
    </cfRule>
  </conditionalFormatting>
  <conditionalFormatting sqref="C1:C1048576">
    <cfRule type="colorScale" priority="24">
      <colorScale>
        <cfvo type="min"/>
        <cfvo type="percentile" val="50"/>
        <cfvo type="max"/>
        <color rgb="FFF8696B"/>
        <color rgb="FFFFEB84"/>
        <color rgb="FF63BE7B"/>
      </colorScale>
    </cfRule>
  </conditionalFormatting>
  <conditionalFormatting sqref="D1:D1048576">
    <cfRule type="colorScale" priority="25">
      <colorScale>
        <cfvo type="min"/>
        <cfvo type="percentile" val="50"/>
        <cfvo type="max"/>
        <color rgb="FF63BE7B"/>
        <color rgb="FFFFEB84"/>
        <color rgb="FFF8696B"/>
      </colorScale>
    </cfRule>
  </conditionalFormatting>
  <conditionalFormatting sqref="G1:G1048576">
    <cfRule type="colorScale" priority="2">
      <colorScale>
        <cfvo type="min"/>
        <cfvo type="percentile" val="50"/>
        <cfvo type="max"/>
        <color rgb="FFF8696B"/>
        <color rgb="FFFFEB84"/>
        <color rgb="FF63BE7B"/>
      </colorScale>
    </cfRule>
  </conditionalFormatting>
  <conditionalFormatting sqref="F1:F1048576">
    <cfRule type="colorScale" priority="26">
      <colorScale>
        <cfvo type="min"/>
        <cfvo type="percentile" val="50"/>
        <cfvo type="max"/>
        <color rgb="FF63BE7B"/>
        <color rgb="FFFFEB84"/>
        <color rgb="FFF8696B"/>
      </colorScale>
    </cfRule>
  </conditionalFormatting>
  <conditionalFormatting sqref="I1:I1048576">
    <cfRule type="colorScale" priority="1">
      <colorScale>
        <cfvo type="min"/>
        <cfvo type="percentile" val="50"/>
        <cfvo type="max"/>
        <color rgb="FF63BE7B"/>
        <color rgb="FFFFEB84"/>
        <color rgb="FFF8696B"/>
      </colorScale>
    </cfRule>
  </conditionalFormatting>
  <conditionalFormatting sqref="B2:B6">
    <cfRule type="colorScale" priority="850">
      <colorScale>
        <cfvo type="min"/>
        <cfvo type="percentile" val="50"/>
        <cfvo type="max"/>
        <color rgb="FF63BE7B"/>
        <color rgb="FFFFEB84"/>
        <color rgb="FFF8696B"/>
      </colorScale>
    </cfRule>
  </conditionalFormatting>
  <conditionalFormatting sqref="D3:D6">
    <cfRule type="colorScale" priority="851">
      <colorScale>
        <cfvo type="min"/>
        <cfvo type="percentile" val="50"/>
        <cfvo type="max"/>
        <color rgb="FF63BE7B"/>
        <color rgb="FFFFEB84"/>
        <color rgb="FFF8696B"/>
      </colorScale>
    </cfRule>
  </conditionalFormatting>
  <conditionalFormatting sqref="E3:F6">
    <cfRule type="colorScale" priority="852">
      <colorScale>
        <cfvo type="min"/>
        <cfvo type="percentile" val="50"/>
        <cfvo type="max"/>
        <color rgb="FFF8696B"/>
        <color rgb="FFFFEB84"/>
        <color rgb="FF63BE7B"/>
      </colorScale>
    </cfRule>
  </conditionalFormatting>
  <conditionalFormatting sqref="X3:X6">
    <cfRule type="colorScale" priority="853">
      <colorScale>
        <cfvo type="min"/>
        <cfvo type="percentile" val="50"/>
        <cfvo type="max"/>
        <color rgb="FFF8696B"/>
        <color rgb="FFFFEB84"/>
        <color rgb="FF63BE7B"/>
      </colorScale>
    </cfRule>
  </conditionalFormatting>
  <conditionalFormatting sqref="C3:C6">
    <cfRule type="colorScale" priority="854">
      <colorScale>
        <cfvo type="min"/>
        <cfvo type="percentile" val="50"/>
        <cfvo type="max"/>
        <color rgb="FFF8696B"/>
        <color rgb="FFFFEB84"/>
        <color rgb="FF63BE7B"/>
      </colorScale>
    </cfRule>
  </conditionalFormatting>
  <conditionalFormatting sqref="G3:L6">
    <cfRule type="colorScale" priority="855">
      <colorScale>
        <cfvo type="min"/>
        <cfvo type="percentile" val="50"/>
        <cfvo type="max"/>
        <color rgb="FFF8696B"/>
        <color rgb="FFFFEB84"/>
        <color rgb="FF63BE7B"/>
      </colorScale>
    </cfRule>
  </conditionalFormatting>
  <pageMargins left="0.7" right="0.7" top="0.75" bottom="0.75" header="0.3" footer="0.3"/>
  <pageSetup paperSize="9" orientation="portrait" horizontalDpi="90" verticalDpi="90"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801DDB-8E7C-422C-8634-D4606100DD41}">
  <dimension ref="B2:H6"/>
  <sheetViews>
    <sheetView showGridLines="0" workbookViewId="0">
      <selection activeCell="B3" sqref="B3:B5"/>
    </sheetView>
  </sheetViews>
  <sheetFormatPr defaultRowHeight="14.5" x14ac:dyDescent="0.35"/>
  <cols>
    <col min="2" max="2" width="45.81640625" bestFit="1" customWidth="1"/>
    <col min="3" max="3" width="12.453125" bestFit="1" customWidth="1"/>
    <col min="4" max="4" width="13.81640625" bestFit="1" customWidth="1"/>
    <col min="5" max="5" width="17.81640625" bestFit="1" customWidth="1"/>
    <col min="6" max="6" width="10.08984375" bestFit="1" customWidth="1"/>
    <col min="7" max="7" width="12.453125" bestFit="1" customWidth="1"/>
    <col min="8" max="8" width="13.81640625" bestFit="1" customWidth="1"/>
  </cols>
  <sheetData>
    <row r="2" spans="2:8" x14ac:dyDescent="0.35">
      <c r="B2" s="51" t="s">
        <v>243</v>
      </c>
      <c r="C2" s="51" t="s">
        <v>171</v>
      </c>
      <c r="D2" s="51" t="s">
        <v>155</v>
      </c>
      <c r="E2" s="51" t="s">
        <v>175</v>
      </c>
      <c r="F2" s="51" t="s">
        <v>176</v>
      </c>
      <c r="G2" s="7" t="s">
        <v>179</v>
      </c>
      <c r="H2" s="82" t="s">
        <v>181</v>
      </c>
    </row>
    <row r="3" spans="2:8" x14ac:dyDescent="0.35">
      <c r="B3" s="4" t="s">
        <v>263</v>
      </c>
      <c r="C3" s="4" t="s">
        <v>174</v>
      </c>
      <c r="D3" s="7">
        <v>468.5</v>
      </c>
      <c r="E3" s="64">
        <v>1000</v>
      </c>
      <c r="F3" s="15">
        <v>2.134471718249733</v>
      </c>
      <c r="G3" s="7">
        <v>233.72465314834577</v>
      </c>
      <c r="H3" s="82">
        <v>0.23372465314834576</v>
      </c>
    </row>
    <row r="4" spans="2:8" x14ac:dyDescent="0.35">
      <c r="B4" s="4" t="s">
        <v>262</v>
      </c>
      <c r="C4" s="4" t="s">
        <v>174</v>
      </c>
      <c r="D4" s="7">
        <v>2486.15</v>
      </c>
      <c r="E4" s="64">
        <v>1000</v>
      </c>
      <c r="F4" s="15">
        <v>0.40222834503147437</v>
      </c>
      <c r="G4" s="7">
        <v>-371.51821088832133</v>
      </c>
      <c r="H4" s="82">
        <v>-0.37151821088832132</v>
      </c>
    </row>
    <row r="5" spans="2:8" x14ac:dyDescent="0.35">
      <c r="B5" s="4" t="s">
        <v>265</v>
      </c>
      <c r="C5" s="4" t="s">
        <v>173</v>
      </c>
      <c r="D5" s="7">
        <v>322.60000000000002</v>
      </c>
      <c r="E5" s="64">
        <v>1000</v>
      </c>
      <c r="F5" s="15">
        <v>3.0998140111593302</v>
      </c>
      <c r="G5" s="7">
        <v>743.64538127712319</v>
      </c>
      <c r="H5" s="82">
        <v>0.74364538127712321</v>
      </c>
    </row>
    <row r="6" spans="2:8" x14ac:dyDescent="0.35">
      <c r="B6" s="4" t="s">
        <v>180</v>
      </c>
      <c r="C6" s="4"/>
      <c r="D6" s="4"/>
      <c r="E6" s="4"/>
      <c r="F6" s="4"/>
      <c r="G6" s="7">
        <v>605.85182353714765</v>
      </c>
      <c r="H6" s="82">
        <v>0.60585182353714762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405ED-A110-4DE9-8DE0-3D133C53D279}">
  <sheetPr codeName="Sheet9"/>
  <dimension ref="A2:AC5"/>
  <sheetViews>
    <sheetView showGridLines="0" zoomScaleNormal="100" workbookViewId="0">
      <pane xSplit="1" topLeftCell="B1" activePane="topRight" state="frozen"/>
      <selection activeCell="B1" sqref="B1"/>
      <selection pane="topRight" activeCell="A3" sqref="A3:A4"/>
    </sheetView>
  </sheetViews>
  <sheetFormatPr defaultRowHeight="14.5" x14ac:dyDescent="0.35"/>
  <cols>
    <col min="1" max="1" width="45.7265625" bestFit="1" customWidth="1"/>
    <col min="2" max="2" width="6.08984375" bestFit="1" customWidth="1"/>
    <col min="3" max="3" width="18.08984375" style="5" bestFit="1" customWidth="1"/>
    <col min="4" max="4" width="7.26953125" style="13" bestFit="1" customWidth="1"/>
    <col min="5" max="5" width="8.26953125" style="13" bestFit="1" customWidth="1"/>
    <col min="6" max="6" width="11.81640625" style="13" bestFit="1" customWidth="1"/>
    <col min="7" max="7" width="6.81640625" style="5" bestFit="1" customWidth="1"/>
    <col min="8" max="8" width="7.6328125" style="5" bestFit="1" customWidth="1"/>
    <col min="9" max="9" width="11.81640625" style="13" bestFit="1" customWidth="1"/>
    <col min="10" max="10" width="13.453125" style="13" bestFit="1" customWidth="1"/>
    <col min="11" max="11" width="14.1796875" style="13" bestFit="1" customWidth="1"/>
    <col min="12" max="12" width="15.90625" style="13" bestFit="1" customWidth="1"/>
    <col min="13" max="13" width="15.453125" style="6" bestFit="1" customWidth="1"/>
    <col min="14" max="14" width="15.90625" style="6" bestFit="1" customWidth="1"/>
    <col min="15" max="15" width="15.54296875" style="6" bestFit="1" customWidth="1"/>
    <col min="16" max="16" width="8.54296875" style="3" bestFit="1" customWidth="1"/>
    <col min="17" max="17" width="11.08984375" style="13" bestFit="1" customWidth="1"/>
    <col min="18" max="18" width="23.1796875" style="13" bestFit="1" customWidth="1"/>
    <col min="19" max="19" width="16" bestFit="1" customWidth="1"/>
    <col min="20" max="20" width="11.54296875" bestFit="1" customWidth="1"/>
    <col min="21" max="21" width="12.6328125" bestFit="1" customWidth="1"/>
    <col min="22" max="22" width="18.54296875" bestFit="1" customWidth="1"/>
    <col min="23" max="23" width="21" bestFit="1" customWidth="1"/>
    <col min="24" max="24" width="7.36328125" bestFit="1" customWidth="1"/>
    <col min="25" max="25" width="10" bestFit="1" customWidth="1"/>
    <col min="26" max="26" width="19.08984375" style="23" bestFit="1" customWidth="1"/>
    <col min="27" max="28" width="10.08984375" bestFit="1" customWidth="1"/>
    <col min="29" max="29" width="12" bestFit="1" customWidth="1"/>
  </cols>
  <sheetData>
    <row r="2" spans="1:29" x14ac:dyDescent="0.35">
      <c r="A2" s="38" t="s">
        <v>243</v>
      </c>
      <c r="B2" s="16" t="s">
        <v>62</v>
      </c>
      <c r="C2" s="17" t="s">
        <v>47</v>
      </c>
      <c r="D2" s="19" t="s">
        <v>57</v>
      </c>
      <c r="E2" s="19" t="s">
        <v>216</v>
      </c>
      <c r="F2" s="19" t="s">
        <v>217</v>
      </c>
      <c r="G2" s="58" t="s">
        <v>73</v>
      </c>
      <c r="H2" s="58" t="s">
        <v>182</v>
      </c>
      <c r="I2" s="59" t="s">
        <v>97</v>
      </c>
      <c r="J2" s="59" t="s">
        <v>236</v>
      </c>
      <c r="K2" s="59" t="s">
        <v>214</v>
      </c>
      <c r="L2" s="59" t="s">
        <v>237</v>
      </c>
      <c r="M2" s="18" t="s">
        <v>155</v>
      </c>
      <c r="N2" s="18" t="s">
        <v>156</v>
      </c>
      <c r="O2" s="18" t="s">
        <v>157</v>
      </c>
      <c r="P2" s="60" t="s">
        <v>161</v>
      </c>
      <c r="Q2" s="16" t="s">
        <v>162</v>
      </c>
      <c r="R2" s="17" t="s">
        <v>238</v>
      </c>
      <c r="S2" s="19" t="s">
        <v>239</v>
      </c>
      <c r="T2" s="58" t="s">
        <v>164</v>
      </c>
      <c r="U2" s="58" t="s">
        <v>240</v>
      </c>
      <c r="V2" s="59" t="s">
        <v>241</v>
      </c>
      <c r="W2" s="59" t="s">
        <v>242</v>
      </c>
      <c r="X2" s="60" t="s">
        <v>168</v>
      </c>
      <c r="Y2" s="61" t="s">
        <v>171</v>
      </c>
      <c r="Z2" s="62" t="s">
        <v>175</v>
      </c>
      <c r="AA2" s="4" t="s">
        <v>176</v>
      </c>
      <c r="AB2" s="10" t="s">
        <v>177</v>
      </c>
      <c r="AC2" s="10" t="s">
        <v>178</v>
      </c>
    </row>
    <row r="3" spans="1:29" x14ac:dyDescent="0.35">
      <c r="A3" s="37" t="s">
        <v>278</v>
      </c>
      <c r="B3" s="16">
        <v>3.27</v>
      </c>
      <c r="C3" s="17">
        <v>0.627</v>
      </c>
      <c r="D3" s="19">
        <v>0</v>
      </c>
      <c r="E3" s="19">
        <v>13.85</v>
      </c>
      <c r="F3" s="19">
        <f>IF(OR(Table224567[[#This Row],[P/C]]&lt;=0,Table224567[[#This Row],[P/E]]&lt;=0),100,Table224567[[#This Row],[P/E]]-Table224567[[#This Row],[P/C]])</f>
        <v>100</v>
      </c>
      <c r="G3" s="17">
        <v>1.89E-2</v>
      </c>
      <c r="H3" s="17">
        <v>4.7300000000000002E-2</v>
      </c>
      <c r="I3" s="19">
        <v>18.72</v>
      </c>
      <c r="J3" s="19">
        <f>ABS(IF(Table224567[[#This Row],[CFO/PAT]]&lt;0,100,1-Table224567[[#This Row],[CFO/PAT]]))</f>
        <v>17.72</v>
      </c>
      <c r="K3" s="19">
        <v>1.76</v>
      </c>
      <c r="L3" s="19">
        <f>ABS(IF(Table224567[[#This Row],[Debt Equity]]&lt;0,100,0-Table224567[[#This Row],[Debt Equity]]))</f>
        <v>1.76</v>
      </c>
      <c r="M3" s="20">
        <v>502.45</v>
      </c>
      <c r="N3" s="20">
        <v>568.79999999999995</v>
      </c>
      <c r="O3" s="20">
        <v>305.69</v>
      </c>
      <c r="P3" s="17">
        <f>(N3-M3)/M3</f>
        <v>0.13205294059110353</v>
      </c>
      <c r="Q3" s="19">
        <f>IF(LEFT(B3,1)="0",4,IF(LEFT(B3,1)="1",3,IF(LEFT(B3,1)="2",2,IF(LEFT(B3,1)="3",1,0))))</f>
        <v>1</v>
      </c>
      <c r="R3" s="19">
        <f>IF(C3&gt;0.7,4,IF(AND(C3&lt;0.7,C3&gt;0.65),3,IF(AND(C3&lt;0.65,C3&gt;0.6),2,IF(AND(C3&lt;0.6,C3&gt;0.55),1,0))))</f>
        <v>2</v>
      </c>
      <c r="S3" s="19">
        <f>IF(F3&lt;10,4,IF(AND(F3&lt;15,F3&gt;10),3,IF(AND(F3&lt;20,F3&gt;15),2,IF(AND(F3&lt;30,F3&gt;20),1,0))))</f>
        <v>0</v>
      </c>
      <c r="T3" s="14">
        <f t="shared" ref="T3:U5" si="0">IF(G3&gt;0.25,4,IF(AND(G3&lt;0.25,G3&gt;0.2),3,IF(AND(G3&lt;0.2,G3&gt;0.15),2,IF(AND(G3&lt;0.15,G3&gt;0.1),1,0))))</f>
        <v>0</v>
      </c>
      <c r="U3" s="14">
        <f t="shared" si="0"/>
        <v>0</v>
      </c>
      <c r="V3" s="14">
        <f>IF(J3&lt;0.15,4,IF(AND(J3&lt;0.3,J3&gt;0.15),3,IF(AND(J3&lt;0.45,J3&gt;0.3),2,IF(AND(J3&lt;0.6,J3&gt;0.45),1,0))))</f>
        <v>0</v>
      </c>
      <c r="W3" s="19">
        <f t="shared" ref="W3:W5" si="1">IF(L3=0,4,IF(AND(L3&lt;0.1,L3&gt;0),3,IF(AND(L3&lt;0.2,L3&gt;0.1),2,IF(AND(L3&lt;0.3,L3&gt;0.2),1,0))))</f>
        <v>0</v>
      </c>
      <c r="X3" s="22">
        <f t="shared" ref="X3:X5" si="2">SUM(Q3:W3)/28</f>
        <v>0.10714285714285714</v>
      </c>
      <c r="Y3" s="10" t="s">
        <v>174</v>
      </c>
      <c r="Z3" s="24">
        <v>1000</v>
      </c>
      <c r="AA3" s="14">
        <f>Z3/M3</f>
        <v>1.9902477858493384</v>
      </c>
      <c r="AB3" s="25">
        <f>AA3*(N3*(IF(Y3="Low",0.9,IF(Y3="Medium",0.75,0.5)))-M3)</f>
        <v>-433.97352970444825</v>
      </c>
      <c r="AC3" s="63">
        <f>IFERROR(AB3/Z3,0)</f>
        <v>-0.43397352970444825</v>
      </c>
    </row>
    <row r="4" spans="1:29" x14ac:dyDescent="0.35">
      <c r="A4" s="37" t="s">
        <v>279</v>
      </c>
      <c r="B4" s="16">
        <v>2.36</v>
      </c>
      <c r="C4" s="17">
        <v>0.53510000000000002</v>
      </c>
      <c r="D4" s="19">
        <v>9.5500000000000007</v>
      </c>
      <c r="E4" s="19">
        <v>9.85</v>
      </c>
      <c r="F4" s="19">
        <f>IF(OR(Table224567[[#This Row],[P/C]]&lt;=0,Table224567[[#This Row],[P/E]]&lt;=0),100,Table224567[[#This Row],[P/E]]-Table224567[[#This Row],[P/C]])</f>
        <v>-0.29999999999999893</v>
      </c>
      <c r="G4" s="17">
        <v>9.3799999999999994E-2</v>
      </c>
      <c r="H4" s="17">
        <v>0.1643</v>
      </c>
      <c r="I4" s="19">
        <v>1.31</v>
      </c>
      <c r="J4" s="19">
        <f>ABS(IF(Table224567[[#This Row],[CFO/PAT]]&lt;0,100,1-Table224567[[#This Row],[CFO/PAT]]))</f>
        <v>0.31000000000000005</v>
      </c>
      <c r="K4" s="19">
        <v>0</v>
      </c>
      <c r="L4" s="19">
        <f>ABS(IF(Table224567[[#This Row],[Debt Equity]]&lt;0,100,0-Table224567[[#This Row],[Debt Equity]]))</f>
        <v>0</v>
      </c>
      <c r="M4" s="20">
        <v>168.2</v>
      </c>
      <c r="N4" s="20">
        <v>313.85000000000002</v>
      </c>
      <c r="O4" s="20">
        <v>121.25</v>
      </c>
      <c r="P4" s="17">
        <f t="shared" ref="P4:P5" si="3">(N4-M4)/M4</f>
        <v>0.86593341260404311</v>
      </c>
      <c r="Q4" s="19">
        <f>IF(LEFT(B4,1)="0",4,IF(LEFT(B4,1)="1",3,IF(LEFT(B4,1)="2",2,IF(LEFT(B4,1)="3",1,0))))</f>
        <v>2</v>
      </c>
      <c r="R4" s="19">
        <f>IF(C4&gt;0.7,4,IF(AND(C4&lt;0.7,C4&gt;0.65),3,IF(AND(C4&lt;0.65,C4&gt;0.6),2,IF(AND(C4&lt;0.6,C4&gt;0.55),1,0))))</f>
        <v>0</v>
      </c>
      <c r="S4" s="19">
        <f>IF(F4&lt;10,4,IF(AND(F4&lt;15,F4&gt;10),3,IF(AND(F4&lt;20,F4&gt;15),2,IF(AND(F4&lt;30,F4&gt;20),1,0))))</f>
        <v>4</v>
      </c>
      <c r="T4" s="14">
        <f t="shared" si="0"/>
        <v>0</v>
      </c>
      <c r="U4" s="14">
        <f t="shared" si="0"/>
        <v>2</v>
      </c>
      <c r="V4" s="14">
        <f>IF(J4&lt;0.15,4,IF(AND(J4&lt;0.3,J4&gt;0.15),3,IF(AND(J4&lt;0.45,J4&gt;0.3),2,IF(AND(J4&lt;0.6,J4&gt;0.45),1,0))))</f>
        <v>2</v>
      </c>
      <c r="W4" s="19">
        <f t="shared" si="1"/>
        <v>4</v>
      </c>
      <c r="X4" s="22">
        <f t="shared" si="2"/>
        <v>0.5</v>
      </c>
      <c r="Y4" s="10" t="s">
        <v>174</v>
      </c>
      <c r="Z4" s="24">
        <v>0</v>
      </c>
      <c r="AA4" s="14">
        <f>Z4/M4</f>
        <v>0</v>
      </c>
      <c r="AB4" s="25">
        <f>AA4*(N4*(IF(Y4="Low",0.9,IF(Y4="Medium",0.75,0.5)))-M4)</f>
        <v>0</v>
      </c>
      <c r="AC4" s="63">
        <f t="shared" ref="AC4:AC5" si="4">IFERROR(AB4/Z4,0)</f>
        <v>0</v>
      </c>
    </row>
    <row r="5" spans="1:29" x14ac:dyDescent="0.35">
      <c r="A5" s="37" t="s">
        <v>280</v>
      </c>
      <c r="B5" s="16">
        <v>3329.59</v>
      </c>
      <c r="C5" s="17">
        <v>0.74990000000000001</v>
      </c>
      <c r="D5" s="19">
        <v>0</v>
      </c>
      <c r="E5" s="19">
        <v>5.72</v>
      </c>
      <c r="F5" s="19">
        <f>IF(OR(Table224567[[#This Row],[P/C]]&lt;=0,Table224567[[#This Row],[P/E]]&lt;=0),100,Table224567[[#This Row],[P/E]]-Table224567[[#This Row],[P/C]])</f>
        <v>100</v>
      </c>
      <c r="G5" s="17">
        <v>0.44019999999999998</v>
      </c>
      <c r="H5" s="17">
        <v>7.7100000000000002E-2</v>
      </c>
      <c r="I5" s="19">
        <v>653.02</v>
      </c>
      <c r="J5" s="19">
        <f>ABS(IF(Table224567[[#This Row],[CFO/PAT]]&lt;0,100,1-Table224567[[#This Row],[CFO/PAT]]))</f>
        <v>652.02</v>
      </c>
      <c r="K5" s="19">
        <v>-54.64</v>
      </c>
      <c r="L5" s="19">
        <f>ABS(IF(Table224567[[#This Row],[Debt Equity]]&lt;0,100,0-Table224567[[#This Row],[Debt Equity]]))</f>
        <v>100</v>
      </c>
      <c r="M5" s="20">
        <v>370.25</v>
      </c>
      <c r="N5" s="20">
        <v>584</v>
      </c>
      <c r="O5" s="20">
        <v>205.7</v>
      </c>
      <c r="P5" s="17">
        <f t="shared" si="3"/>
        <v>0.57731262660364624</v>
      </c>
      <c r="Q5" s="19">
        <f>IF(LEFT(B5,1)="0",4,IF(LEFT(B5,1)="1",3,IF(LEFT(B5,1)="2",2,IF(LEFT(B5,1)="3",1,0))))</f>
        <v>1</v>
      </c>
      <c r="R5" s="19">
        <f>IF(C5&gt;0.7,4,IF(AND(C5&lt;0.7,C5&gt;0.65),3,IF(AND(C5&lt;0.65,C5&gt;0.6),2,IF(AND(C5&lt;0.6,C5&gt;0.55),1,0))))</f>
        <v>4</v>
      </c>
      <c r="S5" s="19">
        <f>IF(F5&lt;10,4,IF(AND(F5&lt;15,F5&gt;10),3,IF(AND(F5&lt;20,F5&gt;15),2,IF(AND(F5&lt;30,F5&gt;20),1,0))))</f>
        <v>0</v>
      </c>
      <c r="T5" s="14">
        <f t="shared" si="0"/>
        <v>4</v>
      </c>
      <c r="U5" s="14">
        <f t="shared" si="0"/>
        <v>0</v>
      </c>
      <c r="V5" s="14">
        <f>IF(J5&lt;0.15,4,IF(AND(J5&lt;0.3,J5&gt;0.15),3,IF(AND(J5&lt;0.45,J5&gt;0.3),2,IF(AND(J5&lt;0.6,J5&gt;0.45),1,0))))</f>
        <v>0</v>
      </c>
      <c r="W5" s="19">
        <f t="shared" si="1"/>
        <v>0</v>
      </c>
      <c r="X5" s="22">
        <f t="shared" si="2"/>
        <v>0.32142857142857145</v>
      </c>
      <c r="Y5" s="10" t="s">
        <v>174</v>
      </c>
      <c r="Z5" s="24">
        <v>500</v>
      </c>
      <c r="AA5" s="14">
        <f>Z5/M5</f>
        <v>1.3504388926401081</v>
      </c>
      <c r="AB5" s="25">
        <f>AA5*(N5*(IF(Y5="Low",0.9,IF(Y5="Medium",0.75,0.5)))-M5)</f>
        <v>-105.67184334908846</v>
      </c>
      <c r="AC5" s="63">
        <f t="shared" si="4"/>
        <v>-0.21134368669817694</v>
      </c>
    </row>
  </sheetData>
  <conditionalFormatting sqref="E1:E1048576">
    <cfRule type="colorScale" priority="15">
      <colorScale>
        <cfvo type="min"/>
        <cfvo type="percentile" val="50"/>
        <cfvo type="max"/>
        <color rgb="FF63BE7B"/>
        <color rgb="FFFFEB84"/>
        <color rgb="FFF8696B"/>
      </colorScale>
    </cfRule>
  </conditionalFormatting>
  <conditionalFormatting sqref="H1:H1048576">
    <cfRule type="colorScale" priority="14">
      <colorScale>
        <cfvo type="min"/>
        <cfvo type="percentile" val="50"/>
        <cfvo type="max"/>
        <color rgb="FFF8696B"/>
        <color rgb="FFFFEB84"/>
        <color rgb="FF63BE7B"/>
      </colorScale>
    </cfRule>
  </conditionalFormatting>
  <conditionalFormatting sqref="J1:J1048576">
    <cfRule type="colorScale" priority="13">
      <colorScale>
        <cfvo type="min"/>
        <cfvo type="percentile" val="50"/>
        <cfvo type="max"/>
        <color rgb="FF63BE7B"/>
        <color rgb="FFFFEB84"/>
        <color rgb="FFF8696B"/>
      </colorScale>
    </cfRule>
  </conditionalFormatting>
  <conditionalFormatting sqref="K1:L1048576">
    <cfRule type="colorScale" priority="12">
      <colorScale>
        <cfvo type="min"/>
        <cfvo type="percentile" val="50"/>
        <cfvo type="max"/>
        <color rgb="FF63BE7B"/>
        <color rgb="FFFFEB84"/>
        <color rgb="FFF8696B"/>
      </colorScale>
    </cfRule>
  </conditionalFormatting>
  <conditionalFormatting sqref="L1:L1048576">
    <cfRule type="colorScale" priority="11">
      <colorScale>
        <cfvo type="min"/>
        <cfvo type="percentile" val="50"/>
        <cfvo type="max"/>
        <color rgb="FF63BE7B"/>
        <color rgb="FFFFEB84"/>
        <color rgb="FFF8696B"/>
      </colorScale>
    </cfRule>
  </conditionalFormatting>
  <conditionalFormatting sqref="Q2">
    <cfRule type="colorScale" priority="10">
      <colorScale>
        <cfvo type="min"/>
        <cfvo type="percentile" val="50"/>
        <cfvo type="max"/>
        <color rgb="FF63BE7B"/>
        <color rgb="FFFFEB84"/>
        <color rgb="FFF8696B"/>
      </colorScale>
    </cfRule>
  </conditionalFormatting>
  <conditionalFormatting sqref="Q2">
    <cfRule type="colorScale" priority="9">
      <colorScale>
        <cfvo type="min"/>
        <cfvo type="percentile" val="50"/>
        <cfvo type="max"/>
        <color rgb="FF63BE7B"/>
        <color rgb="FFFFEB84"/>
        <color rgb="FFF8696B"/>
      </colorScale>
    </cfRule>
  </conditionalFormatting>
  <conditionalFormatting sqref="R2">
    <cfRule type="colorScale" priority="8">
      <colorScale>
        <cfvo type="min"/>
        <cfvo type="percentile" val="50"/>
        <cfvo type="max"/>
        <color rgb="FFF8696B"/>
        <color rgb="FFFFEB84"/>
        <color rgb="FF63BE7B"/>
      </colorScale>
    </cfRule>
  </conditionalFormatting>
  <conditionalFormatting sqref="S2">
    <cfRule type="colorScale" priority="7">
      <colorScale>
        <cfvo type="min"/>
        <cfvo type="percentile" val="50"/>
        <cfvo type="max"/>
        <color rgb="FF63BE7B"/>
        <color rgb="FFFFEB84"/>
        <color rgb="FFF8696B"/>
      </colorScale>
    </cfRule>
  </conditionalFormatting>
  <conditionalFormatting sqref="U2">
    <cfRule type="colorScale" priority="5">
      <colorScale>
        <cfvo type="min"/>
        <cfvo type="percentile" val="50"/>
        <cfvo type="max"/>
        <color rgb="FFF8696B"/>
        <color rgb="FFFFEB84"/>
        <color rgb="FF63BE7B"/>
      </colorScale>
    </cfRule>
  </conditionalFormatting>
  <conditionalFormatting sqref="T2">
    <cfRule type="colorScale" priority="6">
      <colorScale>
        <cfvo type="min"/>
        <cfvo type="percentile" val="50"/>
        <cfvo type="max"/>
        <color rgb="FFF8696B"/>
        <color rgb="FFFFEB84"/>
        <color rgb="FF63BE7B"/>
      </colorScale>
    </cfRule>
  </conditionalFormatting>
  <conditionalFormatting sqref="W2">
    <cfRule type="colorScale" priority="4">
      <colorScale>
        <cfvo type="min"/>
        <cfvo type="percentile" val="50"/>
        <cfvo type="max"/>
        <color rgb="FF63BE7B"/>
        <color rgb="FFFFEB84"/>
        <color rgb="FFF8696B"/>
      </colorScale>
    </cfRule>
  </conditionalFormatting>
  <conditionalFormatting sqref="W2">
    <cfRule type="colorScale" priority="3">
      <colorScale>
        <cfvo type="min"/>
        <cfvo type="percentile" val="50"/>
        <cfvo type="max"/>
        <color rgb="FF63BE7B"/>
        <color rgb="FFFFEB84"/>
        <color rgb="FFF8696B"/>
      </colorScale>
    </cfRule>
  </conditionalFormatting>
  <conditionalFormatting sqref="V2">
    <cfRule type="colorScale" priority="16">
      <colorScale>
        <cfvo type="min"/>
        <cfvo type="percentile" val="50"/>
        <cfvo type="max"/>
        <color rgb="FF63BE7B"/>
        <color rgb="FFFFEB84"/>
        <color rgb="FFF8696B"/>
      </colorScale>
    </cfRule>
  </conditionalFormatting>
  <conditionalFormatting sqref="B1:B1048576">
    <cfRule type="colorScale" priority="17">
      <colorScale>
        <cfvo type="min"/>
        <cfvo type="percentile" val="50"/>
        <cfvo type="max"/>
        <color rgb="FF63BE7B"/>
        <color rgb="FFFFEB84"/>
        <color rgb="FFF8696B"/>
      </colorScale>
    </cfRule>
  </conditionalFormatting>
  <conditionalFormatting sqref="C1:C1048576">
    <cfRule type="colorScale" priority="18">
      <colorScale>
        <cfvo type="min"/>
        <cfvo type="percentile" val="50"/>
        <cfvo type="max"/>
        <color rgb="FFF8696B"/>
        <color rgb="FFFFEB84"/>
        <color rgb="FF63BE7B"/>
      </colorScale>
    </cfRule>
  </conditionalFormatting>
  <conditionalFormatting sqref="D1:D1048576">
    <cfRule type="colorScale" priority="19">
      <colorScale>
        <cfvo type="min"/>
        <cfvo type="percentile" val="50"/>
        <cfvo type="max"/>
        <color rgb="FF63BE7B"/>
        <color rgb="FFFFEB84"/>
        <color rgb="FFF8696B"/>
      </colorScale>
    </cfRule>
  </conditionalFormatting>
  <conditionalFormatting sqref="G1:G1048576">
    <cfRule type="colorScale" priority="2">
      <colorScale>
        <cfvo type="min"/>
        <cfvo type="percentile" val="50"/>
        <cfvo type="max"/>
        <color rgb="FFF8696B"/>
        <color rgb="FFFFEB84"/>
        <color rgb="FF63BE7B"/>
      </colorScale>
    </cfRule>
  </conditionalFormatting>
  <conditionalFormatting sqref="F1:F1048576">
    <cfRule type="colorScale" priority="20">
      <colorScale>
        <cfvo type="min"/>
        <cfvo type="percentile" val="50"/>
        <cfvo type="max"/>
        <color rgb="FF63BE7B"/>
        <color rgb="FFFFEB84"/>
        <color rgb="FFF8696B"/>
      </colorScale>
    </cfRule>
  </conditionalFormatting>
  <conditionalFormatting sqref="I1:I1048576">
    <cfRule type="colorScale" priority="1">
      <colorScale>
        <cfvo type="min"/>
        <cfvo type="percentile" val="50"/>
        <cfvo type="max"/>
        <color rgb="FF63BE7B"/>
        <color rgb="FFFFEB84"/>
        <color rgb="FFF8696B"/>
      </colorScale>
    </cfRule>
  </conditionalFormatting>
  <conditionalFormatting sqref="B2:B5">
    <cfRule type="colorScale" priority="1746">
      <colorScale>
        <cfvo type="min"/>
        <cfvo type="percentile" val="50"/>
        <cfvo type="max"/>
        <color rgb="FF63BE7B"/>
        <color rgb="FFFFEB84"/>
        <color rgb="FFF8696B"/>
      </colorScale>
    </cfRule>
  </conditionalFormatting>
  <conditionalFormatting sqref="D3:D5">
    <cfRule type="colorScale" priority="1747">
      <colorScale>
        <cfvo type="min"/>
        <cfvo type="percentile" val="50"/>
        <cfvo type="max"/>
        <color rgb="FF63BE7B"/>
        <color rgb="FFFFEB84"/>
        <color rgb="FFF8696B"/>
      </colorScale>
    </cfRule>
  </conditionalFormatting>
  <conditionalFormatting sqref="E3:F5">
    <cfRule type="colorScale" priority="1748">
      <colorScale>
        <cfvo type="min"/>
        <cfvo type="percentile" val="50"/>
        <cfvo type="max"/>
        <color rgb="FFF8696B"/>
        <color rgb="FFFFEB84"/>
        <color rgb="FF63BE7B"/>
      </colorScale>
    </cfRule>
  </conditionalFormatting>
  <conditionalFormatting sqref="X3:X5">
    <cfRule type="colorScale" priority="1749">
      <colorScale>
        <cfvo type="min"/>
        <cfvo type="percentile" val="50"/>
        <cfvo type="max"/>
        <color rgb="FFF8696B"/>
        <color rgb="FFFFEB84"/>
        <color rgb="FF63BE7B"/>
      </colorScale>
    </cfRule>
  </conditionalFormatting>
  <conditionalFormatting sqref="C3:C5">
    <cfRule type="colorScale" priority="1750">
      <colorScale>
        <cfvo type="min"/>
        <cfvo type="percentile" val="50"/>
        <cfvo type="max"/>
        <color rgb="FFF8696B"/>
        <color rgb="FFFFEB84"/>
        <color rgb="FF63BE7B"/>
      </colorScale>
    </cfRule>
  </conditionalFormatting>
  <conditionalFormatting sqref="G3:L5">
    <cfRule type="colorScale" priority="1751">
      <colorScale>
        <cfvo type="min"/>
        <cfvo type="percentile" val="50"/>
        <cfvo type="max"/>
        <color rgb="FFF8696B"/>
        <color rgb="FFFFEB84"/>
        <color rgb="FF63BE7B"/>
      </colorScale>
    </cfRule>
  </conditionalFormatting>
  <pageMargins left="0.7" right="0.7" top="0.75" bottom="0.75" header="0.3" footer="0.3"/>
  <pageSetup paperSize="9" orientation="portrait" horizontalDpi="90" verticalDpi="90"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A3B469-92EB-4B12-A4A2-6424276BCD3B}">
  <sheetPr codeName="Sheet14"/>
  <dimension ref="A2:AC10"/>
  <sheetViews>
    <sheetView showGridLines="0" zoomScaleNormal="100" workbookViewId="0">
      <pane xSplit="1" topLeftCell="B1" activePane="topRight" state="frozen"/>
      <selection activeCell="B1" sqref="B1"/>
      <selection pane="topRight" activeCell="A3" sqref="A3:A10"/>
    </sheetView>
  </sheetViews>
  <sheetFormatPr defaultRowHeight="14.5" x14ac:dyDescent="0.35"/>
  <cols>
    <col min="1" max="1" width="45.7265625" bestFit="1" customWidth="1"/>
    <col min="2" max="2" width="6.08984375" bestFit="1" customWidth="1"/>
    <col min="3" max="3" width="18.08984375" style="5" bestFit="1" customWidth="1"/>
    <col min="4" max="4" width="7.26953125" style="13" bestFit="1" customWidth="1"/>
    <col min="5" max="5" width="8.26953125" style="13" bestFit="1" customWidth="1"/>
    <col min="6" max="6" width="11.81640625" style="13" bestFit="1" customWidth="1"/>
    <col min="7" max="7" width="7.453125" style="5" bestFit="1" customWidth="1"/>
    <col min="8" max="8" width="7.6328125" style="5" bestFit="1" customWidth="1"/>
    <col min="9" max="9" width="11.81640625" style="13" bestFit="1" customWidth="1"/>
    <col min="10" max="10" width="13.453125" style="13" bestFit="1" customWidth="1"/>
    <col min="11" max="11" width="14.1796875" style="13" bestFit="1" customWidth="1"/>
    <col min="12" max="12" width="15.90625" style="13" bestFit="1" customWidth="1"/>
    <col min="13" max="13" width="15.453125" style="6" bestFit="1" customWidth="1"/>
    <col min="14" max="14" width="15.90625" style="6" bestFit="1" customWidth="1"/>
    <col min="15" max="15" width="15.54296875" style="6" bestFit="1" customWidth="1"/>
    <col min="16" max="16" width="8.54296875" style="3" bestFit="1" customWidth="1"/>
    <col min="17" max="17" width="11.08984375" style="13" bestFit="1" customWidth="1"/>
    <col min="18" max="18" width="23.1796875" style="13" bestFit="1" customWidth="1"/>
    <col min="19" max="19" width="16" bestFit="1" customWidth="1"/>
    <col min="20" max="20" width="11.54296875" bestFit="1" customWidth="1"/>
    <col min="21" max="21" width="12.6328125" bestFit="1" customWidth="1"/>
    <col min="22" max="22" width="18.54296875" bestFit="1" customWidth="1"/>
    <col min="23" max="23" width="21" bestFit="1" customWidth="1"/>
    <col min="24" max="24" width="7.36328125" style="3" bestFit="1" customWidth="1"/>
    <col min="25" max="25" width="10" bestFit="1" customWidth="1"/>
    <col min="26" max="26" width="19.08984375" style="23" bestFit="1" customWidth="1"/>
    <col min="27" max="28" width="10.08984375" bestFit="1" customWidth="1"/>
    <col min="29" max="29" width="12" bestFit="1" customWidth="1"/>
  </cols>
  <sheetData>
    <row r="2" spans="1:29" x14ac:dyDescent="0.35">
      <c r="A2" s="8" t="s">
        <v>249</v>
      </c>
      <c r="B2" s="16" t="s">
        <v>62</v>
      </c>
      <c r="C2" s="17" t="s">
        <v>47</v>
      </c>
      <c r="D2" s="19" t="s">
        <v>57</v>
      </c>
      <c r="E2" s="19" t="s">
        <v>216</v>
      </c>
      <c r="F2" s="19" t="s">
        <v>217</v>
      </c>
      <c r="G2" s="58" t="s">
        <v>73</v>
      </c>
      <c r="H2" s="58" t="s">
        <v>182</v>
      </c>
      <c r="I2" s="59" t="s">
        <v>97</v>
      </c>
      <c r="J2" s="59" t="s">
        <v>236</v>
      </c>
      <c r="K2" s="59" t="s">
        <v>214</v>
      </c>
      <c r="L2" s="59" t="s">
        <v>237</v>
      </c>
      <c r="M2" s="18" t="s">
        <v>155</v>
      </c>
      <c r="N2" s="18" t="s">
        <v>156</v>
      </c>
      <c r="O2" s="18" t="s">
        <v>157</v>
      </c>
      <c r="P2" s="60" t="s">
        <v>161</v>
      </c>
      <c r="Q2" s="16" t="s">
        <v>162</v>
      </c>
      <c r="R2" s="17" t="s">
        <v>238</v>
      </c>
      <c r="S2" s="19" t="s">
        <v>239</v>
      </c>
      <c r="T2" s="58" t="s">
        <v>164</v>
      </c>
      <c r="U2" s="58" t="s">
        <v>240</v>
      </c>
      <c r="V2" s="59" t="s">
        <v>241</v>
      </c>
      <c r="W2" s="59" t="s">
        <v>242</v>
      </c>
      <c r="X2" s="60" t="s">
        <v>168</v>
      </c>
      <c r="Y2" s="61" t="s">
        <v>171</v>
      </c>
      <c r="Z2" s="62" t="s">
        <v>175</v>
      </c>
      <c r="AA2" s="4" t="s">
        <v>176</v>
      </c>
      <c r="AB2" s="10" t="s">
        <v>177</v>
      </c>
      <c r="AC2" s="10" t="s">
        <v>178</v>
      </c>
    </row>
    <row r="3" spans="1:29" x14ac:dyDescent="0.35">
      <c r="A3" s="4" t="s">
        <v>250</v>
      </c>
      <c r="B3" s="16">
        <v>2.76</v>
      </c>
      <c r="C3" s="17">
        <v>0.53520000000000001</v>
      </c>
      <c r="D3" s="19">
        <v>13.07</v>
      </c>
      <c r="E3" s="19">
        <v>27.68</v>
      </c>
      <c r="F3" s="19">
        <f>IF(OR(Table2245679[[#This Row],[P/C]]&lt;=0,Table2245679[[#This Row],[P/E]]&lt;=0),100,Table2245679[[#This Row],[P/E]]-Table2245679[[#This Row],[P/C]])</f>
        <v>-14.61</v>
      </c>
      <c r="G3" s="17">
        <v>0.2097</v>
      </c>
      <c r="H3" s="17">
        <v>0.30109999999999998</v>
      </c>
      <c r="I3" s="19">
        <v>0.79</v>
      </c>
      <c r="J3" s="19">
        <f>ABS(IF(Table2245679[[#This Row],[CFO/PAT]]&lt;0,100,1-Table2245679[[#This Row],[CFO/PAT]]))</f>
        <v>0.20999999999999996</v>
      </c>
      <c r="K3" s="19">
        <v>0.01</v>
      </c>
      <c r="L3" s="19">
        <f>ABS(IF(Table2245679[[#This Row],[Debt Equity]]&lt;0,100,0-Table2245679[[#This Row],[Debt Equity]]))</f>
        <v>0.01</v>
      </c>
      <c r="M3" s="20">
        <v>2378.4499999999998</v>
      </c>
      <c r="N3" s="20">
        <v>3315</v>
      </c>
      <c r="O3" s="20">
        <v>1793</v>
      </c>
      <c r="P3" s="17">
        <f>(N3-M3)/M3</f>
        <v>0.39376484685404373</v>
      </c>
      <c r="Q3" s="19">
        <f>IF(LEFT(B3,1)="0",4,IF(LEFT(B3,1)="1",3,IF(LEFT(B3,1)="2",2,IF(LEFT(B3,1)="3",1,0))))</f>
        <v>2</v>
      </c>
      <c r="R3" s="19">
        <f>IF(C3&gt;0.7,4,IF(AND(C3&lt;0.7,C3&gt;0.65),3,IF(AND(C3&lt;0.65,C3&gt;0.6),2,IF(AND(C3&lt;0.6,C3&gt;0.55),1,0))))</f>
        <v>0</v>
      </c>
      <c r="S3" s="19">
        <f>IF(F3&lt;10,4,IF(AND(F3&lt;15,F3&gt;10),3,IF(AND(F3&lt;20,F3&gt;15),2,IF(AND(F3&lt;30,F3&gt;20),1,0))))</f>
        <v>4</v>
      </c>
      <c r="T3" s="14">
        <f t="shared" ref="T3:U6" si="0">IF(G3&gt;0.25,4,IF(AND(G3&lt;0.25,G3&gt;0.2),3,IF(AND(G3&lt;0.2,G3&gt;0.15),2,IF(AND(G3&lt;0.15,G3&gt;0.1),1,0))))</f>
        <v>3</v>
      </c>
      <c r="U3" s="14">
        <f t="shared" si="0"/>
        <v>4</v>
      </c>
      <c r="V3" s="14">
        <f>IF(J3&lt;0.15,4,IF(AND(J3&lt;0.3,J3&gt;0.15),3,IF(AND(J3&lt;0.45,J3&gt;0.3),2,IF(AND(J3&lt;0.6,J3&gt;0.45),1,0))))</f>
        <v>3</v>
      </c>
      <c r="W3" s="19">
        <f t="shared" ref="W3:W6" si="1">IF(L3=0,4,IF(AND(L3&lt;0.1,L3&gt;0),3,IF(AND(L3&lt;0.2,L3&gt;0.1),2,IF(AND(L3&lt;0.3,L3&gt;0.2),1,0))))</f>
        <v>3</v>
      </c>
      <c r="X3" s="22">
        <f t="shared" ref="X3:X6" si="2">SUM(Q3:W3)/28</f>
        <v>0.6785714285714286</v>
      </c>
      <c r="Y3" s="10" t="s">
        <v>174</v>
      </c>
      <c r="Z3" s="24">
        <v>1000</v>
      </c>
      <c r="AA3" s="14">
        <f>Z3/M3</f>
        <v>0.42044188442052599</v>
      </c>
      <c r="AB3" s="25">
        <f>AA3*(N3*(IF(Y3="Low",0.9,IF(Y3="Medium",0.75,0.5)))-M3)</f>
        <v>-303.11757657297812</v>
      </c>
      <c r="AC3" s="63">
        <f>IFERROR(AB3/Z3,0)</f>
        <v>-0.30311757657297811</v>
      </c>
    </row>
    <row r="4" spans="1:29" x14ac:dyDescent="0.35">
      <c r="A4" s="4" t="s">
        <v>71</v>
      </c>
      <c r="B4" s="16">
        <v>4.03</v>
      </c>
      <c r="C4" s="17">
        <v>0.49280000000000002</v>
      </c>
      <c r="D4" s="19">
        <v>19.5</v>
      </c>
      <c r="E4" s="19">
        <v>25.63</v>
      </c>
      <c r="F4" s="19">
        <f>IF(OR(Table2245679[[#This Row],[P/C]]&lt;=0,Table2245679[[#This Row],[P/E]]&lt;=0),100,Table2245679[[#This Row],[P/E]]-Table2245679[[#This Row],[P/C]])</f>
        <v>-6.129999999999999</v>
      </c>
      <c r="G4" s="17">
        <v>0.24790000000000001</v>
      </c>
      <c r="H4" s="17">
        <v>0.37409999999999999</v>
      </c>
      <c r="I4" s="19">
        <v>1.1599999999999999</v>
      </c>
      <c r="J4" s="19">
        <f>ABS(IF(Table2245679[[#This Row],[CFO/PAT]]&lt;0,100,1-Table2245679[[#This Row],[CFO/PAT]]))</f>
        <v>0.15999999999999992</v>
      </c>
      <c r="K4" s="19">
        <v>0.02</v>
      </c>
      <c r="L4" s="19">
        <f>ABS(IF(Table2245679[[#This Row],[Debt Equity]]&lt;0,100,0-Table2245679[[#This Row],[Debt Equity]]))</f>
        <v>0.02</v>
      </c>
      <c r="M4" s="20">
        <v>14765.75</v>
      </c>
      <c r="N4" s="20">
        <v>23427.75</v>
      </c>
      <c r="O4" s="20">
        <v>12460</v>
      </c>
      <c r="P4" s="17">
        <f>(N4-M4)/M4</f>
        <v>0.5866278380712121</v>
      </c>
      <c r="Q4" s="19">
        <f>IF(LEFT(B4,1)="0",4,IF(LEFT(B4,1)="1",3,IF(LEFT(B4,1)="2",2,IF(LEFT(B4,1)="3",1,0))))</f>
        <v>0</v>
      </c>
      <c r="R4" s="19">
        <f>IF(C4&gt;0.7,4,IF(AND(C4&lt;0.7,C4&gt;0.65),3,IF(AND(C4&lt;0.65,C4&gt;0.6),2,IF(AND(C4&lt;0.6,C4&gt;0.55),1,0))))</f>
        <v>0</v>
      </c>
      <c r="S4" s="19">
        <f>IF(F4&lt;10,4,IF(AND(F4&lt;15,F4&gt;10),3,IF(AND(F4&lt;20,F4&gt;15),2,IF(AND(F4&lt;30,F4&gt;20),1,0))))</f>
        <v>4</v>
      </c>
      <c r="T4" s="14">
        <f>IF(G4&gt;0.25,4,IF(AND(G4&lt;0.25,G4&gt;0.2),3,IF(AND(G4&lt;0.2,G4&gt;0.15),2,IF(AND(G4&lt;0.15,G4&gt;0.1),1,0))))</f>
        <v>3</v>
      </c>
      <c r="U4" s="14">
        <f>IF(H4&gt;0.25,4,IF(AND(H4&lt;0.25,H4&gt;0.2),3,IF(AND(H4&lt;0.2,H4&gt;0.15),2,IF(AND(H4&lt;0.15,H4&gt;0.1),1,0))))</f>
        <v>4</v>
      </c>
      <c r="V4" s="14">
        <f>IF(J4&lt;0.15,4,IF(AND(J4&lt;0.3,J4&gt;0.15),3,IF(AND(J4&lt;0.45,J4&gt;0.3),2,IF(AND(J4&lt;0.6,J4&gt;0.45),1,0))))</f>
        <v>3</v>
      </c>
      <c r="W4" s="19">
        <f>IF(L4=0,4,IF(AND(L4&lt;0.1,L4&gt;0),3,IF(AND(L4&lt;0.2,L4&gt;0.1),2,IF(AND(L4&lt;0.3,L4&gt;0.2),1,0))))</f>
        <v>3</v>
      </c>
      <c r="X4" s="22">
        <f>SUM(Q4:W4)/28</f>
        <v>0.6071428571428571</v>
      </c>
      <c r="Y4" s="10"/>
      <c r="Z4" s="24"/>
      <c r="AA4" s="14">
        <f>Z4/M4</f>
        <v>0</v>
      </c>
      <c r="AB4" s="25">
        <f>AA4*(N4*(IF(Y4="Low",0.9,IF(Y4="Medium",0.75,0.5)))-M4)</f>
        <v>0</v>
      </c>
      <c r="AC4" s="63">
        <f>IFERROR(AB4/Z4,0)</f>
        <v>0</v>
      </c>
    </row>
    <row r="5" spans="1:29" x14ac:dyDescent="0.35">
      <c r="A5" s="4" t="s">
        <v>251</v>
      </c>
      <c r="B5" s="16">
        <v>2.39</v>
      </c>
      <c r="C5" s="17">
        <v>0.3463</v>
      </c>
      <c r="D5" s="19">
        <v>9.64</v>
      </c>
      <c r="E5" s="19">
        <v>35.549999999999997</v>
      </c>
      <c r="F5" s="19">
        <f>IF(OR(Table2245679[[#This Row],[P/C]]&lt;=0,Table2245679[[#This Row],[P/E]]&lt;=0),100,Table2245679[[#This Row],[P/E]]-Table2245679[[#This Row],[P/C]])</f>
        <v>-25.909999999999997</v>
      </c>
      <c r="G5" s="17">
        <v>0.27150000000000002</v>
      </c>
      <c r="H5" s="17">
        <v>0.39639999999999997</v>
      </c>
      <c r="I5" s="19">
        <v>0.92</v>
      </c>
      <c r="J5" s="19">
        <f>ABS(IF(Table2245679[[#This Row],[CFO/PAT]]&lt;0,100,1-Table2245679[[#This Row],[CFO/PAT]]))</f>
        <v>7.999999999999996E-2</v>
      </c>
      <c r="K5" s="19">
        <v>0.02</v>
      </c>
      <c r="L5" s="19">
        <f>ABS(IF(Table2245679[[#This Row],[Debt Equity]]&lt;0,100,0-Table2245679[[#This Row],[Debt Equity]]))</f>
        <v>0.02</v>
      </c>
      <c r="M5" s="20">
        <v>1837.1</v>
      </c>
      <c r="N5" s="20">
        <v>3021.15</v>
      </c>
      <c r="O5" s="20">
        <v>1475</v>
      </c>
      <c r="P5" s="17">
        <f t="shared" ref="P5:P6" si="3">(N5-M5)/M5</f>
        <v>0.64452125632790824</v>
      </c>
      <c r="Q5" s="19">
        <f>IF(LEFT(B5,1)="0",4,IF(LEFT(B5,1)="1",3,IF(LEFT(B5,1)="2",2,IF(LEFT(B5,1)="3",1,0))))</f>
        <v>2</v>
      </c>
      <c r="R5" s="19">
        <f>IF(C5&gt;0.7,4,IF(AND(C5&lt;0.7,C5&gt;0.65),3,IF(AND(C5&lt;0.65,C5&gt;0.6),2,IF(AND(C5&lt;0.6,C5&gt;0.55),1,0))))</f>
        <v>0</v>
      </c>
      <c r="S5" s="19">
        <f>IF(F5&lt;10,4,IF(AND(F5&lt;15,F5&gt;10),3,IF(AND(F5&lt;20,F5&gt;15),2,IF(AND(F5&lt;30,F5&gt;20),1,0))))</f>
        <v>4</v>
      </c>
      <c r="T5" s="14">
        <f t="shared" si="0"/>
        <v>4</v>
      </c>
      <c r="U5" s="14">
        <f t="shared" si="0"/>
        <v>4</v>
      </c>
      <c r="V5" s="14">
        <f>IF(J5&lt;0.15,4,IF(AND(J5&lt;0.3,J5&gt;0.15),3,IF(AND(J5&lt;0.45,J5&gt;0.3),2,IF(AND(J5&lt;0.6,J5&gt;0.45),1,0))))</f>
        <v>4</v>
      </c>
      <c r="W5" s="19">
        <f t="shared" si="1"/>
        <v>3</v>
      </c>
      <c r="X5" s="22">
        <f t="shared" si="2"/>
        <v>0.75</v>
      </c>
      <c r="Y5" s="10" t="s">
        <v>174</v>
      </c>
      <c r="Z5" s="24">
        <v>0</v>
      </c>
      <c r="AA5" s="14">
        <f>Z5/M5</f>
        <v>0</v>
      </c>
      <c r="AB5" s="25">
        <f>AA5*(N5*(IF(Y5="Low",0.9,IF(Y5="Medium",0.75,0.5)))-M5)</f>
        <v>0</v>
      </c>
      <c r="AC5" s="63">
        <f t="shared" ref="AC5:AC6" si="4">IFERROR(AB5/Z5,0)</f>
        <v>0</v>
      </c>
    </row>
    <row r="6" spans="1:29" x14ac:dyDescent="0.35">
      <c r="A6" s="4" t="s">
        <v>252</v>
      </c>
      <c r="B6" s="16">
        <v>4.1100000000000003</v>
      </c>
      <c r="C6" s="17">
        <v>0.57399999999999995</v>
      </c>
      <c r="D6" s="19">
        <v>20.78</v>
      </c>
      <c r="E6" s="19">
        <v>-15.6</v>
      </c>
      <c r="F6" s="19">
        <f>IF(OR(Table2245679[[#This Row],[P/C]]&lt;=0,Table2245679[[#This Row],[P/E]]&lt;=0),100,Table2245679[[#This Row],[P/E]]-Table2245679[[#This Row],[P/C]])</f>
        <v>100</v>
      </c>
      <c r="G6" s="17">
        <v>0.2475</v>
      </c>
      <c r="H6" s="17">
        <v>0.15809999999999999</v>
      </c>
      <c r="I6" s="19">
        <v>0.61</v>
      </c>
      <c r="J6" s="19">
        <f>ABS(IF(Table2245679[[#This Row],[CFO/PAT]]&lt;0,100,1-Table2245679[[#This Row],[CFO/PAT]]))</f>
        <v>0.39</v>
      </c>
      <c r="K6" s="19">
        <v>2.93</v>
      </c>
      <c r="L6" s="19">
        <f>ABS(IF(Table2245679[[#This Row],[Debt Equity]]&lt;0,100,0-Table2245679[[#This Row],[Debt Equity]]))</f>
        <v>2.93</v>
      </c>
      <c r="M6" s="20">
        <v>301.39999999999998</v>
      </c>
      <c r="N6" s="20">
        <v>524.79999999999995</v>
      </c>
      <c r="O6" s="20">
        <v>240.1</v>
      </c>
      <c r="P6" s="17">
        <f t="shared" si="3"/>
        <v>0.74120769741207693</v>
      </c>
      <c r="Q6" s="19">
        <f>IF(LEFT(B6,1)="0",4,IF(LEFT(B6,1)="1",3,IF(LEFT(B6,1)="2",2,IF(LEFT(B6,1)="3",1,0))))</f>
        <v>0</v>
      </c>
      <c r="R6" s="19">
        <f>IF(C6&gt;0.7,4,IF(AND(C6&lt;0.7,C6&gt;0.65),3,IF(AND(C6&lt;0.65,C6&gt;0.6),2,IF(AND(C6&lt;0.6,C6&gt;0.55),1,0))))</f>
        <v>1</v>
      </c>
      <c r="S6" s="19">
        <f>IF(F6&lt;10,4,IF(AND(F6&lt;15,F6&gt;10),3,IF(AND(F6&lt;20,F6&gt;15),2,IF(AND(F6&lt;30,F6&gt;20),1,0))))</f>
        <v>0</v>
      </c>
      <c r="T6" s="14">
        <f t="shared" si="0"/>
        <v>3</v>
      </c>
      <c r="U6" s="14">
        <f t="shared" si="0"/>
        <v>2</v>
      </c>
      <c r="V6" s="14">
        <f>IF(J6&lt;0.15,4,IF(AND(J6&lt;0.3,J6&gt;0.15),3,IF(AND(J6&lt;0.45,J6&gt;0.3),2,IF(AND(J6&lt;0.6,J6&gt;0.45),1,0))))</f>
        <v>2</v>
      </c>
      <c r="W6" s="19">
        <f t="shared" si="1"/>
        <v>0</v>
      </c>
      <c r="X6" s="22">
        <f t="shared" si="2"/>
        <v>0.2857142857142857</v>
      </c>
      <c r="Y6" s="10" t="s">
        <v>174</v>
      </c>
      <c r="Z6" s="24">
        <v>500</v>
      </c>
      <c r="AA6" s="14">
        <f>Z6/M6</f>
        <v>1.6589250165892504</v>
      </c>
      <c r="AB6" s="25">
        <f>AA6*(N6*(IF(Y6="Low",0.9,IF(Y6="Medium",0.75,0.5)))-M6)</f>
        <v>-64.698075646980769</v>
      </c>
      <c r="AC6" s="63">
        <f t="shared" si="4"/>
        <v>-0.12939615129396154</v>
      </c>
    </row>
    <row r="7" spans="1:29" x14ac:dyDescent="0.35">
      <c r="A7" s="4" t="s">
        <v>253</v>
      </c>
      <c r="B7" s="16">
        <v>0.42</v>
      </c>
      <c r="C7" s="17">
        <v>0.4239</v>
      </c>
      <c r="D7" s="19">
        <v>0</v>
      </c>
      <c r="E7" s="19">
        <v>1.26</v>
      </c>
      <c r="F7" s="84">
        <f>IF(OR(Table2245679[[#This Row],[P/C]]&lt;=0,Table2245679[[#This Row],[P/E]]&lt;=0),100,Table2245679[[#This Row],[P/E]]-Table2245679[[#This Row],[P/C]])</f>
        <v>100</v>
      </c>
      <c r="G7" s="17">
        <v>-0.37190000000000001</v>
      </c>
      <c r="H7" s="17">
        <v>-0.14610000000000001</v>
      </c>
      <c r="I7" s="19">
        <v>2.37</v>
      </c>
      <c r="J7" s="84">
        <f>ABS(IF(Table2245679[[#This Row],[CFO/PAT]]&lt;0,100,1-Table2245679[[#This Row],[CFO/PAT]]))</f>
        <v>1.37</v>
      </c>
      <c r="K7" s="19">
        <v>1.76</v>
      </c>
      <c r="L7" s="84">
        <f>ABS(IF(Table2245679[[#This Row],[Debt Equity]]&lt;0,100,0-Table2245679[[#This Row],[Debt Equity]]))</f>
        <v>1.76</v>
      </c>
      <c r="M7" s="20">
        <v>76.849999999999994</v>
      </c>
      <c r="N7" s="20">
        <v>239.3</v>
      </c>
      <c r="O7" s="20">
        <v>63.6</v>
      </c>
      <c r="P7" s="17">
        <f t="shared" ref="P7:P10" si="5">(N7-M7)/M7</f>
        <v>2.1138581652569943</v>
      </c>
      <c r="Q7" s="19">
        <f t="shared" ref="Q7:Q10" si="6">IF(LEFT(B7,1)="0",4,IF(LEFT(B7,1)="1",3,IF(LEFT(B7,1)="2",2,IF(LEFT(B7,1)="3",1,0))))</f>
        <v>4</v>
      </c>
      <c r="R7" s="85">
        <f t="shared" ref="R7:R10" si="7">IF(C7&gt;0.7,4,IF(AND(C7&lt;0.7,C7&gt;0.65),3,IF(AND(C7&lt;0.65,C7&gt;0.6),2,IF(AND(C7&lt;0.6,C7&gt;0.55),1,0))))</f>
        <v>0</v>
      </c>
      <c r="S7" s="19">
        <f t="shared" ref="S7:S10" si="8">IF(F7&lt;10,4,IF(AND(F7&lt;15,F7&gt;10),3,IF(AND(F7&lt;20,F7&gt;15),2,IF(AND(F7&lt;30,F7&gt;20),1,0))))</f>
        <v>0</v>
      </c>
      <c r="T7" s="84">
        <f t="shared" ref="T7:T10" si="9">IF(G7&gt;0.25,4,IF(AND(G7&lt;0.25,G7&gt;0.2),3,IF(AND(G7&lt;0.2,G7&gt;0.15),2,IF(AND(G7&lt;0.15,G7&gt;0.1),1,0))))</f>
        <v>0</v>
      </c>
      <c r="U7" s="19">
        <f t="shared" ref="U7:U10" si="10">IF(H7&gt;0.25,4,IF(AND(H7&lt;0.25,H7&gt;0.2),3,IF(AND(H7&lt;0.2,H7&gt;0.15),2,IF(AND(H7&lt;0.15,H7&gt;0.1),1,0))))</f>
        <v>0</v>
      </c>
      <c r="V7" s="19">
        <f t="shared" ref="V7:V10" si="11">IF(J7&lt;0.15,4,IF(AND(J7&lt;0.3,J7&gt;0.15),3,IF(AND(J7&lt;0.45,J7&gt;0.3),2,IF(AND(J7&lt;0.6,J7&gt;0.45),1,0))))</f>
        <v>0</v>
      </c>
      <c r="W7" s="84">
        <f t="shared" ref="W7:W10" si="12">IF(L7=0,4,IF(AND(L7&lt;0.1,L7&gt;0),3,IF(AND(L7&lt;0.2,L7&gt;0.1),2,IF(AND(L7&lt;0.3,L7&gt;0.2),1,0))))</f>
        <v>0</v>
      </c>
      <c r="X7" s="22">
        <f t="shared" ref="X7:X10" si="13">SUM(Q7:W7)/28</f>
        <v>0.14285714285714285</v>
      </c>
      <c r="Y7" s="10"/>
      <c r="Z7" s="24"/>
      <c r="AA7" s="14">
        <f t="shared" ref="AA7:AA10" si="14">Z7/M7</f>
        <v>0</v>
      </c>
      <c r="AB7" s="25">
        <f t="shared" ref="AB7:AB10" si="15">AA7*(N7*(IF(Y7="Low",0.9,IF(Y7="Medium",0.75,0.5)))-M7)</f>
        <v>0</v>
      </c>
      <c r="AC7" s="63">
        <f t="shared" ref="AC7:AC10" si="16">IFERROR(AB7/Z7,0)</f>
        <v>0</v>
      </c>
    </row>
    <row r="8" spans="1:29" x14ac:dyDescent="0.35">
      <c r="A8" s="4" t="s">
        <v>316</v>
      </c>
      <c r="B8" s="16">
        <v>1.58</v>
      </c>
      <c r="C8" s="17">
        <v>0.51119999999999999</v>
      </c>
      <c r="D8" s="19">
        <v>6.91</v>
      </c>
      <c r="E8" s="19">
        <v>-3.83</v>
      </c>
      <c r="F8" s="84">
        <f>IF(OR(Table2245679[[#This Row],[P/C]]&lt;=0,Table2245679[[#This Row],[P/E]]&lt;=0),100,Table2245679[[#This Row],[P/E]]-Table2245679[[#This Row],[P/C]])</f>
        <v>100</v>
      </c>
      <c r="G8" s="17">
        <v>0.27139999999999997</v>
      </c>
      <c r="H8" s="17">
        <v>0.17069999999999999</v>
      </c>
      <c r="I8" s="19">
        <v>-0.39</v>
      </c>
      <c r="J8" s="84">
        <f>ABS(IF(Table2245679[[#This Row],[CFO/PAT]]&lt;0,100,1-Table2245679[[#This Row],[CFO/PAT]]))</f>
        <v>100</v>
      </c>
      <c r="K8" s="19">
        <v>2.19</v>
      </c>
      <c r="L8" s="84">
        <f>ABS(IF(Table2245679[[#This Row],[Debt Equity]]&lt;0,100,0-Table2245679[[#This Row],[Debt Equity]]))</f>
        <v>2.19</v>
      </c>
      <c r="M8" s="20">
        <v>48.9</v>
      </c>
      <c r="N8" s="20">
        <v>97.05</v>
      </c>
      <c r="O8" s="20">
        <v>33.700000000000003</v>
      </c>
      <c r="P8" s="17">
        <f>(N8-M8)/M8</f>
        <v>0.98466257668711654</v>
      </c>
      <c r="Q8" s="19">
        <f>IF(LEFT(B8,1)="0",4,IF(LEFT(B8,1)="1",3,IF(LEFT(B8,1)="2",2,IF(LEFT(B8,1)="3",1,0))))</f>
        <v>3</v>
      </c>
      <c r="R8" s="85">
        <f>IF(C8&gt;0.7,4,IF(AND(C8&lt;0.7,C8&gt;0.65),3,IF(AND(C8&lt;0.65,C8&gt;0.6),2,IF(AND(C8&lt;0.6,C8&gt;0.55),1,0))))</f>
        <v>0</v>
      </c>
      <c r="S8" s="19">
        <f>IF(F8&lt;10,4,IF(AND(F8&lt;15,F8&gt;10),3,IF(AND(F8&lt;20,F8&gt;15),2,IF(AND(F8&lt;30,F8&gt;20),1,0))))</f>
        <v>0</v>
      </c>
      <c r="T8" s="84">
        <f>IF(G8&gt;0.25,4,IF(AND(G8&lt;0.25,G8&gt;0.2),3,IF(AND(G8&lt;0.2,G8&gt;0.15),2,IF(AND(G8&lt;0.15,G8&gt;0.1),1,0))))</f>
        <v>4</v>
      </c>
      <c r="U8" s="19">
        <f>IF(H8&gt;0.25,4,IF(AND(H8&lt;0.25,H8&gt;0.2),3,IF(AND(H8&lt;0.2,H8&gt;0.15),2,IF(AND(H8&lt;0.15,H8&gt;0.1),1,0))))</f>
        <v>2</v>
      </c>
      <c r="V8" s="19">
        <f>IF(J8&lt;0.15,4,IF(AND(J8&lt;0.3,J8&gt;0.15),3,IF(AND(J8&lt;0.45,J8&gt;0.3),2,IF(AND(J8&lt;0.6,J8&gt;0.45),1,0))))</f>
        <v>0</v>
      </c>
      <c r="W8" s="84">
        <f>IF(L8=0,4,IF(AND(L8&lt;0.1,L8&gt;0),3,IF(AND(L8&lt;0.2,L8&gt;0.1),2,IF(AND(L8&lt;0.3,L8&gt;0.2),1,0))))</f>
        <v>0</v>
      </c>
      <c r="X8" s="22">
        <f>SUM(Q8:W8)/28</f>
        <v>0.32142857142857145</v>
      </c>
      <c r="Y8" s="10"/>
      <c r="Z8" s="24"/>
      <c r="AA8" s="14">
        <f>Z8/M8</f>
        <v>0</v>
      </c>
      <c r="AB8" s="25">
        <f>AA8*(N8*(IF(Y8="Low",0.9,IF(Y8="Medium",0.75,0.5)))-M8)</f>
        <v>0</v>
      </c>
      <c r="AC8" s="63">
        <f>IFERROR(AB8/Z8,0)</f>
        <v>0</v>
      </c>
    </row>
    <row r="9" spans="1:29" x14ac:dyDescent="0.35">
      <c r="A9" s="4" t="s">
        <v>254</v>
      </c>
      <c r="B9" s="16">
        <v>3.45</v>
      </c>
      <c r="C9" s="17">
        <v>0.56210000000000004</v>
      </c>
      <c r="D9" s="19">
        <v>26.9</v>
      </c>
      <c r="E9" s="19">
        <v>25.2</v>
      </c>
      <c r="F9" s="84">
        <f>IF(OR(Table2245679[[#This Row],[P/C]]&lt;=0,Table2245679[[#This Row],[P/E]]&lt;=0),100,Table2245679[[#This Row],[P/E]]-Table2245679[[#This Row],[P/C]])</f>
        <v>1.6999999999999993</v>
      </c>
      <c r="G9" s="17">
        <v>0.16719999999999999</v>
      </c>
      <c r="H9" s="17">
        <v>0.23449999999999999</v>
      </c>
      <c r="I9" s="19">
        <v>1.39</v>
      </c>
      <c r="J9" s="84">
        <f>ABS(IF(Table2245679[[#This Row],[CFO/PAT]]&lt;0,100,1-Table2245679[[#This Row],[CFO/PAT]]))</f>
        <v>0.3899999999999999</v>
      </c>
      <c r="K9" s="19">
        <v>0</v>
      </c>
      <c r="L9" s="84">
        <f>ABS(IF(Table2245679[[#This Row],[Debt Equity]]&lt;0,100,0-Table2245679[[#This Row],[Debt Equity]]))</f>
        <v>0</v>
      </c>
      <c r="M9" s="20">
        <v>5507.05</v>
      </c>
      <c r="N9" s="20">
        <v>7755</v>
      </c>
      <c r="O9" s="20">
        <v>4002</v>
      </c>
      <c r="P9" s="17">
        <f>(N9-M9)/M9</f>
        <v>0.40819495010940515</v>
      </c>
      <c r="Q9" s="19">
        <f>IF(LEFT(B9,1)="0",4,IF(LEFT(B9,1)="1",3,IF(LEFT(B9,1)="2",2,IF(LEFT(B9,1)="3",1,0))))</f>
        <v>1</v>
      </c>
      <c r="R9" s="85">
        <f>IF(C9&gt;0.7,4,IF(AND(C9&lt;0.7,C9&gt;0.65),3,IF(AND(C9&lt;0.65,C9&gt;0.6),2,IF(AND(C9&lt;0.6,C9&gt;0.55),1,0))))</f>
        <v>1</v>
      </c>
      <c r="S9" s="19">
        <f>IF(F9&lt;10,4,IF(AND(F9&lt;15,F9&gt;10),3,IF(AND(F9&lt;20,F9&gt;15),2,IF(AND(F9&lt;30,F9&gt;20),1,0))))</f>
        <v>4</v>
      </c>
      <c r="T9" s="84">
        <f>IF(G9&gt;0.25,4,IF(AND(G9&lt;0.25,G9&gt;0.2),3,IF(AND(G9&lt;0.2,G9&gt;0.15),2,IF(AND(G9&lt;0.15,G9&gt;0.1),1,0))))</f>
        <v>2</v>
      </c>
      <c r="U9" s="19">
        <f>IF(H9&gt;0.25,4,IF(AND(H9&lt;0.25,H9&gt;0.2),3,IF(AND(H9&lt;0.2,H9&gt;0.15),2,IF(AND(H9&lt;0.15,H9&gt;0.1),1,0))))</f>
        <v>3</v>
      </c>
      <c r="V9" s="19">
        <f>IF(J9&lt;0.15,4,IF(AND(J9&lt;0.3,J9&gt;0.15),3,IF(AND(J9&lt;0.45,J9&gt;0.3),2,IF(AND(J9&lt;0.6,J9&gt;0.45),1,0))))</f>
        <v>2</v>
      </c>
      <c r="W9" s="84">
        <f>IF(L9=0,4,IF(AND(L9&lt;0.1,L9&gt;0),3,IF(AND(L9&lt;0.2,L9&gt;0.1),2,IF(AND(L9&lt;0.3,L9&gt;0.2),1,0))))</f>
        <v>4</v>
      </c>
      <c r="X9" s="22">
        <f>SUM(Q9:W9)/28</f>
        <v>0.6071428571428571</v>
      </c>
      <c r="Y9" s="10"/>
      <c r="Z9" s="24"/>
      <c r="AA9" s="14">
        <f>Z9/M9</f>
        <v>0</v>
      </c>
      <c r="AB9" s="25">
        <f>AA9*(N9*(IF(Y9="Low",0.9,IF(Y9="Medium",0.75,0.5)))-M9)</f>
        <v>0</v>
      </c>
      <c r="AC9" s="63">
        <f>IFERROR(AB9/Z9,0)</f>
        <v>0</v>
      </c>
    </row>
    <row r="10" spans="1:29" x14ac:dyDescent="0.35">
      <c r="A10" s="4" t="s">
        <v>255</v>
      </c>
      <c r="B10" s="16">
        <v>3.06</v>
      </c>
      <c r="C10" s="17">
        <v>0.40500000000000003</v>
      </c>
      <c r="D10" s="19">
        <v>19.809999999999999</v>
      </c>
      <c r="E10" s="19">
        <v>-38.99</v>
      </c>
      <c r="F10" s="84">
        <f>IF(OR(Table2245679[[#This Row],[P/C]]&lt;=0,Table2245679[[#This Row],[P/E]]&lt;=0),100,Table2245679[[#This Row],[P/E]]-Table2245679[[#This Row],[P/C]])</f>
        <v>100</v>
      </c>
      <c r="G10" s="17">
        <v>0.19570000000000001</v>
      </c>
      <c r="H10" s="17">
        <v>0.28170000000000001</v>
      </c>
      <c r="I10" s="19">
        <v>1.2</v>
      </c>
      <c r="J10" s="84">
        <f>ABS(IF(Table2245679[[#This Row],[CFO/PAT]]&lt;0,100,1-Table2245679[[#This Row],[CFO/PAT]]))</f>
        <v>0.19999999999999996</v>
      </c>
      <c r="K10" s="19">
        <v>0.11</v>
      </c>
      <c r="L10" s="84">
        <f>ABS(IF(Table2245679[[#This Row],[Debt Equity]]&lt;0,100,0-Table2245679[[#This Row],[Debt Equity]]))</f>
        <v>0.11</v>
      </c>
      <c r="M10" s="20">
        <v>745.3</v>
      </c>
      <c r="N10" s="20">
        <v>914.4</v>
      </c>
      <c r="O10" s="20">
        <v>423.3</v>
      </c>
      <c r="P10" s="17">
        <f t="shared" si="5"/>
        <v>0.22688850127465454</v>
      </c>
      <c r="Q10" s="19">
        <f t="shared" si="6"/>
        <v>1</v>
      </c>
      <c r="R10" s="85">
        <f t="shared" si="7"/>
        <v>0</v>
      </c>
      <c r="S10" s="19">
        <f t="shared" si="8"/>
        <v>0</v>
      </c>
      <c r="T10" s="84">
        <f t="shared" si="9"/>
        <v>2</v>
      </c>
      <c r="U10" s="19">
        <f t="shared" si="10"/>
        <v>4</v>
      </c>
      <c r="V10" s="19">
        <f t="shared" si="11"/>
        <v>3</v>
      </c>
      <c r="W10" s="84">
        <f t="shared" si="12"/>
        <v>2</v>
      </c>
      <c r="X10" s="22">
        <f t="shared" si="13"/>
        <v>0.42857142857142855</v>
      </c>
      <c r="Y10" s="10"/>
      <c r="Z10" s="24"/>
      <c r="AA10" s="14">
        <f t="shared" si="14"/>
        <v>0</v>
      </c>
      <c r="AB10" s="25">
        <f t="shared" si="15"/>
        <v>0</v>
      </c>
      <c r="AC10" s="63">
        <f t="shared" si="16"/>
        <v>0</v>
      </c>
    </row>
  </sheetData>
  <conditionalFormatting sqref="E1:E1048576">
    <cfRule type="colorScale" priority="15">
      <colorScale>
        <cfvo type="min"/>
        <cfvo type="percentile" val="50"/>
        <cfvo type="max"/>
        <color rgb="FF63BE7B"/>
        <color rgb="FFFFEB84"/>
        <color rgb="FFF8696B"/>
      </colorScale>
    </cfRule>
  </conditionalFormatting>
  <conditionalFormatting sqref="H1:H1048576">
    <cfRule type="colorScale" priority="14">
      <colorScale>
        <cfvo type="min"/>
        <cfvo type="percentile" val="50"/>
        <cfvo type="max"/>
        <color rgb="FFF8696B"/>
        <color rgb="FFFFEB84"/>
        <color rgb="FF63BE7B"/>
      </colorScale>
    </cfRule>
  </conditionalFormatting>
  <conditionalFormatting sqref="J1:J1048576">
    <cfRule type="colorScale" priority="13">
      <colorScale>
        <cfvo type="min"/>
        <cfvo type="percentile" val="50"/>
        <cfvo type="max"/>
        <color rgb="FF63BE7B"/>
        <color rgb="FFFFEB84"/>
        <color rgb="FFF8696B"/>
      </colorScale>
    </cfRule>
  </conditionalFormatting>
  <conditionalFormatting sqref="K1:L1048576">
    <cfRule type="colorScale" priority="12">
      <colorScale>
        <cfvo type="min"/>
        <cfvo type="percentile" val="50"/>
        <cfvo type="max"/>
        <color rgb="FF63BE7B"/>
        <color rgb="FFFFEB84"/>
        <color rgb="FFF8696B"/>
      </colorScale>
    </cfRule>
  </conditionalFormatting>
  <conditionalFormatting sqref="L1:L1048576">
    <cfRule type="colorScale" priority="11">
      <colorScale>
        <cfvo type="min"/>
        <cfvo type="percentile" val="50"/>
        <cfvo type="max"/>
        <color rgb="FF63BE7B"/>
        <color rgb="FFFFEB84"/>
        <color rgb="FFF8696B"/>
      </colorScale>
    </cfRule>
  </conditionalFormatting>
  <conditionalFormatting sqref="Q2">
    <cfRule type="colorScale" priority="10">
      <colorScale>
        <cfvo type="min"/>
        <cfvo type="percentile" val="50"/>
        <cfvo type="max"/>
        <color rgb="FF63BE7B"/>
        <color rgb="FFFFEB84"/>
        <color rgb="FFF8696B"/>
      </colorScale>
    </cfRule>
  </conditionalFormatting>
  <conditionalFormatting sqref="Q2">
    <cfRule type="colorScale" priority="9">
      <colorScale>
        <cfvo type="min"/>
        <cfvo type="percentile" val="50"/>
        <cfvo type="max"/>
        <color rgb="FF63BE7B"/>
        <color rgb="FFFFEB84"/>
        <color rgb="FFF8696B"/>
      </colorScale>
    </cfRule>
  </conditionalFormatting>
  <conditionalFormatting sqref="R2">
    <cfRule type="colorScale" priority="8">
      <colorScale>
        <cfvo type="min"/>
        <cfvo type="percentile" val="50"/>
        <cfvo type="max"/>
        <color rgb="FFF8696B"/>
        <color rgb="FFFFEB84"/>
        <color rgb="FF63BE7B"/>
      </colorScale>
    </cfRule>
  </conditionalFormatting>
  <conditionalFormatting sqref="S2">
    <cfRule type="colorScale" priority="7">
      <colorScale>
        <cfvo type="min"/>
        <cfvo type="percentile" val="50"/>
        <cfvo type="max"/>
        <color rgb="FF63BE7B"/>
        <color rgb="FFFFEB84"/>
        <color rgb="FFF8696B"/>
      </colorScale>
    </cfRule>
  </conditionalFormatting>
  <conditionalFormatting sqref="U2">
    <cfRule type="colorScale" priority="5">
      <colorScale>
        <cfvo type="min"/>
        <cfvo type="percentile" val="50"/>
        <cfvo type="max"/>
        <color rgb="FFF8696B"/>
        <color rgb="FFFFEB84"/>
        <color rgb="FF63BE7B"/>
      </colorScale>
    </cfRule>
  </conditionalFormatting>
  <conditionalFormatting sqref="T2">
    <cfRule type="colorScale" priority="6">
      <colorScale>
        <cfvo type="min"/>
        <cfvo type="percentile" val="50"/>
        <cfvo type="max"/>
        <color rgb="FFF8696B"/>
        <color rgb="FFFFEB84"/>
        <color rgb="FF63BE7B"/>
      </colorScale>
    </cfRule>
  </conditionalFormatting>
  <conditionalFormatting sqref="W2">
    <cfRule type="colorScale" priority="4">
      <colorScale>
        <cfvo type="min"/>
        <cfvo type="percentile" val="50"/>
        <cfvo type="max"/>
        <color rgb="FF63BE7B"/>
        <color rgb="FFFFEB84"/>
        <color rgb="FFF8696B"/>
      </colorScale>
    </cfRule>
  </conditionalFormatting>
  <conditionalFormatting sqref="W2">
    <cfRule type="colorScale" priority="3">
      <colorScale>
        <cfvo type="min"/>
        <cfvo type="percentile" val="50"/>
        <cfvo type="max"/>
        <color rgb="FF63BE7B"/>
        <color rgb="FFFFEB84"/>
        <color rgb="FFF8696B"/>
      </colorScale>
    </cfRule>
  </conditionalFormatting>
  <conditionalFormatting sqref="V2">
    <cfRule type="colorScale" priority="16">
      <colorScale>
        <cfvo type="min"/>
        <cfvo type="percentile" val="50"/>
        <cfvo type="max"/>
        <color rgb="FF63BE7B"/>
        <color rgb="FFFFEB84"/>
        <color rgb="FFF8696B"/>
      </colorScale>
    </cfRule>
  </conditionalFormatting>
  <conditionalFormatting sqref="B1:B1048576">
    <cfRule type="colorScale" priority="17">
      <colorScale>
        <cfvo type="min"/>
        <cfvo type="percentile" val="50"/>
        <cfvo type="max"/>
        <color rgb="FF63BE7B"/>
        <color rgb="FFFFEB84"/>
        <color rgb="FFF8696B"/>
      </colorScale>
    </cfRule>
  </conditionalFormatting>
  <conditionalFormatting sqref="C1:C1048576">
    <cfRule type="colorScale" priority="18">
      <colorScale>
        <cfvo type="min"/>
        <cfvo type="percentile" val="50"/>
        <cfvo type="max"/>
        <color rgb="FFF8696B"/>
        <color rgb="FFFFEB84"/>
        <color rgb="FF63BE7B"/>
      </colorScale>
    </cfRule>
  </conditionalFormatting>
  <conditionalFormatting sqref="D1:D1048576">
    <cfRule type="colorScale" priority="19">
      <colorScale>
        <cfvo type="min"/>
        <cfvo type="percentile" val="50"/>
        <cfvo type="max"/>
        <color rgb="FF63BE7B"/>
        <color rgb="FFFFEB84"/>
        <color rgb="FFF8696B"/>
      </colorScale>
    </cfRule>
  </conditionalFormatting>
  <conditionalFormatting sqref="G1:G1048576">
    <cfRule type="colorScale" priority="2">
      <colorScale>
        <cfvo type="min"/>
        <cfvo type="percentile" val="50"/>
        <cfvo type="max"/>
        <color rgb="FFF8696B"/>
        <color rgb="FFFFEB84"/>
        <color rgb="FF63BE7B"/>
      </colorScale>
    </cfRule>
  </conditionalFormatting>
  <conditionalFormatting sqref="F1:F1048576">
    <cfRule type="colorScale" priority="20">
      <colorScale>
        <cfvo type="min"/>
        <cfvo type="percentile" val="50"/>
        <cfvo type="max"/>
        <color rgb="FF63BE7B"/>
        <color rgb="FFFFEB84"/>
        <color rgb="FFF8696B"/>
      </colorScale>
    </cfRule>
  </conditionalFormatting>
  <conditionalFormatting sqref="I1:I1048576">
    <cfRule type="colorScale" priority="1">
      <colorScale>
        <cfvo type="min"/>
        <cfvo type="percentile" val="50"/>
        <cfvo type="max"/>
        <color rgb="FF63BE7B"/>
        <color rgb="FFFFEB84"/>
        <color rgb="FFF8696B"/>
      </colorScale>
    </cfRule>
  </conditionalFormatting>
  <conditionalFormatting sqref="B2:B10">
    <cfRule type="colorScale" priority="2132">
      <colorScale>
        <cfvo type="min"/>
        <cfvo type="percentile" val="50"/>
        <cfvo type="max"/>
        <color rgb="FF63BE7B"/>
        <color rgb="FFFFEB84"/>
        <color rgb="FFF8696B"/>
      </colorScale>
    </cfRule>
  </conditionalFormatting>
  <conditionalFormatting sqref="D3:D10">
    <cfRule type="colorScale" priority="2133">
      <colorScale>
        <cfvo type="min"/>
        <cfvo type="percentile" val="50"/>
        <cfvo type="max"/>
        <color rgb="FF63BE7B"/>
        <color rgb="FFFFEB84"/>
        <color rgb="FFF8696B"/>
      </colorScale>
    </cfRule>
  </conditionalFormatting>
  <conditionalFormatting sqref="E3:F10">
    <cfRule type="colorScale" priority="2134">
      <colorScale>
        <cfvo type="min"/>
        <cfvo type="percentile" val="50"/>
        <cfvo type="max"/>
        <color rgb="FFF8696B"/>
        <color rgb="FFFFEB84"/>
        <color rgb="FF63BE7B"/>
      </colorScale>
    </cfRule>
  </conditionalFormatting>
  <conditionalFormatting sqref="X3:X10">
    <cfRule type="colorScale" priority="2135">
      <colorScale>
        <cfvo type="min"/>
        <cfvo type="percentile" val="50"/>
        <cfvo type="max"/>
        <color rgb="FFF8696B"/>
        <color rgb="FFFFEB84"/>
        <color rgb="FF63BE7B"/>
      </colorScale>
    </cfRule>
  </conditionalFormatting>
  <conditionalFormatting sqref="C3:C10">
    <cfRule type="colorScale" priority="2136">
      <colorScale>
        <cfvo type="min"/>
        <cfvo type="percentile" val="50"/>
        <cfvo type="max"/>
        <color rgb="FFF8696B"/>
        <color rgb="FFFFEB84"/>
        <color rgb="FF63BE7B"/>
      </colorScale>
    </cfRule>
  </conditionalFormatting>
  <conditionalFormatting sqref="G3:L10">
    <cfRule type="colorScale" priority="2137">
      <colorScale>
        <cfvo type="min"/>
        <cfvo type="percentile" val="50"/>
        <cfvo type="max"/>
        <color rgb="FFF8696B"/>
        <color rgb="FFFFEB84"/>
        <color rgb="FF63BE7B"/>
      </colorScale>
    </cfRule>
  </conditionalFormatting>
  <pageMargins left="0.7" right="0.7" top="0.75" bottom="0.75" header="0.3" footer="0.3"/>
  <pageSetup paperSize="9" orientation="portrait" horizontalDpi="90" verticalDpi="90"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C17C88-7762-407C-BCF3-1F47A583B700}">
  <sheetPr codeName="Sheet15"/>
  <dimension ref="A2:AC12"/>
  <sheetViews>
    <sheetView showGridLines="0" zoomScaleNormal="100" workbookViewId="0">
      <pane xSplit="1" topLeftCell="B1" activePane="topRight" state="frozen"/>
      <selection activeCell="B1" sqref="B1"/>
      <selection pane="topRight" activeCell="A11" sqref="A11:A12"/>
    </sheetView>
  </sheetViews>
  <sheetFormatPr defaultRowHeight="14.5" x14ac:dyDescent="0.35"/>
  <cols>
    <col min="1" max="1" width="45.7265625" bestFit="1" customWidth="1"/>
    <col min="2" max="2" width="6.08984375" bestFit="1" customWidth="1"/>
    <col min="3" max="3" width="18.08984375" style="5" bestFit="1" customWidth="1"/>
    <col min="4" max="4" width="7.26953125" style="13" bestFit="1" customWidth="1"/>
    <col min="5" max="5" width="8.26953125" style="13" bestFit="1" customWidth="1"/>
    <col min="6" max="6" width="11.81640625" style="13" bestFit="1" customWidth="1"/>
    <col min="7" max="7" width="7.81640625" style="5" bestFit="1" customWidth="1"/>
    <col min="8" max="8" width="7.6328125" style="5" bestFit="1" customWidth="1"/>
    <col min="9" max="9" width="11.81640625" style="13" bestFit="1" customWidth="1"/>
    <col min="10" max="10" width="13.453125" style="13" bestFit="1" customWidth="1"/>
    <col min="11" max="11" width="14.1796875" style="13" bestFit="1" customWidth="1"/>
    <col min="12" max="12" width="15.90625" style="13" bestFit="1" customWidth="1"/>
    <col min="13" max="13" width="15.453125" style="6" bestFit="1" customWidth="1"/>
    <col min="14" max="14" width="15.90625" style="6" bestFit="1" customWidth="1"/>
    <col min="15" max="15" width="15.54296875" style="6" bestFit="1" customWidth="1"/>
    <col min="16" max="16" width="8.54296875" style="3" bestFit="1" customWidth="1"/>
    <col min="17" max="17" width="11.08984375" style="13" bestFit="1" customWidth="1"/>
    <col min="18" max="18" width="23.1796875" style="13" bestFit="1" customWidth="1"/>
    <col min="19" max="19" width="16" bestFit="1" customWidth="1"/>
    <col min="20" max="20" width="11.54296875" bestFit="1" customWidth="1"/>
    <col min="21" max="21" width="12.6328125" bestFit="1" customWidth="1"/>
    <col min="22" max="22" width="18.54296875" bestFit="1" customWidth="1"/>
    <col min="23" max="23" width="21" bestFit="1" customWidth="1"/>
    <col min="24" max="24" width="7.36328125" bestFit="1" customWidth="1"/>
    <col min="25" max="25" width="10" bestFit="1" customWidth="1"/>
    <col min="26" max="26" width="19.08984375" style="23" bestFit="1" customWidth="1"/>
    <col min="27" max="28" width="10.08984375" bestFit="1" customWidth="1"/>
    <col min="29" max="29" width="12" bestFit="1" customWidth="1"/>
  </cols>
  <sheetData>
    <row r="2" spans="1:29" x14ac:dyDescent="0.35">
      <c r="A2" s="8" t="s">
        <v>319</v>
      </c>
      <c r="B2" s="16" t="s">
        <v>62</v>
      </c>
      <c r="C2" s="17" t="s">
        <v>47</v>
      </c>
      <c r="D2" s="19" t="s">
        <v>57</v>
      </c>
      <c r="E2" s="19" t="s">
        <v>216</v>
      </c>
      <c r="F2" s="19" t="s">
        <v>217</v>
      </c>
      <c r="G2" s="58" t="s">
        <v>73</v>
      </c>
      <c r="H2" s="58" t="s">
        <v>182</v>
      </c>
      <c r="I2" s="59" t="s">
        <v>97</v>
      </c>
      <c r="J2" s="59" t="s">
        <v>236</v>
      </c>
      <c r="K2" s="59" t="s">
        <v>214</v>
      </c>
      <c r="L2" s="59" t="s">
        <v>237</v>
      </c>
      <c r="M2" s="18" t="s">
        <v>155</v>
      </c>
      <c r="N2" s="18" t="s">
        <v>156</v>
      </c>
      <c r="O2" s="18" t="s">
        <v>157</v>
      </c>
      <c r="P2" s="60" t="s">
        <v>161</v>
      </c>
      <c r="Q2" s="16" t="s">
        <v>162</v>
      </c>
      <c r="R2" s="17" t="s">
        <v>238</v>
      </c>
      <c r="S2" s="19" t="s">
        <v>239</v>
      </c>
      <c r="T2" s="58" t="s">
        <v>164</v>
      </c>
      <c r="U2" s="58" t="s">
        <v>240</v>
      </c>
      <c r="V2" s="59" t="s">
        <v>241</v>
      </c>
      <c r="W2" s="59" t="s">
        <v>242</v>
      </c>
      <c r="X2" s="60" t="s">
        <v>168</v>
      </c>
      <c r="Y2" s="61" t="s">
        <v>171</v>
      </c>
      <c r="Z2" s="62" t="s">
        <v>175</v>
      </c>
      <c r="AA2" s="4" t="s">
        <v>176</v>
      </c>
      <c r="AB2" s="10" t="s">
        <v>177</v>
      </c>
      <c r="AC2" s="10" t="s">
        <v>178</v>
      </c>
    </row>
    <row r="3" spans="1:29" x14ac:dyDescent="0.35">
      <c r="A3" s="4" t="s">
        <v>320</v>
      </c>
      <c r="B3" s="16">
        <v>4</v>
      </c>
      <c r="C3" s="17">
        <v>0.18440000000000001</v>
      </c>
      <c r="D3" s="19">
        <v>42.94</v>
      </c>
      <c r="E3" s="19">
        <v>7.6</v>
      </c>
      <c r="F3" s="19">
        <f>IF(OR(Table224567911[[#This Row],[P/C]]&lt;=0,Table224567911[[#This Row],[P/E]]&lt;=0),100,Table224567911[[#This Row],[P/E]]-Table224567911[[#This Row],[P/C]])</f>
        <v>35.339999999999996</v>
      </c>
      <c r="G3" s="17">
        <v>0.1653</v>
      </c>
      <c r="H3" s="17">
        <v>0.19339999999999999</v>
      </c>
      <c r="I3" s="19">
        <v>5.44</v>
      </c>
      <c r="J3" s="19">
        <f>ABS(IF(Table224567911[[#This Row],[CFO/PAT]]&lt;0,100,1-Table224567911[[#This Row],[CFO/PAT]]))</f>
        <v>4.4400000000000004</v>
      </c>
      <c r="K3" s="19">
        <v>1.04</v>
      </c>
      <c r="L3" s="19">
        <f>ABS(IF(Table224567911[[#This Row],[Debt Equity]]&lt;0,100,0-Table224567911[[#This Row],[Debt Equity]]))</f>
        <v>1.04</v>
      </c>
      <c r="M3" s="20">
        <v>1227.6500000000001</v>
      </c>
      <c r="N3" s="20">
        <v>2121</v>
      </c>
      <c r="O3" s="20">
        <v>932</v>
      </c>
      <c r="P3" s="17">
        <f>(N3-M3)/M3</f>
        <v>0.7276911171750905</v>
      </c>
      <c r="Q3" s="19">
        <f>IF(LEFT(B3,1)="0",4,IF(LEFT(B3,1)="1",3,IF(LEFT(B3,1)="2",2,IF(LEFT(B3,1)="3",1,0))))</f>
        <v>0</v>
      </c>
      <c r="R3" s="19">
        <f>IF(C3&gt;0.7,4,IF(AND(C3&lt;0.7,C3&gt;0.65),3,IF(AND(C3&lt;0.65,C3&gt;0.6),2,IF(AND(C3&lt;0.6,C3&gt;0.55),1,0))))</f>
        <v>0</v>
      </c>
      <c r="S3" s="19">
        <f>IF(F3&lt;10,4,IF(AND(F3&lt;15,F3&gt;10),3,IF(AND(F3&lt;20,F3&gt;15),2,IF(AND(F3&lt;30,F3&gt;20),1,0))))</f>
        <v>0</v>
      </c>
      <c r="T3" s="14">
        <f t="shared" ref="T3:U10" si="0">IF(G3&gt;0.25,4,IF(AND(G3&lt;0.25,G3&gt;0.2),3,IF(AND(G3&lt;0.2,G3&gt;0.15),2,IF(AND(G3&lt;0.15,G3&gt;0.1),1,0))))</f>
        <v>2</v>
      </c>
      <c r="U3" s="14">
        <f t="shared" si="0"/>
        <v>2</v>
      </c>
      <c r="V3" s="14">
        <f>IF(J3&lt;0.15,4,IF(AND(J3&lt;0.3,J3&gt;0.15),3,IF(AND(J3&lt;0.45,J3&gt;0.3),2,IF(AND(J3&lt;0.6,J3&gt;0.45),1,0))))</f>
        <v>0</v>
      </c>
      <c r="W3" s="19">
        <f t="shared" ref="W3:W10" si="1">IF(L3=0,4,IF(AND(L3&lt;0.1,L3&gt;0),3,IF(AND(L3&lt;0.2,L3&gt;0.1),2,IF(AND(L3&lt;0.3,L3&gt;0.2),1,0))))</f>
        <v>0</v>
      </c>
      <c r="X3" s="22">
        <f t="shared" ref="X3:X10" si="2">SUM(Q3:W3)/28</f>
        <v>0.14285714285714285</v>
      </c>
      <c r="Y3" s="10" t="s">
        <v>174</v>
      </c>
      <c r="Z3" s="24">
        <v>1000</v>
      </c>
      <c r="AA3" s="14">
        <f>Z3/M3</f>
        <v>0.81456441168085358</v>
      </c>
      <c r="AB3" s="25">
        <f>AA3*(N3*(IF(Y3="Low",0.9,IF(Y3="Medium",0.75,0.5)))-M3)</f>
        <v>-136.15444141245476</v>
      </c>
      <c r="AC3" s="63">
        <f>IFERROR(AB3/Z3,0)</f>
        <v>-0.13615444141245475</v>
      </c>
    </row>
    <row r="4" spans="1:29" x14ac:dyDescent="0.35">
      <c r="A4" s="4" t="s">
        <v>321</v>
      </c>
      <c r="B4" s="16">
        <v>3.37</v>
      </c>
      <c r="C4" s="17">
        <v>0.51890000000000003</v>
      </c>
      <c r="D4" s="19">
        <v>16.62</v>
      </c>
      <c r="E4" s="19">
        <v>8.6300000000000008</v>
      </c>
      <c r="F4" s="19">
        <f>IF(OR(Table224567911[[#This Row],[P/C]]&lt;=0,Table224567911[[#This Row],[P/E]]&lt;=0),100,Table224567911[[#This Row],[P/E]]-Table224567911[[#This Row],[P/C]])</f>
        <v>7.99</v>
      </c>
      <c r="G4" s="17">
        <v>0.1575</v>
      </c>
      <c r="H4" s="17">
        <v>0.21890000000000001</v>
      </c>
      <c r="I4" s="19">
        <v>2.36</v>
      </c>
      <c r="J4" s="19">
        <f>ABS(IF(Table224567911[[#This Row],[CFO/PAT]]&lt;0,100,1-Table224567911[[#This Row],[CFO/PAT]]))</f>
        <v>1.3599999999999999</v>
      </c>
      <c r="K4" s="19">
        <v>0.11</v>
      </c>
      <c r="L4" s="19">
        <f>ABS(IF(Table224567911[[#This Row],[Debt Equity]]&lt;0,100,0-Table224567911[[#This Row],[Debt Equity]]))</f>
        <v>0.11</v>
      </c>
      <c r="M4" s="20">
        <v>234.6</v>
      </c>
      <c r="N4" s="20">
        <v>510.8</v>
      </c>
      <c r="O4" s="20">
        <v>214</v>
      </c>
      <c r="P4" s="17">
        <f>(N4-M4)/M4</f>
        <v>1.1773231031543054</v>
      </c>
      <c r="Q4" s="19">
        <f>IF(LEFT(B4,1)="0",4,IF(LEFT(B4,1)="1",3,IF(LEFT(B4,1)="2",2,IF(LEFT(B4,1)="3",1,0))))</f>
        <v>1</v>
      </c>
      <c r="R4" s="19">
        <f>IF(C4&gt;0.7,4,IF(AND(C4&lt;0.7,C4&gt;0.65),3,IF(AND(C4&lt;0.65,C4&gt;0.6),2,IF(AND(C4&lt;0.6,C4&gt;0.55),1,0))))</f>
        <v>0</v>
      </c>
      <c r="S4" s="19">
        <f>IF(F4&lt;10,4,IF(AND(F4&lt;15,F4&gt;10),3,IF(AND(F4&lt;20,F4&gt;15),2,IF(AND(F4&lt;30,F4&gt;20),1,0))))</f>
        <v>4</v>
      </c>
      <c r="T4" s="14">
        <f>IF(G4&gt;0.25,4,IF(AND(G4&lt;0.25,G4&gt;0.2),3,IF(AND(G4&lt;0.2,G4&gt;0.15),2,IF(AND(G4&lt;0.15,G4&gt;0.1),1,0))))</f>
        <v>2</v>
      </c>
      <c r="U4" s="14">
        <f>IF(H4&gt;0.25,4,IF(AND(H4&lt;0.25,H4&gt;0.2),3,IF(AND(H4&lt;0.2,H4&gt;0.15),2,IF(AND(H4&lt;0.15,H4&gt;0.1),1,0))))</f>
        <v>3</v>
      </c>
      <c r="V4" s="14">
        <f>IF(J4&lt;0.15,4,IF(AND(J4&lt;0.3,J4&gt;0.15),3,IF(AND(J4&lt;0.45,J4&gt;0.3),2,IF(AND(J4&lt;0.6,J4&gt;0.45),1,0))))</f>
        <v>0</v>
      </c>
      <c r="W4" s="19">
        <f>IF(L4=0,4,IF(AND(L4&lt;0.1,L4&gt;0),3,IF(AND(L4&lt;0.2,L4&gt;0.1),2,IF(AND(L4&lt;0.3,L4&gt;0.2),1,0))))</f>
        <v>2</v>
      </c>
      <c r="X4" s="22">
        <f>SUM(Q4:W4)/28</f>
        <v>0.42857142857142855</v>
      </c>
      <c r="Y4" s="10"/>
      <c r="Z4" s="24"/>
      <c r="AA4" s="14">
        <f>Z4/M4</f>
        <v>0</v>
      </c>
      <c r="AB4" s="25">
        <f>AA4*(N4*(IF(Y4="Low",0.9,IF(Y4="Medium",0.75,0.5)))-M4)</f>
        <v>0</v>
      </c>
      <c r="AC4" s="63">
        <f>IFERROR(AB4/Z4,0)</f>
        <v>0</v>
      </c>
    </row>
    <row r="5" spans="1:29" x14ac:dyDescent="0.35">
      <c r="A5" s="4" t="s">
        <v>322</v>
      </c>
      <c r="B5" s="16">
        <v>2.5499999999999998</v>
      </c>
      <c r="C5" s="17">
        <v>0.34960000000000002</v>
      </c>
      <c r="D5" s="19">
        <v>0</v>
      </c>
      <c r="E5" s="19">
        <v>7.42</v>
      </c>
      <c r="F5" s="19">
        <f>IF(OR(Table224567911[[#This Row],[P/C]]&lt;=0,Table224567911[[#This Row],[P/E]]&lt;=0),100,Table224567911[[#This Row],[P/E]]-Table224567911[[#This Row],[P/C]])</f>
        <v>100</v>
      </c>
      <c r="G5" s="17">
        <v>-8.8499999999999995E-2</v>
      </c>
      <c r="H5" s="17">
        <v>6.9099999999999995E-2</v>
      </c>
      <c r="I5" s="19">
        <v>-1.26</v>
      </c>
      <c r="J5" s="19">
        <f>ABS(IF(Table224567911[[#This Row],[CFO/PAT]]&lt;0,100,1-Table224567911[[#This Row],[CFO/PAT]]))</f>
        <v>100</v>
      </c>
      <c r="K5" s="19">
        <v>7.25</v>
      </c>
      <c r="L5" s="19">
        <f>ABS(IF(Table224567911[[#This Row],[Debt Equity]]&lt;0,100,0-Table224567911[[#This Row],[Debt Equity]]))</f>
        <v>7.25</v>
      </c>
      <c r="M5" s="20">
        <v>1837.1</v>
      </c>
      <c r="N5" s="20">
        <v>3021.15</v>
      </c>
      <c r="O5" s="20">
        <v>1475</v>
      </c>
      <c r="P5" s="17">
        <f t="shared" ref="P5:P10" si="3">(N5-M5)/M5</f>
        <v>0.64452125632790824</v>
      </c>
      <c r="Q5" s="19">
        <f>IF(LEFT(B5,1)="0",4,IF(LEFT(B5,1)="1",3,IF(LEFT(B5,1)="2",2,IF(LEFT(B5,1)="3",1,0))))</f>
        <v>2</v>
      </c>
      <c r="R5" s="19">
        <f>IF(C5&gt;0.7,4,IF(AND(C5&lt;0.7,C5&gt;0.65),3,IF(AND(C5&lt;0.65,C5&gt;0.6),2,IF(AND(C5&lt;0.6,C5&gt;0.55),1,0))))</f>
        <v>0</v>
      </c>
      <c r="S5" s="19">
        <f>IF(F5&lt;10,4,IF(AND(F5&lt;15,F5&gt;10),3,IF(AND(F5&lt;20,F5&gt;15),2,IF(AND(F5&lt;30,F5&gt;20),1,0))))</f>
        <v>0</v>
      </c>
      <c r="T5" s="14">
        <f t="shared" si="0"/>
        <v>0</v>
      </c>
      <c r="U5" s="14">
        <f t="shared" si="0"/>
        <v>0</v>
      </c>
      <c r="V5" s="14">
        <f>IF(J5&lt;0.15,4,IF(AND(J5&lt;0.3,J5&gt;0.15),3,IF(AND(J5&lt;0.45,J5&gt;0.3),2,IF(AND(J5&lt;0.6,J5&gt;0.45),1,0))))</f>
        <v>0</v>
      </c>
      <c r="W5" s="19">
        <f t="shared" si="1"/>
        <v>0</v>
      </c>
      <c r="X5" s="22">
        <f t="shared" si="2"/>
        <v>7.1428571428571425E-2</v>
      </c>
      <c r="Y5" s="10" t="s">
        <v>174</v>
      </c>
      <c r="Z5" s="24">
        <v>0</v>
      </c>
      <c r="AA5" s="14">
        <f>Z5/M5</f>
        <v>0</v>
      </c>
      <c r="AB5" s="25">
        <f>AA5*(N5*(IF(Y5="Low",0.9,IF(Y5="Medium",0.75,0.5)))-M5)</f>
        <v>0</v>
      </c>
      <c r="AC5" s="63">
        <f t="shared" ref="AC5:AC10" si="4">IFERROR(AB5/Z5,0)</f>
        <v>0</v>
      </c>
    </row>
    <row r="6" spans="1:29" x14ac:dyDescent="0.35">
      <c r="A6" s="4" t="s">
        <v>323</v>
      </c>
      <c r="B6" s="16">
        <v>1.37</v>
      </c>
      <c r="C6" s="17">
        <v>0.5907</v>
      </c>
      <c r="D6" s="19">
        <v>10.19</v>
      </c>
      <c r="E6" s="19">
        <v>-12.87</v>
      </c>
      <c r="F6" s="19">
        <f>IF(OR(Table224567911[[#This Row],[P/C]]&lt;=0,Table224567911[[#This Row],[P/E]]&lt;=0),100,Table224567911[[#This Row],[P/E]]-Table224567911[[#This Row],[P/C]])</f>
        <v>100</v>
      </c>
      <c r="G6" s="17">
        <v>0.1802</v>
      </c>
      <c r="H6" s="17">
        <v>0.26719999999999999</v>
      </c>
      <c r="I6" s="19">
        <v>0.66</v>
      </c>
      <c r="J6" s="19">
        <f>ABS(IF(Table224567911[[#This Row],[CFO/PAT]]&lt;0,100,1-Table224567911[[#This Row],[CFO/PAT]]))</f>
        <v>0.33999999999999997</v>
      </c>
      <c r="K6" s="19">
        <v>0.2</v>
      </c>
      <c r="L6" s="19">
        <f>ABS(IF(Table224567911[[#This Row],[Debt Equity]]&lt;0,100,0-Table224567911[[#This Row],[Debt Equity]]))</f>
        <v>0.2</v>
      </c>
      <c r="M6" s="20">
        <v>301.39999999999998</v>
      </c>
      <c r="N6" s="20">
        <v>524.79999999999995</v>
      </c>
      <c r="O6" s="20">
        <v>240.1</v>
      </c>
      <c r="P6" s="17">
        <f t="shared" si="3"/>
        <v>0.74120769741207693</v>
      </c>
      <c r="Q6" s="19">
        <f>IF(LEFT(B6,1)="0",4,IF(LEFT(B6,1)="1",3,IF(LEFT(B6,1)="2",2,IF(LEFT(B6,1)="3",1,0))))</f>
        <v>3</v>
      </c>
      <c r="R6" s="19">
        <f>IF(C6&gt;0.7,4,IF(AND(C6&lt;0.7,C6&gt;0.65),3,IF(AND(C6&lt;0.65,C6&gt;0.6),2,IF(AND(C6&lt;0.6,C6&gt;0.55),1,0))))</f>
        <v>1</v>
      </c>
      <c r="S6" s="19">
        <f>IF(F6&lt;10,4,IF(AND(F6&lt;15,F6&gt;10),3,IF(AND(F6&lt;20,F6&gt;15),2,IF(AND(F6&lt;30,F6&gt;20),1,0))))</f>
        <v>0</v>
      </c>
      <c r="T6" s="14">
        <f t="shared" si="0"/>
        <v>2</v>
      </c>
      <c r="U6" s="14">
        <f t="shared" si="0"/>
        <v>4</v>
      </c>
      <c r="V6" s="14">
        <f>IF(J6&lt;0.15,4,IF(AND(J6&lt;0.3,J6&gt;0.15),3,IF(AND(J6&lt;0.45,J6&gt;0.3),2,IF(AND(J6&lt;0.6,J6&gt;0.45),1,0))))</f>
        <v>2</v>
      </c>
      <c r="W6" s="19">
        <f t="shared" si="1"/>
        <v>0</v>
      </c>
      <c r="X6" s="22">
        <f t="shared" si="2"/>
        <v>0.42857142857142855</v>
      </c>
      <c r="Y6" s="10" t="s">
        <v>174</v>
      </c>
      <c r="Z6" s="24">
        <v>500</v>
      </c>
      <c r="AA6" s="14">
        <f>Z6/M6</f>
        <v>1.6589250165892504</v>
      </c>
      <c r="AB6" s="25">
        <f>AA6*(N6*(IF(Y6="Low",0.9,IF(Y6="Medium",0.75,0.5)))-M6)</f>
        <v>-64.698075646980769</v>
      </c>
      <c r="AC6" s="63">
        <f t="shared" si="4"/>
        <v>-0.12939615129396154</v>
      </c>
    </row>
    <row r="7" spans="1:29" x14ac:dyDescent="0.35">
      <c r="A7" s="4" t="s">
        <v>324</v>
      </c>
      <c r="B7" s="16">
        <v>0.62</v>
      </c>
      <c r="C7" s="17">
        <v>0.3422</v>
      </c>
      <c r="D7" s="19">
        <v>0</v>
      </c>
      <c r="E7" s="19">
        <v>-2.4700000000000002</v>
      </c>
      <c r="F7" s="84">
        <f>IF(OR(Table224567911[[#This Row],[P/C]]&lt;=0,Table224567911[[#This Row],[P/E]]&lt;=0),100,Table224567911[[#This Row],[P/E]]-Table224567911[[#This Row],[P/C]])</f>
        <v>100</v>
      </c>
      <c r="G7" s="17">
        <v>-0.12180000000000001</v>
      </c>
      <c r="H7" s="17">
        <v>-0.11310000000000001</v>
      </c>
      <c r="I7" s="19">
        <v>6.8</v>
      </c>
      <c r="J7" s="84">
        <f>ABS(IF(Table224567911[[#This Row],[CFO/PAT]]&lt;0,100,1-Table224567911[[#This Row],[CFO/PAT]]))</f>
        <v>5.8</v>
      </c>
      <c r="K7" s="19">
        <v>0</v>
      </c>
      <c r="L7" s="84">
        <f>ABS(IF(Table224567911[[#This Row],[Debt Equity]]&lt;0,100,0-Table224567911[[#This Row],[Debt Equity]]))</f>
        <v>0</v>
      </c>
      <c r="M7" s="20">
        <v>76.849999999999994</v>
      </c>
      <c r="N7" s="20">
        <v>239.3</v>
      </c>
      <c r="O7" s="20">
        <v>63.6</v>
      </c>
      <c r="P7" s="17">
        <f t="shared" si="3"/>
        <v>2.1138581652569943</v>
      </c>
      <c r="Q7" s="19">
        <f t="shared" ref="Q7:Q10" si="5">IF(LEFT(B7,1)="0",4,IF(LEFT(B7,1)="1",3,IF(LEFT(B7,1)="2",2,IF(LEFT(B7,1)="3",1,0))))</f>
        <v>4</v>
      </c>
      <c r="R7" s="85">
        <f t="shared" ref="R7:R10" si="6">IF(C7&gt;0.7,4,IF(AND(C7&lt;0.7,C7&gt;0.65),3,IF(AND(C7&lt;0.65,C7&gt;0.6),2,IF(AND(C7&lt;0.6,C7&gt;0.55),1,0))))</f>
        <v>0</v>
      </c>
      <c r="S7" s="19">
        <f t="shared" ref="S7:S10" si="7">IF(F7&lt;10,4,IF(AND(F7&lt;15,F7&gt;10),3,IF(AND(F7&lt;20,F7&gt;15),2,IF(AND(F7&lt;30,F7&gt;20),1,0))))</f>
        <v>0</v>
      </c>
      <c r="T7" s="84">
        <f t="shared" si="0"/>
        <v>0</v>
      </c>
      <c r="U7" s="19">
        <f t="shared" si="0"/>
        <v>0</v>
      </c>
      <c r="V7" s="19">
        <f t="shared" ref="V7:V10" si="8">IF(J7&lt;0.15,4,IF(AND(J7&lt;0.3,J7&gt;0.15),3,IF(AND(J7&lt;0.45,J7&gt;0.3),2,IF(AND(J7&lt;0.6,J7&gt;0.45),1,0))))</f>
        <v>0</v>
      </c>
      <c r="W7" s="84">
        <f t="shared" si="1"/>
        <v>4</v>
      </c>
      <c r="X7" s="22">
        <f t="shared" si="2"/>
        <v>0.2857142857142857</v>
      </c>
      <c r="Y7" s="10"/>
      <c r="Z7" s="24"/>
      <c r="AA7" s="14">
        <f t="shared" ref="AA7:AA10" si="9">Z7/M7</f>
        <v>0</v>
      </c>
      <c r="AB7" s="25">
        <f t="shared" ref="AB7:AB10" si="10">AA7*(N7*(IF(Y7="Low",0.9,IF(Y7="Medium",0.75,0.5)))-M7)</f>
        <v>0</v>
      </c>
      <c r="AC7" s="63">
        <f t="shared" si="4"/>
        <v>0</v>
      </c>
    </row>
    <row r="8" spans="1:29" x14ac:dyDescent="0.35">
      <c r="A8" s="4" t="s">
        <v>325</v>
      </c>
      <c r="B8" s="16">
        <v>2.5099999999999998</v>
      </c>
      <c r="C8" s="17">
        <v>0.60719999999999996</v>
      </c>
      <c r="D8" s="19">
        <v>77.13</v>
      </c>
      <c r="E8" s="19">
        <v>-12.11</v>
      </c>
      <c r="F8" s="84">
        <f>IF(OR(Table224567911[[#This Row],[P/C]]&lt;=0,Table224567911[[#This Row],[P/E]]&lt;=0),100,Table224567911[[#This Row],[P/E]]-Table224567911[[#This Row],[P/C]])</f>
        <v>100</v>
      </c>
      <c r="G8" s="17">
        <v>1.2664</v>
      </c>
      <c r="H8" s="17">
        <v>0.748</v>
      </c>
      <c r="I8" s="19">
        <v>0.03</v>
      </c>
      <c r="J8" s="84">
        <f>ABS(IF(Table224567911[[#This Row],[CFO/PAT]]&lt;0,100,1-Table224567911[[#This Row],[CFO/PAT]]))</f>
        <v>0.97</v>
      </c>
      <c r="K8" s="19">
        <v>0.15</v>
      </c>
      <c r="L8" s="84">
        <f>ABS(IF(Table224567911[[#This Row],[Debt Equity]]&lt;0,100,0-Table224567911[[#This Row],[Debt Equity]]))</f>
        <v>0.15</v>
      </c>
      <c r="M8" s="20">
        <v>2.9</v>
      </c>
      <c r="N8" s="20">
        <v>5.34</v>
      </c>
      <c r="O8" s="20">
        <v>2.2599999999999998</v>
      </c>
      <c r="P8" s="17">
        <f>(N8-M8)/M8</f>
        <v>0.8413793103448276</v>
      </c>
      <c r="Q8" s="19">
        <f>IF(LEFT(B8,1)="0",4,IF(LEFT(B8,1)="1",3,IF(LEFT(B8,1)="2",2,IF(LEFT(B8,1)="3",1,0))))</f>
        <v>2</v>
      </c>
      <c r="R8" s="85">
        <f>IF(C8&gt;0.7,4,IF(AND(C8&lt;0.7,C8&gt;0.65),3,IF(AND(C8&lt;0.65,C8&gt;0.6),2,IF(AND(C8&lt;0.6,C8&gt;0.55),1,0))))</f>
        <v>2</v>
      </c>
      <c r="S8" s="19">
        <f>IF(F8&lt;10,4,IF(AND(F8&lt;15,F8&gt;10),3,IF(AND(F8&lt;20,F8&gt;15),2,IF(AND(F8&lt;30,F8&gt;20),1,0))))</f>
        <v>0</v>
      </c>
      <c r="T8" s="84">
        <f>IF(G8&gt;0.25,4,IF(AND(G8&lt;0.25,G8&gt;0.2),3,IF(AND(G8&lt;0.2,G8&gt;0.15),2,IF(AND(G8&lt;0.15,G8&gt;0.1),1,0))))</f>
        <v>4</v>
      </c>
      <c r="U8" s="19">
        <f>IF(H8&gt;0.25,4,IF(AND(H8&lt;0.25,H8&gt;0.2),3,IF(AND(H8&lt;0.2,H8&gt;0.15),2,IF(AND(H8&lt;0.15,H8&gt;0.1),1,0))))</f>
        <v>4</v>
      </c>
      <c r="V8" s="19">
        <f>IF(J8&lt;0.15,4,IF(AND(J8&lt;0.3,J8&gt;0.15),3,IF(AND(J8&lt;0.45,J8&gt;0.3),2,IF(AND(J8&lt;0.6,J8&gt;0.45),1,0))))</f>
        <v>0</v>
      </c>
      <c r="W8" s="84">
        <f>IF(L8=0,4,IF(AND(L8&lt;0.1,L8&gt;0),3,IF(AND(L8&lt;0.2,L8&gt;0.1),2,IF(AND(L8&lt;0.3,L8&gt;0.2),1,0))))</f>
        <v>2</v>
      </c>
      <c r="X8" s="22">
        <f>SUM(Q8:W8)/28</f>
        <v>0.5</v>
      </c>
      <c r="Y8" s="10"/>
      <c r="Z8" s="24"/>
      <c r="AA8" s="14">
        <f>Z8/M8</f>
        <v>0</v>
      </c>
      <c r="AB8" s="25">
        <f>AA8*(N8*(IF(Y8="Low",0.9,IF(Y8="Medium",0.75,0.5)))-M8)</f>
        <v>0</v>
      </c>
      <c r="AC8" s="63">
        <f>IFERROR(AB8/Z8,0)</f>
        <v>0</v>
      </c>
    </row>
    <row r="9" spans="1:29" x14ac:dyDescent="0.35">
      <c r="A9" s="4" t="s">
        <v>333</v>
      </c>
      <c r="B9" s="16">
        <v>0.53</v>
      </c>
      <c r="C9" s="17">
        <v>0.3009</v>
      </c>
      <c r="D9" s="19">
        <v>3.39</v>
      </c>
      <c r="E9" s="19">
        <v>2.27</v>
      </c>
      <c r="F9" s="84">
        <f>IF(OR(Table224567911[[#This Row],[P/C]]&lt;=0,Table224567911[[#This Row],[P/E]]&lt;=0),100,Table224567911[[#This Row],[P/E]]-Table224567911[[#This Row],[P/C]])</f>
        <v>1.1200000000000001</v>
      </c>
      <c r="G9" s="17">
        <v>0.13320000000000001</v>
      </c>
      <c r="H9" s="17">
        <v>0.1908</v>
      </c>
      <c r="I9" s="19">
        <v>1.98</v>
      </c>
      <c r="J9" s="84">
        <f>ABS(IF(Table224567911[[#This Row],[CFO/PAT]]&lt;0,100,1-Table224567911[[#This Row],[CFO/PAT]]))</f>
        <v>0.98</v>
      </c>
      <c r="K9" s="19">
        <v>0.17</v>
      </c>
      <c r="L9" s="84">
        <f>ABS(IF(Table224567911[[#This Row],[Debt Equity]]&lt;0,100,0-Table224567911[[#This Row],[Debt Equity]]))</f>
        <v>0.17</v>
      </c>
      <c r="M9" s="20">
        <v>78.25</v>
      </c>
      <c r="N9" s="20">
        <v>323.89999999999998</v>
      </c>
      <c r="O9" s="20">
        <v>60</v>
      </c>
      <c r="P9" s="17">
        <f>(N9-M9)/M9</f>
        <v>3.1392971246006387</v>
      </c>
      <c r="Q9" s="19">
        <f>IF(LEFT(B9,1)="0",4,IF(LEFT(B9,1)="1",3,IF(LEFT(B9,1)="2",2,IF(LEFT(B9,1)="3",1,0))))</f>
        <v>4</v>
      </c>
      <c r="R9" s="85">
        <f>IF(C9&gt;0.7,4,IF(AND(C9&lt;0.7,C9&gt;0.65),3,IF(AND(C9&lt;0.65,C9&gt;0.6),2,IF(AND(C9&lt;0.6,C9&gt;0.55),1,0))))</f>
        <v>0</v>
      </c>
      <c r="S9" s="19">
        <f>IF(F9&lt;10,4,IF(AND(F9&lt;15,F9&gt;10),3,IF(AND(F9&lt;20,F9&gt;15),2,IF(AND(F9&lt;30,F9&gt;20),1,0))))</f>
        <v>4</v>
      </c>
      <c r="T9" s="84">
        <f>IF(G9&gt;0.25,4,IF(AND(G9&lt;0.25,G9&gt;0.2),3,IF(AND(G9&lt;0.2,G9&gt;0.15),2,IF(AND(G9&lt;0.15,G9&gt;0.1),1,0))))</f>
        <v>1</v>
      </c>
      <c r="U9" s="19">
        <f>IF(H9&gt;0.25,4,IF(AND(H9&lt;0.25,H9&gt;0.2),3,IF(AND(H9&lt;0.2,H9&gt;0.15),2,IF(AND(H9&lt;0.15,H9&gt;0.1),1,0))))</f>
        <v>2</v>
      </c>
      <c r="V9" s="19">
        <f>IF(J9&lt;0.15,4,IF(AND(J9&lt;0.3,J9&gt;0.15),3,IF(AND(J9&lt;0.45,J9&gt;0.3),2,IF(AND(J9&lt;0.6,J9&gt;0.45),1,0))))</f>
        <v>0</v>
      </c>
      <c r="W9" s="84">
        <f>IF(L9=0,4,IF(AND(L9&lt;0.1,L9&gt;0),3,IF(AND(L9&lt;0.2,L9&gt;0.1),2,IF(AND(L9&lt;0.3,L9&gt;0.2),1,0))))</f>
        <v>2</v>
      </c>
      <c r="X9" s="22">
        <f>SUM(Q9:W9)/28</f>
        <v>0.4642857142857143</v>
      </c>
      <c r="Y9" s="10"/>
      <c r="Z9" s="24"/>
      <c r="AA9" s="14">
        <f>Z9/M9</f>
        <v>0</v>
      </c>
      <c r="AB9" s="25">
        <f>AA9*(N9*(IF(Y9="Low",0.9,IF(Y9="Medium",0.75,0.5)))-M9)</f>
        <v>0</v>
      </c>
      <c r="AC9" s="63">
        <f>IFERROR(AB9/Z9,0)</f>
        <v>0</v>
      </c>
    </row>
    <row r="10" spans="1:29" x14ac:dyDescent="0.35">
      <c r="A10" s="4" t="s">
        <v>334</v>
      </c>
      <c r="B10" s="16">
        <v>0.3</v>
      </c>
      <c r="C10" s="17">
        <v>0.65820000000000001</v>
      </c>
      <c r="D10" s="19">
        <v>2.82</v>
      </c>
      <c r="E10" s="19">
        <v>5.64</v>
      </c>
      <c r="F10" s="84">
        <f>IF(OR(Table224567911[[#This Row],[P/C]]&lt;=0,Table224567911[[#This Row],[P/E]]&lt;=0),100,Table224567911[[#This Row],[P/E]]-Table224567911[[#This Row],[P/C]])</f>
        <v>-2.82</v>
      </c>
      <c r="G10" s="17">
        <v>0.1552</v>
      </c>
      <c r="H10" s="17">
        <v>0.2099</v>
      </c>
      <c r="I10" s="19">
        <v>-0.08</v>
      </c>
      <c r="J10" s="84">
        <f>ABS(IF(Table224567911[[#This Row],[CFO/PAT]]&lt;0,100,1-Table224567911[[#This Row],[CFO/PAT]]))</f>
        <v>100</v>
      </c>
      <c r="K10" s="19">
        <v>0.35</v>
      </c>
      <c r="L10" s="84">
        <f>ABS(IF(Table224567911[[#This Row],[Debt Equity]]&lt;0,100,0-Table224567911[[#This Row],[Debt Equity]]))</f>
        <v>0.35</v>
      </c>
      <c r="M10" s="20">
        <v>67.400000000000006</v>
      </c>
      <c r="N10" s="20">
        <v>420.3</v>
      </c>
      <c r="O10" s="20">
        <v>41.8</v>
      </c>
      <c r="P10" s="17">
        <f t="shared" si="3"/>
        <v>5.2359050445103854</v>
      </c>
      <c r="Q10" s="19">
        <f t="shared" si="5"/>
        <v>4</v>
      </c>
      <c r="R10" s="85">
        <f t="shared" si="6"/>
        <v>3</v>
      </c>
      <c r="S10" s="19">
        <f t="shared" si="7"/>
        <v>4</v>
      </c>
      <c r="T10" s="84">
        <f t="shared" si="0"/>
        <v>2</v>
      </c>
      <c r="U10" s="19">
        <f t="shared" si="0"/>
        <v>3</v>
      </c>
      <c r="V10" s="19">
        <f t="shared" si="8"/>
        <v>0</v>
      </c>
      <c r="W10" s="84">
        <f t="shared" si="1"/>
        <v>0</v>
      </c>
      <c r="X10" s="22">
        <f t="shared" si="2"/>
        <v>0.5714285714285714</v>
      </c>
      <c r="Y10" s="10"/>
      <c r="Z10" s="24"/>
      <c r="AA10" s="14">
        <f t="shared" si="9"/>
        <v>0</v>
      </c>
      <c r="AB10" s="25">
        <f t="shared" si="10"/>
        <v>0</v>
      </c>
      <c r="AC10" s="63">
        <f t="shared" si="4"/>
        <v>0</v>
      </c>
    </row>
    <row r="11" spans="1:29" x14ac:dyDescent="0.35">
      <c r="A11" s="46" t="s">
        <v>335</v>
      </c>
      <c r="B11" s="46">
        <v>0.05</v>
      </c>
      <c r="C11" s="47">
        <v>0.62309999999999999</v>
      </c>
      <c r="D11" s="49">
        <v>1.1299999999999999</v>
      </c>
      <c r="E11" s="49">
        <v>0.35</v>
      </c>
      <c r="F11" s="86">
        <f>IF(OR(Table224567911[[#This Row],[P/C]]&lt;=0,Table224567911[[#This Row],[P/E]]&lt;=0),100,Table224567911[[#This Row],[P/E]]-Table224567911[[#This Row],[P/C]])</f>
        <v>0.77999999999999992</v>
      </c>
      <c r="G11" s="47">
        <v>0.1114</v>
      </c>
      <c r="H11" s="47">
        <v>0.13070000000000001</v>
      </c>
      <c r="I11" s="49">
        <v>2.42</v>
      </c>
      <c r="J11" s="86">
        <f>ABS(IF(Table224567911[[#This Row],[CFO/PAT]]&lt;0,100,1-Table224567911[[#This Row],[CFO/PAT]]))</f>
        <v>1.42</v>
      </c>
      <c r="K11" s="49">
        <v>0.23</v>
      </c>
      <c r="L11" s="86">
        <f>ABS(IF(Table224567911[[#This Row],[Debt Equity]]&lt;0,100,0-Table224567911[[#This Row],[Debt Equity]]))</f>
        <v>0.23</v>
      </c>
      <c r="M11" s="48">
        <v>14.87</v>
      </c>
      <c r="N11" s="48">
        <v>78.55</v>
      </c>
      <c r="O11" s="48">
        <v>7.17</v>
      </c>
      <c r="P11" s="47">
        <f>(N11-M11)/M11</f>
        <v>4.2824478816408877</v>
      </c>
      <c r="Q11" s="49">
        <f>IF(LEFT(B11,1)="0",4,IF(LEFT(B11,1)="1",3,IF(LEFT(B11,1)="2",2,IF(LEFT(B11,1)="3",1,0))))</f>
        <v>4</v>
      </c>
      <c r="R11" s="87">
        <f>IF(C11&gt;0.7,4,IF(AND(C11&lt;0.7,C11&gt;0.65),3,IF(AND(C11&lt;0.65,C11&gt;0.6),2,IF(AND(C11&lt;0.6,C11&gt;0.55),1,0))))</f>
        <v>2</v>
      </c>
      <c r="S11" s="49">
        <f>IF(F11&lt;10,4,IF(AND(F11&lt;15,F11&gt;10),3,IF(AND(F11&lt;20,F11&gt;15),2,IF(AND(F11&lt;30,F11&gt;20),1,0))))</f>
        <v>4</v>
      </c>
      <c r="T11" s="86">
        <f>IF(G11&gt;0.25,4,IF(AND(G11&lt;0.25,G11&gt;0.2),3,IF(AND(G11&lt;0.2,G11&gt;0.15),2,IF(AND(G11&lt;0.15,G11&gt;0.1),1,0))))</f>
        <v>1</v>
      </c>
      <c r="U11" s="49">
        <f>IF(H11&gt;0.25,4,IF(AND(H11&lt;0.25,H11&gt;0.2),3,IF(AND(H11&lt;0.2,H11&gt;0.15),2,IF(AND(H11&lt;0.15,H11&gt;0.1),1,0))))</f>
        <v>1</v>
      </c>
      <c r="V11" s="49">
        <f>IF(J11&lt;0.15,4,IF(AND(J11&lt;0.3,J11&gt;0.15),3,IF(AND(J11&lt;0.45,J11&gt;0.3),2,IF(AND(J11&lt;0.6,J11&gt;0.45),1,0))))</f>
        <v>0</v>
      </c>
      <c r="W11" s="86">
        <f>IF(L11=0,4,IF(AND(L11&lt;0.1,L11&gt;0),3,IF(AND(L11&lt;0.2,L11&gt;0.1),2,IF(AND(L11&lt;0.3,L11&gt;0.2),1,0))))</f>
        <v>1</v>
      </c>
      <c r="X11" s="50">
        <f>SUM(Q11:W11)/28</f>
        <v>0.4642857142857143</v>
      </c>
      <c r="Y11" s="32"/>
      <c r="Z11" s="33"/>
      <c r="AA11" s="34">
        <f>Z11/M11</f>
        <v>0</v>
      </c>
      <c r="AB11" s="35">
        <f>AA11*(N11*(IF(Y11="Low",0.9,IF(Y11="Medium",0.75,0.5)))-M11)</f>
        <v>0</v>
      </c>
      <c r="AC11" s="88">
        <f>IFERROR(AB11/Z11,0)</f>
        <v>0</v>
      </c>
    </row>
    <row r="12" spans="1:29" x14ac:dyDescent="0.35">
      <c r="A12" s="46" t="s">
        <v>336</v>
      </c>
      <c r="B12" s="46">
        <v>1.62</v>
      </c>
      <c r="C12" s="47">
        <v>0.74819999999999998</v>
      </c>
      <c r="D12" s="49">
        <v>10.96</v>
      </c>
      <c r="E12" s="49">
        <v>5.18</v>
      </c>
      <c r="F12" s="86">
        <f>IF(OR(Table224567911[[#This Row],[P/C]]&lt;=0,Table224567911[[#This Row],[P/E]]&lt;=0),100,Table224567911[[#This Row],[P/E]]-Table224567911[[#This Row],[P/C]])</f>
        <v>5.7800000000000011</v>
      </c>
      <c r="G12" s="47">
        <v>4.0599999999999997E-2</v>
      </c>
      <c r="H12" s="47">
        <v>0.1027</v>
      </c>
      <c r="I12" s="49">
        <v>11.45</v>
      </c>
      <c r="J12" s="86">
        <f>ABS(IF(Table224567911[[#This Row],[CFO/PAT]]&lt;0,100,1-Table224567911[[#This Row],[CFO/PAT]]))</f>
        <v>10.45</v>
      </c>
      <c r="K12" s="49">
        <v>0.12</v>
      </c>
      <c r="L12" s="86">
        <f>ABS(IF(Table224567911[[#This Row],[Debt Equity]]&lt;0,100,0-Table224567911[[#This Row],[Debt Equity]]))</f>
        <v>0.12</v>
      </c>
      <c r="M12" s="48">
        <v>90.4</v>
      </c>
      <c r="N12" s="48">
        <v>131.69999999999999</v>
      </c>
      <c r="O12" s="48">
        <v>52.05</v>
      </c>
      <c r="P12" s="47">
        <f>(N12-M12)/M12</f>
        <v>0.45685840707964581</v>
      </c>
      <c r="Q12" s="49">
        <f>IF(LEFT(B12,1)="0",4,IF(LEFT(B12,1)="1",3,IF(LEFT(B12,1)="2",2,IF(LEFT(B12,1)="3",1,0))))</f>
        <v>3</v>
      </c>
      <c r="R12" s="87">
        <f>IF(C12&gt;0.7,4,IF(AND(C12&lt;0.7,C12&gt;0.65),3,IF(AND(C12&lt;0.65,C12&gt;0.6),2,IF(AND(C12&lt;0.6,C12&gt;0.55),1,0))))</f>
        <v>4</v>
      </c>
      <c r="S12" s="49">
        <f>IF(F12&lt;10,4,IF(AND(F12&lt;15,F12&gt;10),3,IF(AND(F12&lt;20,F12&gt;15),2,IF(AND(F12&lt;30,F12&gt;20),1,0))))</f>
        <v>4</v>
      </c>
      <c r="T12" s="86">
        <f>IF(G12&gt;0.25,4,IF(AND(G12&lt;0.25,G12&gt;0.2),3,IF(AND(G12&lt;0.2,G12&gt;0.15),2,IF(AND(G12&lt;0.15,G12&gt;0.1),1,0))))</f>
        <v>0</v>
      </c>
      <c r="U12" s="49">
        <f>IF(H12&gt;0.25,4,IF(AND(H12&lt;0.25,H12&gt;0.2),3,IF(AND(H12&lt;0.2,H12&gt;0.15),2,IF(AND(H12&lt;0.15,H12&gt;0.1),1,0))))</f>
        <v>1</v>
      </c>
      <c r="V12" s="49">
        <f>IF(J12&lt;0.15,4,IF(AND(J12&lt;0.3,J12&gt;0.15),3,IF(AND(J12&lt;0.45,J12&gt;0.3),2,IF(AND(J12&lt;0.6,J12&gt;0.45),1,0))))</f>
        <v>0</v>
      </c>
      <c r="W12" s="86">
        <f>IF(L12=0,4,IF(AND(L12&lt;0.1,L12&gt;0),3,IF(AND(L12&lt;0.2,L12&gt;0.1),2,IF(AND(L12&lt;0.3,L12&gt;0.2),1,0))))</f>
        <v>2</v>
      </c>
      <c r="X12" s="50">
        <f>SUM(Q12:W12)/28</f>
        <v>0.5</v>
      </c>
      <c r="Y12" s="32"/>
      <c r="Z12" s="33"/>
      <c r="AA12" s="34">
        <f>Z12/M12</f>
        <v>0</v>
      </c>
      <c r="AB12" s="35">
        <f>AA12*(N12*(IF(Y12="Low",0.9,IF(Y12="Medium",0.75,0.5)))-M12)</f>
        <v>0</v>
      </c>
      <c r="AC12" s="88">
        <f>IFERROR(AB12/Z12,0)</f>
        <v>0</v>
      </c>
    </row>
  </sheetData>
  <conditionalFormatting sqref="E1:E1048576">
    <cfRule type="colorScale" priority="15">
      <colorScale>
        <cfvo type="min"/>
        <cfvo type="percentile" val="50"/>
        <cfvo type="max"/>
        <color rgb="FF63BE7B"/>
        <color rgb="FFFFEB84"/>
        <color rgb="FFF8696B"/>
      </colorScale>
    </cfRule>
  </conditionalFormatting>
  <conditionalFormatting sqref="H1:H1048576">
    <cfRule type="colorScale" priority="14">
      <colorScale>
        <cfvo type="min"/>
        <cfvo type="percentile" val="50"/>
        <cfvo type="max"/>
        <color rgb="FFF8696B"/>
        <color rgb="FFFFEB84"/>
        <color rgb="FF63BE7B"/>
      </colorScale>
    </cfRule>
  </conditionalFormatting>
  <conditionalFormatting sqref="J1:J1048576">
    <cfRule type="colorScale" priority="13">
      <colorScale>
        <cfvo type="min"/>
        <cfvo type="percentile" val="50"/>
        <cfvo type="max"/>
        <color rgb="FF63BE7B"/>
        <color rgb="FFFFEB84"/>
        <color rgb="FFF8696B"/>
      </colorScale>
    </cfRule>
  </conditionalFormatting>
  <conditionalFormatting sqref="K1:L1048576">
    <cfRule type="colorScale" priority="12">
      <colorScale>
        <cfvo type="min"/>
        <cfvo type="percentile" val="50"/>
        <cfvo type="max"/>
        <color rgb="FF63BE7B"/>
        <color rgb="FFFFEB84"/>
        <color rgb="FFF8696B"/>
      </colorScale>
    </cfRule>
  </conditionalFormatting>
  <conditionalFormatting sqref="L1:L1048576">
    <cfRule type="colorScale" priority="11">
      <colorScale>
        <cfvo type="min"/>
        <cfvo type="percentile" val="50"/>
        <cfvo type="max"/>
        <color rgb="FF63BE7B"/>
        <color rgb="FFFFEB84"/>
        <color rgb="FFF8696B"/>
      </colorScale>
    </cfRule>
  </conditionalFormatting>
  <conditionalFormatting sqref="Q2">
    <cfRule type="colorScale" priority="10">
      <colorScale>
        <cfvo type="min"/>
        <cfvo type="percentile" val="50"/>
        <cfvo type="max"/>
        <color rgb="FF63BE7B"/>
        <color rgb="FFFFEB84"/>
        <color rgb="FFF8696B"/>
      </colorScale>
    </cfRule>
  </conditionalFormatting>
  <conditionalFormatting sqref="Q2">
    <cfRule type="colorScale" priority="9">
      <colorScale>
        <cfvo type="min"/>
        <cfvo type="percentile" val="50"/>
        <cfvo type="max"/>
        <color rgb="FF63BE7B"/>
        <color rgb="FFFFEB84"/>
        <color rgb="FFF8696B"/>
      </colorScale>
    </cfRule>
  </conditionalFormatting>
  <conditionalFormatting sqref="R2">
    <cfRule type="colorScale" priority="8">
      <colorScale>
        <cfvo type="min"/>
        <cfvo type="percentile" val="50"/>
        <cfvo type="max"/>
        <color rgb="FFF8696B"/>
        <color rgb="FFFFEB84"/>
        <color rgb="FF63BE7B"/>
      </colorScale>
    </cfRule>
  </conditionalFormatting>
  <conditionalFormatting sqref="S2">
    <cfRule type="colorScale" priority="7">
      <colorScale>
        <cfvo type="min"/>
        <cfvo type="percentile" val="50"/>
        <cfvo type="max"/>
        <color rgb="FF63BE7B"/>
        <color rgb="FFFFEB84"/>
        <color rgb="FFF8696B"/>
      </colorScale>
    </cfRule>
  </conditionalFormatting>
  <conditionalFormatting sqref="U2">
    <cfRule type="colorScale" priority="5">
      <colorScale>
        <cfvo type="min"/>
        <cfvo type="percentile" val="50"/>
        <cfvo type="max"/>
        <color rgb="FFF8696B"/>
        <color rgb="FFFFEB84"/>
        <color rgb="FF63BE7B"/>
      </colorScale>
    </cfRule>
  </conditionalFormatting>
  <conditionalFormatting sqref="T2">
    <cfRule type="colorScale" priority="6">
      <colorScale>
        <cfvo type="min"/>
        <cfvo type="percentile" val="50"/>
        <cfvo type="max"/>
        <color rgb="FFF8696B"/>
        <color rgb="FFFFEB84"/>
        <color rgb="FF63BE7B"/>
      </colorScale>
    </cfRule>
  </conditionalFormatting>
  <conditionalFormatting sqref="W2">
    <cfRule type="colorScale" priority="4">
      <colorScale>
        <cfvo type="min"/>
        <cfvo type="percentile" val="50"/>
        <cfvo type="max"/>
        <color rgb="FF63BE7B"/>
        <color rgb="FFFFEB84"/>
        <color rgb="FFF8696B"/>
      </colorScale>
    </cfRule>
  </conditionalFormatting>
  <conditionalFormatting sqref="W2">
    <cfRule type="colorScale" priority="3">
      <colorScale>
        <cfvo type="min"/>
        <cfvo type="percentile" val="50"/>
        <cfvo type="max"/>
        <color rgb="FF63BE7B"/>
        <color rgb="FFFFEB84"/>
        <color rgb="FFF8696B"/>
      </colorScale>
    </cfRule>
  </conditionalFormatting>
  <conditionalFormatting sqref="V2">
    <cfRule type="colorScale" priority="16">
      <colorScale>
        <cfvo type="min"/>
        <cfvo type="percentile" val="50"/>
        <cfvo type="max"/>
        <color rgb="FF63BE7B"/>
        <color rgb="FFFFEB84"/>
        <color rgb="FFF8696B"/>
      </colorScale>
    </cfRule>
  </conditionalFormatting>
  <conditionalFormatting sqref="B1:B1048576">
    <cfRule type="colorScale" priority="17">
      <colorScale>
        <cfvo type="min"/>
        <cfvo type="percentile" val="50"/>
        <cfvo type="max"/>
        <color rgb="FF63BE7B"/>
        <color rgb="FFFFEB84"/>
        <color rgb="FFF8696B"/>
      </colorScale>
    </cfRule>
  </conditionalFormatting>
  <conditionalFormatting sqref="C1:C1048576">
    <cfRule type="colorScale" priority="18">
      <colorScale>
        <cfvo type="min"/>
        <cfvo type="percentile" val="50"/>
        <cfvo type="max"/>
        <color rgb="FFF8696B"/>
        <color rgb="FFFFEB84"/>
        <color rgb="FF63BE7B"/>
      </colorScale>
    </cfRule>
  </conditionalFormatting>
  <conditionalFormatting sqref="D1:D1048576">
    <cfRule type="colorScale" priority="19">
      <colorScale>
        <cfvo type="min"/>
        <cfvo type="percentile" val="50"/>
        <cfvo type="max"/>
        <color rgb="FF63BE7B"/>
        <color rgb="FFFFEB84"/>
        <color rgb="FFF8696B"/>
      </colorScale>
    </cfRule>
  </conditionalFormatting>
  <conditionalFormatting sqref="G1:G1048576">
    <cfRule type="colorScale" priority="2">
      <colorScale>
        <cfvo type="min"/>
        <cfvo type="percentile" val="50"/>
        <cfvo type="max"/>
        <color rgb="FFF8696B"/>
        <color rgb="FFFFEB84"/>
        <color rgb="FF63BE7B"/>
      </colorScale>
    </cfRule>
  </conditionalFormatting>
  <conditionalFormatting sqref="F1:F1048576">
    <cfRule type="colorScale" priority="20">
      <colorScale>
        <cfvo type="min"/>
        <cfvo type="percentile" val="50"/>
        <cfvo type="max"/>
        <color rgb="FF63BE7B"/>
        <color rgb="FFFFEB84"/>
        <color rgb="FFF8696B"/>
      </colorScale>
    </cfRule>
  </conditionalFormatting>
  <conditionalFormatting sqref="I1:I1048576">
    <cfRule type="colorScale" priority="1">
      <colorScale>
        <cfvo type="min"/>
        <cfvo type="percentile" val="50"/>
        <cfvo type="max"/>
        <color rgb="FF63BE7B"/>
        <color rgb="FFFFEB84"/>
        <color rgb="FFF8696B"/>
      </colorScale>
    </cfRule>
  </conditionalFormatting>
  <conditionalFormatting sqref="B2:B12">
    <cfRule type="colorScale" priority="21">
      <colorScale>
        <cfvo type="min"/>
        <cfvo type="percentile" val="50"/>
        <cfvo type="max"/>
        <color rgb="FF63BE7B"/>
        <color rgb="FFFFEB84"/>
        <color rgb="FFF8696B"/>
      </colorScale>
    </cfRule>
  </conditionalFormatting>
  <conditionalFormatting sqref="D3:D12">
    <cfRule type="colorScale" priority="22">
      <colorScale>
        <cfvo type="min"/>
        <cfvo type="percentile" val="50"/>
        <cfvo type="max"/>
        <color rgb="FF63BE7B"/>
        <color rgb="FFFFEB84"/>
        <color rgb="FFF8696B"/>
      </colorScale>
    </cfRule>
  </conditionalFormatting>
  <conditionalFormatting sqref="E3:F12">
    <cfRule type="colorScale" priority="23">
      <colorScale>
        <cfvo type="min"/>
        <cfvo type="percentile" val="50"/>
        <cfvo type="max"/>
        <color rgb="FFF8696B"/>
        <color rgb="FFFFEB84"/>
        <color rgb="FF63BE7B"/>
      </colorScale>
    </cfRule>
  </conditionalFormatting>
  <conditionalFormatting sqref="X3:X12">
    <cfRule type="colorScale" priority="24">
      <colorScale>
        <cfvo type="min"/>
        <cfvo type="percentile" val="50"/>
        <cfvo type="max"/>
        <color rgb="FFF8696B"/>
        <color rgb="FFFFEB84"/>
        <color rgb="FF63BE7B"/>
      </colorScale>
    </cfRule>
  </conditionalFormatting>
  <conditionalFormatting sqref="C3:C12">
    <cfRule type="colorScale" priority="25">
      <colorScale>
        <cfvo type="min"/>
        <cfvo type="percentile" val="50"/>
        <cfvo type="max"/>
        <color rgb="FFF8696B"/>
        <color rgb="FFFFEB84"/>
        <color rgb="FF63BE7B"/>
      </colorScale>
    </cfRule>
  </conditionalFormatting>
  <conditionalFormatting sqref="G3:L12">
    <cfRule type="colorScale" priority="26">
      <colorScale>
        <cfvo type="min"/>
        <cfvo type="percentile" val="50"/>
        <cfvo type="max"/>
        <color rgb="FFF8696B"/>
        <color rgb="FFFFEB84"/>
        <color rgb="FF63BE7B"/>
      </colorScale>
    </cfRule>
  </conditionalFormatting>
  <pageMargins left="0.7" right="0.7" top="0.75" bottom="0.75" header="0.3" footer="0.3"/>
  <pageSetup paperSize="9" orientation="portrait" horizontalDpi="90" verticalDpi="90" r:id="rId1"/>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0700B0-EC30-4E66-A3DE-ACA0A47BFF7F}">
  <sheetPr codeName="Sheet16"/>
  <dimension ref="A2:AC9"/>
  <sheetViews>
    <sheetView showGridLines="0" zoomScaleNormal="100" workbookViewId="0">
      <pane xSplit="1" topLeftCell="B1" activePane="topRight" state="frozen"/>
      <selection activeCell="B1" sqref="B1"/>
      <selection pane="topRight" activeCell="A3" sqref="A3:A9"/>
    </sheetView>
  </sheetViews>
  <sheetFormatPr defaultRowHeight="14.5" x14ac:dyDescent="0.35"/>
  <cols>
    <col min="1" max="1" width="45.7265625" bestFit="1" customWidth="1"/>
    <col min="2" max="2" width="6.08984375" bestFit="1" customWidth="1"/>
    <col min="3" max="3" width="18.08984375" style="5" bestFit="1" customWidth="1"/>
    <col min="4" max="4" width="7.26953125" style="13" bestFit="1" customWidth="1"/>
    <col min="5" max="5" width="8.26953125" style="13" bestFit="1" customWidth="1"/>
    <col min="6" max="6" width="11.81640625" style="13" bestFit="1" customWidth="1"/>
    <col min="7" max="8" width="7.81640625" style="5" bestFit="1" customWidth="1"/>
    <col min="9" max="9" width="11.81640625" style="13" bestFit="1" customWidth="1"/>
    <col min="10" max="10" width="13.453125" style="13" bestFit="1" customWidth="1"/>
    <col min="11" max="11" width="14.1796875" style="13" bestFit="1" customWidth="1"/>
    <col min="12" max="12" width="15.90625" style="13" bestFit="1" customWidth="1"/>
    <col min="13" max="13" width="15.453125" style="6" bestFit="1" customWidth="1"/>
    <col min="14" max="14" width="15.90625" style="6" bestFit="1" customWidth="1"/>
    <col min="15" max="15" width="15.54296875" style="6" bestFit="1" customWidth="1"/>
    <col min="16" max="16" width="8.54296875" style="3" bestFit="1" customWidth="1"/>
    <col min="17" max="17" width="11.08984375" style="13" bestFit="1" customWidth="1"/>
    <col min="18" max="18" width="23.1796875" style="13" bestFit="1" customWidth="1"/>
    <col min="19" max="19" width="16" bestFit="1" customWidth="1"/>
    <col min="20" max="20" width="11.54296875" bestFit="1" customWidth="1"/>
    <col min="21" max="21" width="12.6328125" bestFit="1" customWidth="1"/>
    <col min="22" max="22" width="18.54296875" bestFit="1" customWidth="1"/>
    <col min="23" max="23" width="21" bestFit="1" customWidth="1"/>
    <col min="24" max="24" width="7.36328125" bestFit="1" customWidth="1"/>
    <col min="25" max="25" width="10" bestFit="1" customWidth="1"/>
    <col min="26" max="26" width="19.08984375" style="23" bestFit="1" customWidth="1"/>
    <col min="27" max="28" width="10.08984375" bestFit="1" customWidth="1"/>
    <col min="29" max="29" width="12" bestFit="1" customWidth="1"/>
  </cols>
  <sheetData>
    <row r="2" spans="1:29" x14ac:dyDescent="0.35">
      <c r="A2" s="8" t="s">
        <v>319</v>
      </c>
      <c r="B2" s="16" t="s">
        <v>62</v>
      </c>
      <c r="C2" s="17" t="s">
        <v>47</v>
      </c>
      <c r="D2" s="19" t="s">
        <v>57</v>
      </c>
      <c r="E2" s="19" t="s">
        <v>216</v>
      </c>
      <c r="F2" s="19" t="s">
        <v>217</v>
      </c>
      <c r="G2" s="58" t="s">
        <v>73</v>
      </c>
      <c r="H2" s="58" t="s">
        <v>182</v>
      </c>
      <c r="I2" s="59" t="s">
        <v>97</v>
      </c>
      <c r="J2" s="59" t="s">
        <v>236</v>
      </c>
      <c r="K2" s="59" t="s">
        <v>214</v>
      </c>
      <c r="L2" s="59" t="s">
        <v>237</v>
      </c>
      <c r="M2" s="18" t="s">
        <v>155</v>
      </c>
      <c r="N2" s="18" t="s">
        <v>156</v>
      </c>
      <c r="O2" s="18" t="s">
        <v>157</v>
      </c>
      <c r="P2" s="60" t="s">
        <v>161</v>
      </c>
      <c r="Q2" s="16" t="s">
        <v>162</v>
      </c>
      <c r="R2" s="17" t="s">
        <v>238</v>
      </c>
      <c r="S2" s="19" t="s">
        <v>239</v>
      </c>
      <c r="T2" s="58" t="s">
        <v>164</v>
      </c>
      <c r="U2" s="58" t="s">
        <v>240</v>
      </c>
      <c r="V2" s="59" t="s">
        <v>241</v>
      </c>
      <c r="W2" s="59" t="s">
        <v>242</v>
      </c>
      <c r="X2" s="60" t="s">
        <v>168</v>
      </c>
      <c r="Y2" s="61" t="s">
        <v>171</v>
      </c>
      <c r="Z2" s="62" t="s">
        <v>175</v>
      </c>
      <c r="AA2" s="4" t="s">
        <v>176</v>
      </c>
      <c r="AB2" s="10" t="s">
        <v>177</v>
      </c>
      <c r="AC2" s="10" t="s">
        <v>178</v>
      </c>
    </row>
    <row r="3" spans="1:29" x14ac:dyDescent="0.35">
      <c r="A3" s="4" t="s">
        <v>337</v>
      </c>
      <c r="B3" s="16">
        <v>57.86</v>
      </c>
      <c r="C3" s="17">
        <v>0.67179999999999995</v>
      </c>
      <c r="D3" s="19">
        <v>82.34</v>
      </c>
      <c r="E3" s="19">
        <v>96.59</v>
      </c>
      <c r="F3" s="19">
        <f>IF(OR(Table22456791112[[#This Row],[P/C]]&lt;=0,Table22456791112[[#This Row],[P/E]]&lt;=0),100,Table22456791112[[#This Row],[P/E]]-Table22456791112[[#This Row],[P/C]])</f>
        <v>-14.25</v>
      </c>
      <c r="G3" s="17">
        <v>0.80289999999999995</v>
      </c>
      <c r="H3" s="17">
        <v>1.1329</v>
      </c>
      <c r="I3" s="19">
        <v>1.01</v>
      </c>
      <c r="J3" s="19">
        <f>ABS(IF(Table22456791112[[#This Row],[CFO/PAT]]&lt;0,100,1-Table22456791112[[#This Row],[CFO/PAT]]))</f>
        <v>1.0000000000000009E-2</v>
      </c>
      <c r="K3" s="19">
        <v>0.01</v>
      </c>
      <c r="L3" s="19">
        <f>ABS(IF(Table22456791112[[#This Row],[Debt Equity]]&lt;0,100,0-Table22456791112[[#This Row],[Debt Equity]]))</f>
        <v>0.01</v>
      </c>
      <c r="M3" s="20">
        <v>2384.64</v>
      </c>
      <c r="N3" s="20">
        <v>2614</v>
      </c>
      <c r="O3" s="20">
        <v>1657</v>
      </c>
      <c r="P3" s="17">
        <f>(N3-M3)/M3</f>
        <v>9.6182232957595329E-2</v>
      </c>
      <c r="Q3" s="19">
        <f>IF(LEFT(B3,1)="0",4,IF(LEFT(B3,1)="1",3,IF(LEFT(B3,1)="2",2,IF(LEFT(B3,1)="3",1,0))))</f>
        <v>0</v>
      </c>
      <c r="R3" s="19">
        <f>IF(C3&gt;0.7,4,IF(AND(C3&lt;0.7,C3&gt;0.65),3,IF(AND(C3&lt;0.65,C3&gt;0.6),2,IF(AND(C3&lt;0.6,C3&gt;0.55),1,0))))</f>
        <v>3</v>
      </c>
      <c r="S3" s="19">
        <f>IF(F3&lt;10,4,IF(AND(F3&lt;15,F3&gt;10),3,IF(AND(F3&lt;20,F3&gt;15),2,IF(AND(F3&lt;30,F3&gt;20),1,0))))</f>
        <v>4</v>
      </c>
      <c r="T3" s="14">
        <f t="shared" ref="T3:U7" si="0">IF(G3&gt;0.25,4,IF(AND(G3&lt;0.25,G3&gt;0.2),3,IF(AND(G3&lt;0.2,G3&gt;0.15),2,IF(AND(G3&lt;0.15,G3&gt;0.1),1,0))))</f>
        <v>4</v>
      </c>
      <c r="U3" s="14">
        <f t="shared" si="0"/>
        <v>4</v>
      </c>
      <c r="V3" s="14">
        <f>IF(J3&lt;0.15,4,IF(AND(J3&lt;0.3,J3&gt;0.15),3,IF(AND(J3&lt;0.45,J3&gt;0.3),2,IF(AND(J3&lt;0.6,J3&gt;0.45),1,0))))</f>
        <v>4</v>
      </c>
      <c r="W3" s="19">
        <f t="shared" ref="W3:W7" si="1">IF(L3=0,4,IF(AND(L3&lt;0.1,L3&gt;0),3,IF(AND(L3&lt;0.2,L3&gt;0.1),2,IF(AND(L3&lt;0.3,L3&gt;0.2),1,0))))</f>
        <v>3</v>
      </c>
      <c r="X3" s="22">
        <f t="shared" ref="X3:X7" si="2">SUM(Q3:W3)/28</f>
        <v>0.7857142857142857</v>
      </c>
      <c r="Y3" s="10" t="s">
        <v>174</v>
      </c>
      <c r="Z3" s="24">
        <v>1000</v>
      </c>
      <c r="AA3" s="14">
        <f>Z3/M3</f>
        <v>0.41935050993022011</v>
      </c>
      <c r="AB3" s="25">
        <f>AA3*(N3*(IF(Y3="Low",0.9,IF(Y3="Medium",0.75,0.5)))-M3)</f>
        <v>-451.90888352120237</v>
      </c>
      <c r="AC3" s="63">
        <f>IFERROR(AB3/Z3,0)</f>
        <v>-0.45190888352120234</v>
      </c>
    </row>
    <row r="4" spans="1:29" x14ac:dyDescent="0.35">
      <c r="A4" s="4" t="s">
        <v>338</v>
      </c>
      <c r="B4" s="16">
        <v>56.34</v>
      </c>
      <c r="C4" s="17">
        <v>0.67879999999999996</v>
      </c>
      <c r="D4" s="19">
        <v>56.34</v>
      </c>
      <c r="E4" s="19">
        <v>57.66</v>
      </c>
      <c r="F4" s="19">
        <f>IF(OR(Table22456791112[[#This Row],[P/C]]&lt;=0,Table22456791112[[#This Row],[P/E]]&lt;=0),100,Table22456791112[[#This Row],[P/E]]-Table22456791112[[#This Row],[P/C]])</f>
        <v>-1.3199999999999932</v>
      </c>
      <c r="G4" s="17">
        <v>0.25879999999999997</v>
      </c>
      <c r="H4" s="17">
        <v>0.27489999999999998</v>
      </c>
      <c r="I4" s="19">
        <v>0.95</v>
      </c>
      <c r="J4" s="19">
        <f>ABS(IF(Table22456791112[[#This Row],[CFO/PAT]]&lt;0,100,1-Table22456791112[[#This Row],[CFO/PAT]]))</f>
        <v>5.0000000000000044E-2</v>
      </c>
      <c r="K4" s="19">
        <v>0.13</v>
      </c>
      <c r="L4" s="19">
        <f>ABS(IF(Table22456791112[[#This Row],[Debt Equity]]&lt;0,100,0-Table22456791112[[#This Row],[Debt Equity]]))</f>
        <v>0.13</v>
      </c>
      <c r="M4" s="20">
        <v>234.6</v>
      </c>
      <c r="N4" s="20">
        <v>510.8</v>
      </c>
      <c r="O4" s="20">
        <v>214</v>
      </c>
      <c r="P4" s="17">
        <f>(N4-M4)/M4</f>
        <v>1.1773231031543054</v>
      </c>
      <c r="Q4" s="19">
        <f>IF(LEFT(B4,1)="0",4,IF(LEFT(B4,1)="1",3,IF(LEFT(B4,1)="2",2,IF(LEFT(B4,1)="3",1,0))))</f>
        <v>0</v>
      </c>
      <c r="R4" s="19">
        <f>IF(C4&gt;0.7,4,IF(AND(C4&lt;0.7,C4&gt;0.65),3,IF(AND(C4&lt;0.65,C4&gt;0.6),2,IF(AND(C4&lt;0.6,C4&gt;0.55),1,0))))</f>
        <v>3</v>
      </c>
      <c r="S4" s="19">
        <f>IF(F4&lt;10,4,IF(AND(F4&lt;15,F4&gt;10),3,IF(AND(F4&lt;20,F4&gt;15),2,IF(AND(F4&lt;30,F4&gt;20),1,0))))</f>
        <v>4</v>
      </c>
      <c r="T4" s="14">
        <f>IF(G4&gt;0.25,4,IF(AND(G4&lt;0.25,G4&gt;0.2),3,IF(AND(G4&lt;0.2,G4&gt;0.15),2,IF(AND(G4&lt;0.15,G4&gt;0.1),1,0))))</f>
        <v>4</v>
      </c>
      <c r="U4" s="14">
        <f>IF(H4&gt;0.25,4,IF(AND(H4&lt;0.25,H4&gt;0.2),3,IF(AND(H4&lt;0.2,H4&gt;0.15),2,IF(AND(H4&lt;0.15,H4&gt;0.1),1,0))))</f>
        <v>4</v>
      </c>
      <c r="V4" s="14">
        <f>IF(J4&lt;0.15,4,IF(AND(J4&lt;0.3,J4&gt;0.15),3,IF(AND(J4&lt;0.45,J4&gt;0.3),2,IF(AND(J4&lt;0.6,J4&gt;0.45),1,0))))</f>
        <v>4</v>
      </c>
      <c r="W4" s="19">
        <f>IF(L4=0,4,IF(AND(L4&lt;0.1,L4&gt;0),3,IF(AND(L4&lt;0.2,L4&gt;0.1),2,IF(AND(L4&lt;0.3,L4&gt;0.2),1,0))))</f>
        <v>2</v>
      </c>
      <c r="X4" s="22">
        <f>SUM(Q4:W4)/28</f>
        <v>0.75</v>
      </c>
      <c r="Y4" s="10"/>
      <c r="Z4" s="24"/>
      <c r="AA4" s="14">
        <f>Z4/M4</f>
        <v>0</v>
      </c>
      <c r="AB4" s="25">
        <f>AA4*(N4*(IF(Y4="Low",0.9,IF(Y4="Medium",0.75,0.5)))-M4)</f>
        <v>0</v>
      </c>
      <c r="AC4" s="63">
        <f>IFERROR(AB4/Z4,0)</f>
        <v>0</v>
      </c>
    </row>
    <row r="5" spans="1:29" x14ac:dyDescent="0.35">
      <c r="A5" s="4" t="s">
        <v>339</v>
      </c>
      <c r="B5" s="16">
        <v>7.03</v>
      </c>
      <c r="C5" s="17">
        <v>0.63239999999999996</v>
      </c>
      <c r="D5" s="19">
        <v>25.64</v>
      </c>
      <c r="E5" s="19">
        <v>32.659999999999997</v>
      </c>
      <c r="F5" s="19">
        <f>IF(OR(Table22456791112[[#This Row],[P/C]]&lt;=0,Table22456791112[[#This Row],[P/E]]&lt;=0),100,Table22456791112[[#This Row],[P/E]]-Table22456791112[[#This Row],[P/C]])</f>
        <v>-7.019999999999996</v>
      </c>
      <c r="G5" s="17">
        <v>0.34620000000000001</v>
      </c>
      <c r="H5" s="17">
        <v>0.2276</v>
      </c>
      <c r="I5" s="19">
        <v>1.07</v>
      </c>
      <c r="J5" s="19">
        <f>ABS(IF(Table22456791112[[#This Row],[CFO/PAT]]&lt;0,100,1-Table22456791112[[#This Row],[CFO/PAT]]))</f>
        <v>7.0000000000000062E-2</v>
      </c>
      <c r="K5" s="19">
        <v>0.47</v>
      </c>
      <c r="L5" s="19">
        <f>ABS(IF(Table22456791112[[#This Row],[Debt Equity]]&lt;0,100,0-Table22456791112[[#This Row],[Debt Equity]]))</f>
        <v>0.47</v>
      </c>
      <c r="M5" s="20">
        <v>552.25</v>
      </c>
      <c r="N5" s="20">
        <v>771.75</v>
      </c>
      <c r="O5" s="20">
        <v>425.1</v>
      </c>
      <c r="P5" s="17">
        <f t="shared" ref="P5:P7" si="3">(N5-M5)/M5</f>
        <v>0.39746491625169761</v>
      </c>
      <c r="Q5" s="19">
        <f>IF(LEFT(B5,1)="0",4,IF(LEFT(B5,1)="1",3,IF(LEFT(B5,1)="2",2,IF(LEFT(B5,1)="3",1,0))))</f>
        <v>0</v>
      </c>
      <c r="R5" s="19">
        <f>IF(C5&gt;0.7,4,IF(AND(C5&lt;0.7,C5&gt;0.65),3,IF(AND(C5&lt;0.65,C5&gt;0.6),2,IF(AND(C5&lt;0.6,C5&gt;0.55),1,0))))</f>
        <v>2</v>
      </c>
      <c r="S5" s="19">
        <f>IF(F5&lt;10,4,IF(AND(F5&lt;15,F5&gt;10),3,IF(AND(F5&lt;20,F5&gt;15),2,IF(AND(F5&lt;30,F5&gt;20),1,0))))</f>
        <v>4</v>
      </c>
      <c r="T5" s="14">
        <f t="shared" si="0"/>
        <v>4</v>
      </c>
      <c r="U5" s="14">
        <f t="shared" si="0"/>
        <v>3</v>
      </c>
      <c r="V5" s="14">
        <f>IF(J5&lt;0.15,4,IF(AND(J5&lt;0.3,J5&gt;0.15),3,IF(AND(J5&lt;0.45,J5&gt;0.3),2,IF(AND(J5&lt;0.6,J5&gt;0.45),1,0))))</f>
        <v>4</v>
      </c>
      <c r="W5" s="19">
        <f t="shared" si="1"/>
        <v>0</v>
      </c>
      <c r="X5" s="22">
        <f t="shared" si="2"/>
        <v>0.6071428571428571</v>
      </c>
      <c r="Y5" s="10" t="s">
        <v>174</v>
      </c>
      <c r="Z5" s="24">
        <v>0</v>
      </c>
      <c r="AA5" s="14">
        <f>Z5/M5</f>
        <v>0</v>
      </c>
      <c r="AB5" s="25">
        <f>AA5*(N5*(IF(Y5="Low",0.9,IF(Y5="Medium",0.75,0.5)))-M5)</f>
        <v>0</v>
      </c>
      <c r="AC5" s="63">
        <f t="shared" ref="AC5:AC7" si="4">IFERROR(AB5/Z5,0)</f>
        <v>0</v>
      </c>
    </row>
    <row r="6" spans="1:29" x14ac:dyDescent="0.35">
      <c r="A6" s="4" t="s">
        <v>12</v>
      </c>
      <c r="B6" s="16">
        <v>20.86</v>
      </c>
      <c r="C6" s="17">
        <v>0.51</v>
      </c>
      <c r="D6" s="19">
        <v>46.31</v>
      </c>
      <c r="E6" s="19">
        <v>38.15</v>
      </c>
      <c r="F6" s="19">
        <f>IF(OR(Table22456791112[[#This Row],[P/C]]&lt;=0,Table22456791112[[#This Row],[P/E]]&lt;=0),100,Table22456791112[[#This Row],[P/E]]-Table22456791112[[#This Row],[P/C]])</f>
        <v>8.1600000000000037</v>
      </c>
      <c r="G6" s="17">
        <v>0.52370000000000005</v>
      </c>
      <c r="H6" s="17">
        <v>0.74970000000000003</v>
      </c>
      <c r="I6" s="19">
        <v>1.1599999999999999</v>
      </c>
      <c r="J6" s="19">
        <f>ABS(IF(Table22456791112[[#This Row],[CFO/PAT]]&lt;0,100,1-Table22456791112[[#This Row],[CFO/PAT]]))</f>
        <v>0.15999999999999992</v>
      </c>
      <c r="K6" s="19">
        <v>0.06</v>
      </c>
      <c r="L6" s="19">
        <f>ABS(IF(Table22456791112[[#This Row],[Debt Equity]]&lt;0,100,0-Table22456791112[[#This Row],[Debt Equity]]))</f>
        <v>0.06</v>
      </c>
      <c r="M6" s="20">
        <v>1378.95</v>
      </c>
      <c r="N6" s="20">
        <v>1641</v>
      </c>
      <c r="O6" s="20">
        <v>1065</v>
      </c>
      <c r="P6" s="17">
        <f t="shared" si="3"/>
        <v>0.19003589687805936</v>
      </c>
      <c r="Q6" s="19">
        <f>IF(LEFT(B6,1)="0",4,IF(LEFT(B6,1)="1",3,IF(LEFT(B6,1)="2",2,IF(LEFT(B6,1)="3",1,0))))</f>
        <v>2</v>
      </c>
      <c r="R6" s="19">
        <f>IF(C6&gt;0.7,4,IF(AND(C6&lt;0.7,C6&gt;0.65),3,IF(AND(C6&lt;0.65,C6&gt;0.6),2,IF(AND(C6&lt;0.6,C6&gt;0.55),1,0))))</f>
        <v>0</v>
      </c>
      <c r="S6" s="19">
        <f>IF(F6&lt;10,4,IF(AND(F6&lt;15,F6&gt;10),3,IF(AND(F6&lt;20,F6&gt;15),2,IF(AND(F6&lt;30,F6&gt;20),1,0))))</f>
        <v>4</v>
      </c>
      <c r="T6" s="14">
        <f t="shared" si="0"/>
        <v>4</v>
      </c>
      <c r="U6" s="14">
        <f t="shared" si="0"/>
        <v>4</v>
      </c>
      <c r="V6" s="14">
        <f>IF(J6&lt;0.15,4,IF(AND(J6&lt;0.3,J6&gt;0.15),3,IF(AND(J6&lt;0.45,J6&gt;0.3),2,IF(AND(J6&lt;0.6,J6&gt;0.45),1,0))))</f>
        <v>3</v>
      </c>
      <c r="W6" s="19">
        <f t="shared" si="1"/>
        <v>3</v>
      </c>
      <c r="X6" s="22">
        <f t="shared" si="2"/>
        <v>0.7142857142857143</v>
      </c>
      <c r="Y6" s="10" t="s">
        <v>174</v>
      </c>
      <c r="Z6" s="24">
        <v>500</v>
      </c>
      <c r="AA6" s="14">
        <f>Z6/M6</f>
        <v>0.36259472787265673</v>
      </c>
      <c r="AB6" s="25">
        <f>AA6*(N6*(IF(Y6="Low",0.9,IF(Y6="Medium",0.75,0.5)))-M6)</f>
        <v>-202.49102578048516</v>
      </c>
      <c r="AC6" s="63">
        <f t="shared" si="4"/>
        <v>-0.40498205156097034</v>
      </c>
    </row>
    <row r="7" spans="1:29" x14ac:dyDescent="0.35">
      <c r="A7" s="4" t="s">
        <v>324</v>
      </c>
      <c r="B7" s="16">
        <v>0.62</v>
      </c>
      <c r="C7" s="17">
        <v>0.3422</v>
      </c>
      <c r="D7" s="19">
        <v>0</v>
      </c>
      <c r="E7" s="19">
        <v>-2.4700000000000002</v>
      </c>
      <c r="F7" s="84">
        <f>IF(OR(Table22456791112[[#This Row],[P/C]]&lt;=0,Table22456791112[[#This Row],[P/E]]&lt;=0),100,Table22456791112[[#This Row],[P/E]]-Table22456791112[[#This Row],[P/C]])</f>
        <v>100</v>
      </c>
      <c r="G7" s="17">
        <v>-0.12180000000000001</v>
      </c>
      <c r="H7" s="17">
        <v>-0.11310000000000001</v>
      </c>
      <c r="I7" s="19">
        <v>6.8</v>
      </c>
      <c r="J7" s="84">
        <f>ABS(IF(Table22456791112[[#This Row],[CFO/PAT]]&lt;0,100,1-Table22456791112[[#This Row],[CFO/PAT]]))</f>
        <v>5.8</v>
      </c>
      <c r="K7" s="19">
        <v>0</v>
      </c>
      <c r="L7" s="84">
        <f>ABS(IF(Table22456791112[[#This Row],[Debt Equity]]&lt;0,100,0-Table22456791112[[#This Row],[Debt Equity]]))</f>
        <v>0</v>
      </c>
      <c r="M7" s="20">
        <v>76.849999999999994</v>
      </c>
      <c r="N7" s="20">
        <v>239.3</v>
      </c>
      <c r="O7" s="20">
        <v>63.6</v>
      </c>
      <c r="P7" s="17">
        <f t="shared" si="3"/>
        <v>2.1138581652569943</v>
      </c>
      <c r="Q7" s="19">
        <f t="shared" ref="Q7" si="5">IF(LEFT(B7,1)="0",4,IF(LEFT(B7,1)="1",3,IF(LEFT(B7,1)="2",2,IF(LEFT(B7,1)="3",1,0))))</f>
        <v>4</v>
      </c>
      <c r="R7" s="85">
        <f t="shared" ref="R7" si="6">IF(C7&gt;0.7,4,IF(AND(C7&lt;0.7,C7&gt;0.65),3,IF(AND(C7&lt;0.65,C7&gt;0.6),2,IF(AND(C7&lt;0.6,C7&gt;0.55),1,0))))</f>
        <v>0</v>
      </c>
      <c r="S7" s="19">
        <f t="shared" ref="S7" si="7">IF(F7&lt;10,4,IF(AND(F7&lt;15,F7&gt;10),3,IF(AND(F7&lt;20,F7&gt;15),2,IF(AND(F7&lt;30,F7&gt;20),1,0))))</f>
        <v>0</v>
      </c>
      <c r="T7" s="84">
        <f t="shared" si="0"/>
        <v>0</v>
      </c>
      <c r="U7" s="19">
        <f t="shared" si="0"/>
        <v>0</v>
      </c>
      <c r="V7" s="19">
        <f t="shared" ref="V7" si="8">IF(J7&lt;0.15,4,IF(AND(J7&lt;0.3,J7&gt;0.15),3,IF(AND(J7&lt;0.45,J7&gt;0.3),2,IF(AND(J7&lt;0.6,J7&gt;0.45),1,0))))</f>
        <v>0</v>
      </c>
      <c r="W7" s="84">
        <f t="shared" si="1"/>
        <v>4</v>
      </c>
      <c r="X7" s="22">
        <f t="shared" si="2"/>
        <v>0.2857142857142857</v>
      </c>
      <c r="Y7" s="10"/>
      <c r="Z7" s="24"/>
      <c r="AA7" s="14">
        <f t="shared" ref="AA7" si="9">Z7/M7</f>
        <v>0</v>
      </c>
      <c r="AB7" s="25">
        <f t="shared" ref="AB7" si="10">AA7*(N7*(IF(Y7="Low",0.9,IF(Y7="Medium",0.75,0.5)))-M7)</f>
        <v>0</v>
      </c>
      <c r="AC7" s="63">
        <f t="shared" si="4"/>
        <v>0</v>
      </c>
    </row>
    <row r="8" spans="1:29" x14ac:dyDescent="0.35">
      <c r="A8" s="4" t="s">
        <v>340</v>
      </c>
      <c r="B8" s="16">
        <v>36</v>
      </c>
      <c r="C8" s="17">
        <v>0.70640000000000003</v>
      </c>
      <c r="D8" s="19">
        <v>84.63</v>
      </c>
      <c r="E8" s="19">
        <v>87.06</v>
      </c>
      <c r="F8" s="84">
        <f>IF(OR(Table22456791112[[#This Row],[P/C]]&lt;=0,Table22456791112[[#This Row],[P/E]]&lt;=0),100,Table22456791112[[#This Row],[P/E]]-Table22456791112[[#This Row],[P/C]])</f>
        <v>-2.4300000000000068</v>
      </c>
      <c r="G8" s="17">
        <v>0.71479999999999999</v>
      </c>
      <c r="H8" s="17">
        <v>0.49790000000000001</v>
      </c>
      <c r="I8" s="19">
        <v>1.04</v>
      </c>
      <c r="J8" s="84">
        <f>ABS(IF(Table22456791112[[#This Row],[CFO/PAT]]&lt;0,100,1-Table22456791112[[#This Row],[CFO/PAT]]))</f>
        <v>4.0000000000000036E-2</v>
      </c>
      <c r="K8" s="19">
        <v>0</v>
      </c>
      <c r="L8" s="84">
        <f>ABS(IF(Table22456791112[[#This Row],[Debt Equity]]&lt;0,100,0-Table22456791112[[#This Row],[Debt Equity]]))</f>
        <v>0</v>
      </c>
      <c r="M8" s="20">
        <v>11045.95</v>
      </c>
      <c r="N8" s="20">
        <v>12699.9</v>
      </c>
      <c r="O8" s="20">
        <v>8500</v>
      </c>
      <c r="P8" s="17">
        <f>(N8-M8)/M8</f>
        <v>0.14973361277210187</v>
      </c>
      <c r="Q8" s="19">
        <f>IF(LEFT(B8,1)="0",4,IF(LEFT(B8,1)="1",3,IF(LEFT(B8,1)="2",2,IF(LEFT(B8,1)="3",1,0))))</f>
        <v>1</v>
      </c>
      <c r="R8" s="85">
        <f>IF(C8&gt;0.7,4,IF(AND(C8&lt;0.7,C8&gt;0.65),3,IF(AND(C8&lt;0.65,C8&gt;0.6),2,IF(AND(C8&lt;0.6,C8&gt;0.55),1,0))))</f>
        <v>4</v>
      </c>
      <c r="S8" s="19">
        <f>IF(F8&lt;10,4,IF(AND(F8&lt;15,F8&gt;10),3,IF(AND(F8&lt;20,F8&gt;15),2,IF(AND(F8&lt;30,F8&gt;20),1,0))))</f>
        <v>4</v>
      </c>
      <c r="T8" s="84">
        <f>IF(G8&gt;0.25,4,IF(AND(G8&lt;0.25,G8&gt;0.2),3,IF(AND(G8&lt;0.2,G8&gt;0.15),2,IF(AND(G8&lt;0.15,G8&gt;0.1),1,0))))</f>
        <v>4</v>
      </c>
      <c r="U8" s="19">
        <f>IF(H8&gt;0.25,4,IF(AND(H8&lt;0.25,H8&gt;0.2),3,IF(AND(H8&lt;0.2,H8&gt;0.15),2,IF(AND(H8&lt;0.15,H8&gt;0.1),1,0))))</f>
        <v>4</v>
      </c>
      <c r="V8" s="19">
        <f>IF(J8&lt;0.15,4,IF(AND(J8&lt;0.3,J8&gt;0.15),3,IF(AND(J8&lt;0.45,J8&gt;0.3),2,IF(AND(J8&lt;0.6,J8&gt;0.45),1,0))))</f>
        <v>4</v>
      </c>
      <c r="W8" s="84">
        <f>IF(L8=0,4,IF(AND(L8&lt;0.1,L8&gt;0),3,IF(AND(L8&lt;0.2,L8&gt;0.1),2,IF(AND(L8&lt;0.3,L8&gt;0.2),1,0))))</f>
        <v>4</v>
      </c>
      <c r="X8" s="22">
        <f>SUM(Q8:W8)/28</f>
        <v>0.8928571428571429</v>
      </c>
      <c r="Y8" s="10"/>
      <c r="Z8" s="24"/>
      <c r="AA8" s="14">
        <f>Z8/M8</f>
        <v>0</v>
      </c>
      <c r="AB8" s="25">
        <f>AA8*(N8*(IF(Y8="Low",0.9,IF(Y8="Medium",0.75,0.5)))-M8)</f>
        <v>0</v>
      </c>
      <c r="AC8" s="63">
        <f>IFERROR(AB8/Z8,0)</f>
        <v>0</v>
      </c>
    </row>
    <row r="9" spans="1:29" x14ac:dyDescent="0.35">
      <c r="A9" s="4" t="s">
        <v>341</v>
      </c>
      <c r="B9" s="16">
        <v>21.85</v>
      </c>
      <c r="C9" s="17">
        <v>0.75</v>
      </c>
      <c r="D9" s="19">
        <v>66.75</v>
      </c>
      <c r="E9" s="19">
        <v>130.86000000000001</v>
      </c>
      <c r="F9" s="84">
        <f>IF(OR(Table22456791112[[#This Row],[P/C]]&lt;=0,Table22456791112[[#This Row],[P/E]]&lt;=0),100,Table22456791112[[#This Row],[P/E]]-Table22456791112[[#This Row],[P/C]])</f>
        <v>-64.110000000000014</v>
      </c>
      <c r="G9" s="17">
        <v>0.34560000000000002</v>
      </c>
      <c r="H9" s="17">
        <v>0.47120000000000001</v>
      </c>
      <c r="I9" s="19">
        <v>0.99</v>
      </c>
      <c r="J9" s="84">
        <f>ABS(IF(Table22456791112[[#This Row],[CFO/PAT]]&lt;0,100,1-Table22456791112[[#This Row],[CFO/PAT]]))</f>
        <v>1.0000000000000009E-2</v>
      </c>
      <c r="K9" s="19">
        <v>0</v>
      </c>
      <c r="L9" s="84">
        <f>ABS(IF(Table22456791112[[#This Row],[Debt Equity]]&lt;0,100,0-Table22456791112[[#This Row],[Debt Equity]]))</f>
        <v>0</v>
      </c>
      <c r="M9" s="20">
        <v>5457.2</v>
      </c>
      <c r="N9" s="20">
        <v>8200</v>
      </c>
      <c r="O9" s="20">
        <v>4420</v>
      </c>
      <c r="P9" s="17">
        <f>(N9-M9)/M9</f>
        <v>0.50260206699406296</v>
      </c>
      <c r="Q9" s="19">
        <f>IF(LEFT(B9,1)="0",4,IF(LEFT(B9,1)="1",3,IF(LEFT(B9,1)="2",2,IF(LEFT(B9,1)="3",1,0))))</f>
        <v>2</v>
      </c>
      <c r="R9" s="85">
        <f>IF(C9&gt;0.7,4,IF(AND(C9&lt;0.7,C9&gt;0.65),3,IF(AND(C9&lt;0.65,C9&gt;0.6),2,IF(AND(C9&lt;0.6,C9&gt;0.55),1,0))))</f>
        <v>4</v>
      </c>
      <c r="S9" s="19">
        <f>IF(F9&lt;10,4,IF(AND(F9&lt;15,F9&gt;10),3,IF(AND(F9&lt;20,F9&gt;15),2,IF(AND(F9&lt;30,F9&gt;20),1,0))))</f>
        <v>4</v>
      </c>
      <c r="T9" s="84">
        <f>IF(G9&gt;0.25,4,IF(AND(G9&lt;0.25,G9&gt;0.2),3,IF(AND(G9&lt;0.2,G9&gt;0.15),2,IF(AND(G9&lt;0.15,G9&gt;0.1),1,0))))</f>
        <v>4</v>
      </c>
      <c r="U9" s="19">
        <f>IF(H9&gt;0.25,4,IF(AND(H9&lt;0.25,H9&gt;0.2),3,IF(AND(H9&lt;0.2,H9&gt;0.15),2,IF(AND(H9&lt;0.15,H9&gt;0.1),1,0))))</f>
        <v>4</v>
      </c>
      <c r="V9" s="19">
        <f>IF(J9&lt;0.15,4,IF(AND(J9&lt;0.3,J9&gt;0.15),3,IF(AND(J9&lt;0.45,J9&gt;0.3),2,IF(AND(J9&lt;0.6,J9&gt;0.45),1,0))))</f>
        <v>4</v>
      </c>
      <c r="W9" s="84">
        <f>IF(L9=0,4,IF(AND(L9&lt;0.1,L9&gt;0),3,IF(AND(L9&lt;0.2,L9&gt;0.1),2,IF(AND(L9&lt;0.3,L9&gt;0.2),1,0))))</f>
        <v>4</v>
      </c>
      <c r="X9" s="22">
        <f>SUM(Q9:W9)/28</f>
        <v>0.9285714285714286</v>
      </c>
      <c r="Y9" s="10"/>
      <c r="Z9" s="24"/>
      <c r="AA9" s="14">
        <f>Z9/M9</f>
        <v>0</v>
      </c>
      <c r="AB9" s="25">
        <f>AA9*(N9*(IF(Y9="Low",0.9,IF(Y9="Medium",0.75,0.5)))-M9)</f>
        <v>0</v>
      </c>
      <c r="AC9" s="63">
        <f>IFERROR(AB9/Z9,0)</f>
        <v>0</v>
      </c>
    </row>
  </sheetData>
  <conditionalFormatting sqref="E1:E1048576">
    <cfRule type="colorScale" priority="15">
      <colorScale>
        <cfvo type="min"/>
        <cfvo type="percentile" val="50"/>
        <cfvo type="max"/>
        <color rgb="FF63BE7B"/>
        <color rgb="FFFFEB84"/>
        <color rgb="FFF8696B"/>
      </colorScale>
    </cfRule>
  </conditionalFormatting>
  <conditionalFormatting sqref="H1:H1048576">
    <cfRule type="colorScale" priority="14">
      <colorScale>
        <cfvo type="min"/>
        <cfvo type="percentile" val="50"/>
        <cfvo type="max"/>
        <color rgb="FFF8696B"/>
        <color rgb="FFFFEB84"/>
        <color rgb="FF63BE7B"/>
      </colorScale>
    </cfRule>
  </conditionalFormatting>
  <conditionalFormatting sqref="J1:J1048576">
    <cfRule type="colorScale" priority="13">
      <colorScale>
        <cfvo type="min"/>
        <cfvo type="percentile" val="50"/>
        <cfvo type="max"/>
        <color rgb="FF63BE7B"/>
        <color rgb="FFFFEB84"/>
        <color rgb="FFF8696B"/>
      </colorScale>
    </cfRule>
  </conditionalFormatting>
  <conditionalFormatting sqref="K1:L1048576">
    <cfRule type="colorScale" priority="12">
      <colorScale>
        <cfvo type="min"/>
        <cfvo type="percentile" val="50"/>
        <cfvo type="max"/>
        <color rgb="FF63BE7B"/>
        <color rgb="FFFFEB84"/>
        <color rgb="FFF8696B"/>
      </colorScale>
    </cfRule>
  </conditionalFormatting>
  <conditionalFormatting sqref="L1:L1048576">
    <cfRule type="colorScale" priority="11">
      <colorScale>
        <cfvo type="min"/>
        <cfvo type="percentile" val="50"/>
        <cfvo type="max"/>
        <color rgb="FF63BE7B"/>
        <color rgb="FFFFEB84"/>
        <color rgb="FFF8696B"/>
      </colorScale>
    </cfRule>
  </conditionalFormatting>
  <conditionalFormatting sqref="Q2">
    <cfRule type="colorScale" priority="10">
      <colorScale>
        <cfvo type="min"/>
        <cfvo type="percentile" val="50"/>
        <cfvo type="max"/>
        <color rgb="FF63BE7B"/>
        <color rgb="FFFFEB84"/>
        <color rgb="FFF8696B"/>
      </colorScale>
    </cfRule>
  </conditionalFormatting>
  <conditionalFormatting sqref="Q2">
    <cfRule type="colorScale" priority="9">
      <colorScale>
        <cfvo type="min"/>
        <cfvo type="percentile" val="50"/>
        <cfvo type="max"/>
        <color rgb="FF63BE7B"/>
        <color rgb="FFFFEB84"/>
        <color rgb="FFF8696B"/>
      </colorScale>
    </cfRule>
  </conditionalFormatting>
  <conditionalFormatting sqref="R2">
    <cfRule type="colorScale" priority="8">
      <colorScale>
        <cfvo type="min"/>
        <cfvo type="percentile" val="50"/>
        <cfvo type="max"/>
        <color rgb="FFF8696B"/>
        <color rgb="FFFFEB84"/>
        <color rgb="FF63BE7B"/>
      </colorScale>
    </cfRule>
  </conditionalFormatting>
  <conditionalFormatting sqref="S2">
    <cfRule type="colorScale" priority="7">
      <colorScale>
        <cfvo type="min"/>
        <cfvo type="percentile" val="50"/>
        <cfvo type="max"/>
        <color rgb="FF63BE7B"/>
        <color rgb="FFFFEB84"/>
        <color rgb="FFF8696B"/>
      </colorScale>
    </cfRule>
  </conditionalFormatting>
  <conditionalFormatting sqref="U2">
    <cfRule type="colorScale" priority="5">
      <colorScale>
        <cfvo type="min"/>
        <cfvo type="percentile" val="50"/>
        <cfvo type="max"/>
        <color rgb="FFF8696B"/>
        <color rgb="FFFFEB84"/>
        <color rgb="FF63BE7B"/>
      </colorScale>
    </cfRule>
  </conditionalFormatting>
  <conditionalFormatting sqref="T2">
    <cfRule type="colorScale" priority="6">
      <colorScale>
        <cfvo type="min"/>
        <cfvo type="percentile" val="50"/>
        <cfvo type="max"/>
        <color rgb="FFF8696B"/>
        <color rgb="FFFFEB84"/>
        <color rgb="FF63BE7B"/>
      </colorScale>
    </cfRule>
  </conditionalFormatting>
  <conditionalFormatting sqref="W2">
    <cfRule type="colorScale" priority="4">
      <colorScale>
        <cfvo type="min"/>
        <cfvo type="percentile" val="50"/>
        <cfvo type="max"/>
        <color rgb="FF63BE7B"/>
        <color rgb="FFFFEB84"/>
        <color rgb="FFF8696B"/>
      </colorScale>
    </cfRule>
  </conditionalFormatting>
  <conditionalFormatting sqref="W2">
    <cfRule type="colorScale" priority="3">
      <colorScale>
        <cfvo type="min"/>
        <cfvo type="percentile" val="50"/>
        <cfvo type="max"/>
        <color rgb="FF63BE7B"/>
        <color rgb="FFFFEB84"/>
        <color rgb="FFF8696B"/>
      </colorScale>
    </cfRule>
  </conditionalFormatting>
  <conditionalFormatting sqref="V2">
    <cfRule type="colorScale" priority="16">
      <colorScale>
        <cfvo type="min"/>
        <cfvo type="percentile" val="50"/>
        <cfvo type="max"/>
        <color rgb="FF63BE7B"/>
        <color rgb="FFFFEB84"/>
        <color rgb="FFF8696B"/>
      </colorScale>
    </cfRule>
  </conditionalFormatting>
  <conditionalFormatting sqref="B1:B1048576">
    <cfRule type="colorScale" priority="17">
      <colorScale>
        <cfvo type="min"/>
        <cfvo type="percentile" val="50"/>
        <cfvo type="max"/>
        <color rgb="FF63BE7B"/>
        <color rgb="FFFFEB84"/>
        <color rgb="FFF8696B"/>
      </colorScale>
    </cfRule>
  </conditionalFormatting>
  <conditionalFormatting sqref="C1:C1048576">
    <cfRule type="colorScale" priority="18">
      <colorScale>
        <cfvo type="min"/>
        <cfvo type="percentile" val="50"/>
        <cfvo type="max"/>
        <color rgb="FFF8696B"/>
        <color rgb="FFFFEB84"/>
        <color rgb="FF63BE7B"/>
      </colorScale>
    </cfRule>
  </conditionalFormatting>
  <conditionalFormatting sqref="D1:D1048576">
    <cfRule type="colorScale" priority="19">
      <colorScale>
        <cfvo type="min"/>
        <cfvo type="percentile" val="50"/>
        <cfvo type="max"/>
        <color rgb="FF63BE7B"/>
        <color rgb="FFFFEB84"/>
        <color rgb="FFF8696B"/>
      </colorScale>
    </cfRule>
  </conditionalFormatting>
  <conditionalFormatting sqref="G1:G1048576">
    <cfRule type="colorScale" priority="2">
      <colorScale>
        <cfvo type="min"/>
        <cfvo type="percentile" val="50"/>
        <cfvo type="max"/>
        <color rgb="FFF8696B"/>
        <color rgb="FFFFEB84"/>
        <color rgb="FF63BE7B"/>
      </colorScale>
    </cfRule>
  </conditionalFormatting>
  <conditionalFormatting sqref="F1:F1048576">
    <cfRule type="colorScale" priority="20">
      <colorScale>
        <cfvo type="min"/>
        <cfvo type="percentile" val="50"/>
        <cfvo type="max"/>
        <color rgb="FF63BE7B"/>
        <color rgb="FFFFEB84"/>
        <color rgb="FFF8696B"/>
      </colorScale>
    </cfRule>
  </conditionalFormatting>
  <conditionalFormatting sqref="I1:I1048576">
    <cfRule type="colorScale" priority="1">
      <colorScale>
        <cfvo type="min"/>
        <cfvo type="percentile" val="50"/>
        <cfvo type="max"/>
        <color rgb="FF63BE7B"/>
        <color rgb="FFFFEB84"/>
        <color rgb="FFF8696B"/>
      </colorScale>
    </cfRule>
  </conditionalFormatting>
  <conditionalFormatting sqref="B2:B9">
    <cfRule type="colorScale" priority="2259">
      <colorScale>
        <cfvo type="min"/>
        <cfvo type="percentile" val="50"/>
        <cfvo type="max"/>
        <color rgb="FF63BE7B"/>
        <color rgb="FFFFEB84"/>
        <color rgb="FFF8696B"/>
      </colorScale>
    </cfRule>
  </conditionalFormatting>
  <conditionalFormatting sqref="D3:D9">
    <cfRule type="colorScale" priority="2260">
      <colorScale>
        <cfvo type="min"/>
        <cfvo type="percentile" val="50"/>
        <cfvo type="max"/>
        <color rgb="FF63BE7B"/>
        <color rgb="FFFFEB84"/>
        <color rgb="FFF8696B"/>
      </colorScale>
    </cfRule>
  </conditionalFormatting>
  <conditionalFormatting sqref="E3:F9">
    <cfRule type="colorScale" priority="2261">
      <colorScale>
        <cfvo type="min"/>
        <cfvo type="percentile" val="50"/>
        <cfvo type="max"/>
        <color rgb="FFF8696B"/>
        <color rgb="FFFFEB84"/>
        <color rgb="FF63BE7B"/>
      </colorScale>
    </cfRule>
  </conditionalFormatting>
  <conditionalFormatting sqref="X3:X9">
    <cfRule type="colorScale" priority="2262">
      <colorScale>
        <cfvo type="min"/>
        <cfvo type="percentile" val="50"/>
        <cfvo type="max"/>
        <color rgb="FFF8696B"/>
        <color rgb="FFFFEB84"/>
        <color rgb="FF63BE7B"/>
      </colorScale>
    </cfRule>
  </conditionalFormatting>
  <conditionalFormatting sqref="C3:C9">
    <cfRule type="colorScale" priority="2263">
      <colorScale>
        <cfvo type="min"/>
        <cfvo type="percentile" val="50"/>
        <cfvo type="max"/>
        <color rgb="FFF8696B"/>
        <color rgb="FFFFEB84"/>
        <color rgb="FF63BE7B"/>
      </colorScale>
    </cfRule>
  </conditionalFormatting>
  <conditionalFormatting sqref="G3:L9">
    <cfRule type="colorScale" priority="2264">
      <colorScale>
        <cfvo type="min"/>
        <cfvo type="percentile" val="50"/>
        <cfvo type="max"/>
        <color rgb="FFF8696B"/>
        <color rgb="FFFFEB84"/>
        <color rgb="FF63BE7B"/>
      </colorScale>
    </cfRule>
  </conditionalFormatting>
  <pageMargins left="0.7" right="0.7" top="0.75" bottom="0.75" header="0.3" footer="0.3"/>
  <pageSetup paperSize="9" orientation="portrait" horizontalDpi="90" verticalDpi="90" r:id="rId1"/>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5EDCEE-2AC5-41D0-8E3A-3DE7A8176CB7}">
  <sheetPr codeName="Sheet10"/>
  <dimension ref="B2:P14"/>
  <sheetViews>
    <sheetView showGridLines="0" zoomScale="80" zoomScaleNormal="80" workbookViewId="0">
      <selection activeCell="B1" sqref="B1"/>
    </sheetView>
  </sheetViews>
  <sheetFormatPr defaultRowHeight="14.5" x14ac:dyDescent="0.35"/>
  <cols>
    <col min="2" max="2" width="26.08984375" bestFit="1" customWidth="1"/>
    <col min="3" max="3" width="15.08984375" bestFit="1" customWidth="1"/>
    <col min="4" max="4" width="18.7265625" bestFit="1" customWidth="1"/>
    <col min="5" max="5" width="18.6328125" bestFit="1" customWidth="1"/>
    <col min="6" max="6" width="20" bestFit="1" customWidth="1"/>
    <col min="7" max="7" width="18.36328125" bestFit="1" customWidth="1"/>
    <col min="8" max="8" width="35.6328125" bestFit="1" customWidth="1"/>
    <col min="9" max="9" width="5.81640625" bestFit="1" customWidth="1"/>
    <col min="10" max="10" width="20.90625" bestFit="1" customWidth="1"/>
    <col min="11" max="11" width="13.54296875" bestFit="1" customWidth="1"/>
    <col min="12" max="12" width="13.7265625" bestFit="1" customWidth="1"/>
    <col min="13" max="13" width="9.26953125" bestFit="1" customWidth="1"/>
    <col min="14" max="14" width="16.90625" bestFit="1" customWidth="1"/>
    <col min="15" max="15" width="15.54296875" bestFit="1" customWidth="1"/>
    <col min="16" max="16" width="34.54296875" bestFit="1" customWidth="1"/>
  </cols>
  <sheetData>
    <row r="2" spans="2:16" ht="14.5" customHeight="1" x14ac:dyDescent="0.35">
      <c r="B2" s="57" t="s">
        <v>244</v>
      </c>
      <c r="C2" s="66" t="s">
        <v>248</v>
      </c>
      <c r="D2" s="8" t="s">
        <v>291</v>
      </c>
      <c r="E2" s="8" t="s">
        <v>296</v>
      </c>
      <c r="F2" s="8" t="s">
        <v>303</v>
      </c>
      <c r="G2" s="8" t="s">
        <v>308</v>
      </c>
      <c r="H2" s="89" t="s">
        <v>317</v>
      </c>
      <c r="I2" s="89" t="s">
        <v>318</v>
      </c>
      <c r="J2" s="89" t="s">
        <v>342</v>
      </c>
      <c r="K2" s="89" t="s">
        <v>348</v>
      </c>
      <c r="L2" s="89" t="s">
        <v>352</v>
      </c>
      <c r="M2" s="89" t="s">
        <v>358</v>
      </c>
      <c r="N2" s="89" t="s">
        <v>368</v>
      </c>
      <c r="O2" s="89" t="s">
        <v>380</v>
      </c>
      <c r="P2" s="89" t="s">
        <v>386</v>
      </c>
    </row>
    <row r="3" spans="2:16" x14ac:dyDescent="0.35">
      <c r="B3" s="4" t="s">
        <v>245</v>
      </c>
      <c r="C3" s="4" t="s">
        <v>246</v>
      </c>
      <c r="D3" s="4" t="s">
        <v>292</v>
      </c>
      <c r="E3" s="4" t="s">
        <v>297</v>
      </c>
      <c r="F3" s="4" t="s">
        <v>304</v>
      </c>
      <c r="G3" s="4" t="s">
        <v>309</v>
      </c>
      <c r="H3" s="65" t="s">
        <v>326</v>
      </c>
      <c r="I3" s="4"/>
      <c r="J3" s="4" t="s">
        <v>343</v>
      </c>
      <c r="K3" s="4" t="s">
        <v>349</v>
      </c>
      <c r="L3" s="4" t="s">
        <v>353</v>
      </c>
      <c r="M3" s="4" t="s">
        <v>359</v>
      </c>
      <c r="N3" s="4" t="s">
        <v>74</v>
      </c>
      <c r="O3" s="4" t="s">
        <v>381</v>
      </c>
      <c r="P3" s="4" t="s">
        <v>387</v>
      </c>
    </row>
    <row r="4" spans="2:16" x14ac:dyDescent="0.35">
      <c r="B4" s="4"/>
      <c r="C4" s="4" t="s">
        <v>247</v>
      </c>
      <c r="D4" s="4" t="s">
        <v>293</v>
      </c>
      <c r="E4" s="4" t="s">
        <v>298</v>
      </c>
      <c r="F4" s="4" t="s">
        <v>305</v>
      </c>
      <c r="G4" s="4" t="s">
        <v>310</v>
      </c>
      <c r="H4" s="65" t="s">
        <v>327</v>
      </c>
      <c r="I4" s="4"/>
      <c r="J4" s="4" t="s">
        <v>14</v>
      </c>
      <c r="K4" s="4" t="s">
        <v>350</v>
      </c>
      <c r="L4" s="4" t="s">
        <v>354</v>
      </c>
      <c r="M4" s="4" t="s">
        <v>360</v>
      </c>
      <c r="N4" s="4" t="s">
        <v>369</v>
      </c>
      <c r="O4" s="4" t="s">
        <v>382</v>
      </c>
      <c r="P4" s="4" t="s">
        <v>388</v>
      </c>
    </row>
    <row r="5" spans="2:16" x14ac:dyDescent="0.35">
      <c r="B5" s="4"/>
      <c r="C5" s="4"/>
      <c r="D5" s="4" t="s">
        <v>294</v>
      </c>
      <c r="E5" s="4" t="s">
        <v>299</v>
      </c>
      <c r="F5" s="4" t="s">
        <v>306</v>
      </c>
      <c r="G5" s="4" t="s">
        <v>311</v>
      </c>
      <c r="H5" s="65" t="s">
        <v>328</v>
      </c>
      <c r="I5" s="4"/>
      <c r="J5" s="4" t="s">
        <v>344</v>
      </c>
      <c r="K5" s="4" t="s">
        <v>351</v>
      </c>
      <c r="L5" s="4" t="s">
        <v>355</v>
      </c>
      <c r="M5" s="4" t="s">
        <v>361</v>
      </c>
      <c r="N5" s="4" t="s">
        <v>370</v>
      </c>
      <c r="O5" s="4" t="s">
        <v>383</v>
      </c>
      <c r="P5" s="4" t="s">
        <v>389</v>
      </c>
    </row>
    <row r="6" spans="2:16" x14ac:dyDescent="0.35">
      <c r="B6" s="4"/>
      <c r="C6" s="4"/>
      <c r="D6" s="4" t="s">
        <v>295</v>
      </c>
      <c r="E6" s="4" t="s">
        <v>300</v>
      </c>
      <c r="F6" s="4" t="s">
        <v>307</v>
      </c>
      <c r="G6" s="4" t="s">
        <v>312</v>
      </c>
      <c r="H6" s="65" t="s">
        <v>329</v>
      </c>
      <c r="I6" s="4"/>
      <c r="J6" s="4" t="s">
        <v>345</v>
      </c>
      <c r="K6" s="4"/>
      <c r="L6" s="4" t="s">
        <v>356</v>
      </c>
      <c r="M6" s="4"/>
      <c r="N6" s="4" t="s">
        <v>371</v>
      </c>
      <c r="O6" s="4" t="s">
        <v>384</v>
      </c>
      <c r="P6" s="4" t="s">
        <v>390</v>
      </c>
    </row>
    <row r="7" spans="2:16" x14ac:dyDescent="0.35">
      <c r="B7" s="4"/>
      <c r="C7" s="4"/>
      <c r="D7" s="4"/>
      <c r="E7" s="4" t="s">
        <v>301</v>
      </c>
      <c r="F7" s="4"/>
      <c r="G7" s="4" t="s">
        <v>313</v>
      </c>
      <c r="H7" s="65" t="s">
        <v>330</v>
      </c>
      <c r="I7" s="4"/>
      <c r="J7" s="4" t="s">
        <v>346</v>
      </c>
      <c r="K7" s="4"/>
      <c r="L7" s="4" t="s">
        <v>357</v>
      </c>
      <c r="M7" s="4"/>
      <c r="N7" s="4" t="s">
        <v>372</v>
      </c>
      <c r="O7" s="4" t="s">
        <v>385</v>
      </c>
      <c r="P7" s="4" t="s">
        <v>391</v>
      </c>
    </row>
    <row r="8" spans="2:16" x14ac:dyDescent="0.35">
      <c r="B8" s="4"/>
      <c r="C8" s="4"/>
      <c r="D8" s="4"/>
      <c r="E8" s="4" t="s">
        <v>302</v>
      </c>
      <c r="F8" s="4"/>
      <c r="G8" s="4" t="s">
        <v>314</v>
      </c>
      <c r="H8" s="65" t="s">
        <v>331</v>
      </c>
      <c r="I8" s="4"/>
      <c r="J8" s="4" t="s">
        <v>347</v>
      </c>
      <c r="K8" s="4"/>
      <c r="L8" s="4" t="s">
        <v>362</v>
      </c>
      <c r="M8" s="4"/>
      <c r="N8" s="4" t="s">
        <v>373</v>
      </c>
      <c r="O8" s="4"/>
      <c r="P8" s="4"/>
    </row>
    <row r="9" spans="2:16" x14ac:dyDescent="0.35">
      <c r="B9" s="4"/>
      <c r="C9" s="4"/>
      <c r="D9" s="4"/>
      <c r="E9" s="4"/>
      <c r="F9" s="4"/>
      <c r="G9" s="4" t="s">
        <v>315</v>
      </c>
      <c r="H9" s="65" t="s">
        <v>332</v>
      </c>
      <c r="I9" s="4"/>
      <c r="J9" s="4"/>
      <c r="K9" s="4"/>
      <c r="L9" s="4" t="s">
        <v>363</v>
      </c>
      <c r="M9" s="4"/>
      <c r="N9" s="4" t="s">
        <v>374</v>
      </c>
      <c r="O9" s="4"/>
      <c r="P9" s="4"/>
    </row>
    <row r="10" spans="2:16" x14ac:dyDescent="0.35">
      <c r="B10" s="4"/>
      <c r="C10" s="4"/>
      <c r="D10" s="4"/>
      <c r="E10" s="4"/>
      <c r="F10" s="4"/>
      <c r="G10" s="4"/>
      <c r="H10" s="4"/>
      <c r="I10" s="4"/>
      <c r="J10" s="4"/>
      <c r="K10" s="4"/>
      <c r="L10" s="4" t="s">
        <v>364</v>
      </c>
      <c r="M10" s="4"/>
      <c r="N10" s="4" t="s">
        <v>375</v>
      </c>
      <c r="O10" s="4"/>
      <c r="P10" s="4"/>
    </row>
    <row r="11" spans="2:16" x14ac:dyDescent="0.35">
      <c r="B11" s="4"/>
      <c r="C11" s="4"/>
      <c r="D11" s="4"/>
      <c r="E11" s="4"/>
      <c r="F11" s="4"/>
      <c r="G11" s="4"/>
      <c r="H11" s="4"/>
      <c r="I11" s="4"/>
      <c r="J11" s="4"/>
      <c r="K11" s="4"/>
      <c r="L11" s="4" t="s">
        <v>365</v>
      </c>
      <c r="M11" s="4"/>
      <c r="N11" s="4" t="s">
        <v>376</v>
      </c>
      <c r="O11" s="4"/>
      <c r="P11" s="4"/>
    </row>
    <row r="12" spans="2:16" x14ac:dyDescent="0.35">
      <c r="B12" s="4"/>
      <c r="C12" s="4"/>
      <c r="D12" s="4"/>
      <c r="E12" s="4"/>
      <c r="F12" s="4"/>
      <c r="G12" s="4"/>
      <c r="H12" s="4"/>
      <c r="I12" s="4"/>
      <c r="J12" s="4"/>
      <c r="K12" s="4"/>
      <c r="L12" s="4" t="s">
        <v>366</v>
      </c>
      <c r="M12" s="4"/>
      <c r="N12" s="4" t="s">
        <v>377</v>
      </c>
      <c r="O12" s="4"/>
      <c r="P12" s="4"/>
    </row>
    <row r="13" spans="2:16" x14ac:dyDescent="0.35">
      <c r="B13" s="4"/>
      <c r="C13" s="4"/>
      <c r="D13" s="4"/>
      <c r="E13" s="4"/>
      <c r="F13" s="4"/>
      <c r="G13" s="4"/>
      <c r="H13" s="4"/>
      <c r="I13" s="4"/>
      <c r="J13" s="4"/>
      <c r="K13" s="4"/>
      <c r="L13" s="4" t="s">
        <v>367</v>
      </c>
      <c r="M13" s="4"/>
      <c r="N13" s="4" t="s">
        <v>378</v>
      </c>
      <c r="O13" s="4"/>
      <c r="P13" s="4"/>
    </row>
    <row r="14" spans="2:16" x14ac:dyDescent="0.35">
      <c r="B14" s="4"/>
      <c r="C14" s="4"/>
      <c r="D14" s="4"/>
      <c r="E14" s="4"/>
      <c r="F14" s="4"/>
      <c r="G14" s="4"/>
      <c r="H14" s="4"/>
      <c r="I14" s="4"/>
      <c r="J14" s="4"/>
      <c r="K14" s="4"/>
      <c r="L14" s="4"/>
      <c r="M14" s="4"/>
      <c r="N14" s="4" t="s">
        <v>379</v>
      </c>
      <c r="O14" s="4"/>
      <c r="P14" s="4"/>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E05B1-9E9D-4645-B786-C96C6BD8C5CE}">
  <sheetPr codeName="Sheet11"/>
  <dimension ref="B2:F60"/>
  <sheetViews>
    <sheetView showGridLines="0" topLeftCell="A33" zoomScale="80" zoomScaleNormal="80" workbookViewId="0">
      <selection activeCell="C60" sqref="C60"/>
    </sheetView>
  </sheetViews>
  <sheetFormatPr defaultRowHeight="14.5" x14ac:dyDescent="0.35"/>
  <cols>
    <col min="3" max="3" width="26.36328125" style="54" bestFit="1" customWidth="1"/>
    <col min="4" max="4" width="48.7265625" bestFit="1" customWidth="1"/>
    <col min="5" max="5" width="32.81640625" bestFit="1" customWidth="1"/>
    <col min="6" max="6" width="169.1796875" bestFit="1" customWidth="1"/>
  </cols>
  <sheetData>
    <row r="2" spans="2:6" x14ac:dyDescent="0.35">
      <c r="B2" s="75" t="s">
        <v>160</v>
      </c>
      <c r="C2" s="9" t="s">
        <v>1</v>
      </c>
      <c r="D2" s="10" t="s">
        <v>2</v>
      </c>
      <c r="E2" s="10"/>
      <c r="F2" s="11"/>
    </row>
    <row r="3" spans="2:6" x14ac:dyDescent="0.35">
      <c r="B3" s="75"/>
      <c r="C3" s="9" t="s">
        <v>3</v>
      </c>
      <c r="D3" s="10" t="s">
        <v>5</v>
      </c>
      <c r="E3" s="10" t="s">
        <v>6</v>
      </c>
      <c r="F3" s="11"/>
    </row>
    <row r="4" spans="2:6" x14ac:dyDescent="0.35">
      <c r="B4" s="75"/>
      <c r="C4" s="70" t="s">
        <v>0</v>
      </c>
      <c r="D4" s="70" t="s">
        <v>4</v>
      </c>
      <c r="E4" s="70" t="s">
        <v>7</v>
      </c>
      <c r="F4" s="11" t="s">
        <v>8</v>
      </c>
    </row>
    <row r="5" spans="2:6" x14ac:dyDescent="0.35">
      <c r="B5" s="75"/>
      <c r="C5" s="70"/>
      <c r="D5" s="70"/>
      <c r="E5" s="70"/>
      <c r="F5" s="11" t="s">
        <v>10</v>
      </c>
    </row>
    <row r="6" spans="2:6" x14ac:dyDescent="0.35">
      <c r="B6" s="75"/>
      <c r="C6" s="70"/>
      <c r="D6" s="70"/>
      <c r="E6" s="70"/>
      <c r="F6" s="11" t="s">
        <v>9</v>
      </c>
    </row>
    <row r="7" spans="2:6" x14ac:dyDescent="0.35">
      <c r="B7" s="75"/>
      <c r="C7" s="70"/>
      <c r="D7" s="70"/>
      <c r="E7" s="70"/>
      <c r="F7" s="11" t="s">
        <v>36</v>
      </c>
    </row>
    <row r="8" spans="2:6" x14ac:dyDescent="0.35">
      <c r="B8" s="75" t="s">
        <v>160</v>
      </c>
      <c r="C8" s="70" t="s">
        <v>16</v>
      </c>
      <c r="D8" s="70" t="s">
        <v>220</v>
      </c>
      <c r="E8" s="70" t="s">
        <v>18</v>
      </c>
      <c r="F8" s="11" t="s">
        <v>20</v>
      </c>
    </row>
    <row r="9" spans="2:6" x14ac:dyDescent="0.35">
      <c r="B9" s="75"/>
      <c r="C9" s="70"/>
      <c r="D9" s="70"/>
      <c r="E9" s="70"/>
      <c r="F9" s="11" t="s">
        <v>21</v>
      </c>
    </row>
    <row r="10" spans="2:6" x14ac:dyDescent="0.35">
      <c r="B10" s="75"/>
      <c r="C10" s="70"/>
      <c r="D10" s="70"/>
      <c r="E10" s="70"/>
      <c r="F10" s="11" t="s">
        <v>22</v>
      </c>
    </row>
    <row r="11" spans="2:6" x14ac:dyDescent="0.35">
      <c r="B11" s="75"/>
      <c r="C11" s="10" t="s">
        <v>23</v>
      </c>
      <c r="D11" s="10" t="s">
        <v>25</v>
      </c>
      <c r="E11" s="10"/>
      <c r="F11" s="11"/>
    </row>
    <row r="12" spans="2:6" x14ac:dyDescent="0.35">
      <c r="B12" s="75"/>
      <c r="C12" s="10" t="s">
        <v>24</v>
      </c>
      <c r="D12" s="10" t="s">
        <v>26</v>
      </c>
      <c r="E12" s="10"/>
      <c r="F12" s="11"/>
    </row>
    <row r="13" spans="2:6" x14ac:dyDescent="0.35">
      <c r="B13" s="75"/>
      <c r="C13" s="70" t="s">
        <v>29</v>
      </c>
      <c r="D13" s="70" t="s">
        <v>30</v>
      </c>
      <c r="E13" s="70" t="s">
        <v>31</v>
      </c>
      <c r="F13" s="11" t="s">
        <v>32</v>
      </c>
    </row>
    <row r="14" spans="2:6" x14ac:dyDescent="0.35">
      <c r="B14" s="75"/>
      <c r="C14" s="70"/>
      <c r="D14" s="70"/>
      <c r="E14" s="70"/>
      <c r="F14" s="11" t="s">
        <v>35</v>
      </c>
    </row>
    <row r="15" spans="2:6" x14ac:dyDescent="0.35">
      <c r="B15" s="75" t="s">
        <v>160</v>
      </c>
      <c r="C15" s="70" t="s">
        <v>38</v>
      </c>
      <c r="D15" s="70" t="s">
        <v>33</v>
      </c>
      <c r="E15" s="70"/>
      <c r="F15" s="11" t="s">
        <v>39</v>
      </c>
    </row>
    <row r="16" spans="2:6" x14ac:dyDescent="0.35">
      <c r="B16" s="75"/>
      <c r="C16" s="70"/>
      <c r="D16" s="70"/>
      <c r="E16" s="70"/>
      <c r="F16" s="11" t="s">
        <v>40</v>
      </c>
    </row>
    <row r="17" spans="2:6" x14ac:dyDescent="0.35">
      <c r="B17" s="75"/>
      <c r="C17" s="70"/>
      <c r="D17" s="70"/>
      <c r="E17" s="70"/>
      <c r="F17" s="11" t="s">
        <v>42</v>
      </c>
    </row>
    <row r="18" spans="2:6" x14ac:dyDescent="0.35">
      <c r="B18" s="75"/>
      <c r="C18" s="10" t="s">
        <v>43</v>
      </c>
      <c r="D18" s="8"/>
      <c r="E18" s="8"/>
      <c r="F18" s="11" t="s">
        <v>46</v>
      </c>
    </row>
    <row r="19" spans="2:6" x14ac:dyDescent="0.35">
      <c r="B19" s="75"/>
      <c r="C19" s="70" t="s">
        <v>50</v>
      </c>
      <c r="D19" s="70"/>
      <c r="E19" s="70"/>
      <c r="F19" s="11" t="s">
        <v>51</v>
      </c>
    </row>
    <row r="20" spans="2:6" x14ac:dyDescent="0.35">
      <c r="B20" s="75"/>
      <c r="C20" s="70"/>
      <c r="D20" s="70"/>
      <c r="E20" s="70"/>
      <c r="F20" s="11" t="s">
        <v>52</v>
      </c>
    </row>
    <row r="21" spans="2:6" x14ac:dyDescent="0.35">
      <c r="B21" s="75"/>
      <c r="C21" s="70"/>
      <c r="D21" s="70"/>
      <c r="E21" s="70"/>
      <c r="F21" s="11" t="s">
        <v>53</v>
      </c>
    </row>
    <row r="22" spans="2:6" x14ac:dyDescent="0.35">
      <c r="B22" s="75"/>
      <c r="C22" s="70"/>
      <c r="D22" s="70"/>
      <c r="E22" s="70"/>
      <c r="F22" s="11" t="s">
        <v>54</v>
      </c>
    </row>
    <row r="23" spans="2:6" x14ac:dyDescent="0.35">
      <c r="B23" s="75"/>
      <c r="C23" s="10" t="s">
        <v>55</v>
      </c>
      <c r="D23" s="10"/>
      <c r="E23" s="10"/>
      <c r="F23" s="11" t="s">
        <v>56</v>
      </c>
    </row>
    <row r="24" spans="2:6" x14ac:dyDescent="0.35">
      <c r="B24" s="75" t="s">
        <v>160</v>
      </c>
      <c r="C24" s="10" t="s">
        <v>65</v>
      </c>
      <c r="D24" s="10" t="s">
        <v>66</v>
      </c>
      <c r="E24" s="10"/>
      <c r="F24" s="11" t="s">
        <v>69</v>
      </c>
    </row>
    <row r="25" spans="2:6" x14ac:dyDescent="0.35">
      <c r="B25" s="75"/>
      <c r="C25" s="10" t="s">
        <v>67</v>
      </c>
      <c r="D25" s="10" t="s">
        <v>68</v>
      </c>
      <c r="E25" s="10" t="s">
        <v>77</v>
      </c>
      <c r="F25" s="11" t="s">
        <v>70</v>
      </c>
    </row>
    <row r="26" spans="2:6" x14ac:dyDescent="0.35">
      <c r="B26" s="75"/>
      <c r="C26" s="10" t="s">
        <v>75</v>
      </c>
      <c r="D26" s="10"/>
      <c r="E26" s="10" t="s">
        <v>76</v>
      </c>
      <c r="F26" s="11"/>
    </row>
    <row r="27" spans="2:6" x14ac:dyDescent="0.35">
      <c r="B27" s="75" t="s">
        <v>160</v>
      </c>
      <c r="C27" s="70" t="s">
        <v>78</v>
      </c>
      <c r="D27" s="70"/>
      <c r="E27" s="70"/>
      <c r="F27" s="11" t="s">
        <v>79</v>
      </c>
    </row>
    <row r="28" spans="2:6" x14ac:dyDescent="0.35">
      <c r="B28" s="75"/>
      <c r="C28" s="70"/>
      <c r="D28" s="70"/>
      <c r="E28" s="70"/>
      <c r="F28" s="11" t="s">
        <v>80</v>
      </c>
    </row>
    <row r="29" spans="2:6" x14ac:dyDescent="0.35">
      <c r="B29" s="75"/>
      <c r="C29" s="70" t="s">
        <v>81</v>
      </c>
      <c r="D29" s="70"/>
      <c r="E29" s="70" t="s">
        <v>96</v>
      </c>
      <c r="F29" s="11" t="s">
        <v>82</v>
      </c>
    </row>
    <row r="30" spans="2:6" x14ac:dyDescent="0.35">
      <c r="B30" s="75"/>
      <c r="C30" s="70"/>
      <c r="D30" s="70"/>
      <c r="E30" s="70"/>
      <c r="F30" s="11" t="s">
        <v>83</v>
      </c>
    </row>
    <row r="31" spans="2:6" x14ac:dyDescent="0.35">
      <c r="B31" s="76" t="s">
        <v>160</v>
      </c>
      <c r="C31" s="10" t="s">
        <v>94</v>
      </c>
      <c r="D31" s="70" t="s">
        <v>97</v>
      </c>
      <c r="E31" s="70" t="s">
        <v>96</v>
      </c>
      <c r="F31" s="11" t="s">
        <v>92</v>
      </c>
    </row>
    <row r="32" spans="2:6" x14ac:dyDescent="0.35">
      <c r="B32" s="77"/>
      <c r="C32" s="10" t="s">
        <v>95</v>
      </c>
      <c r="D32" s="70"/>
      <c r="E32" s="70"/>
      <c r="F32" s="11" t="s">
        <v>93</v>
      </c>
    </row>
    <row r="33" spans="2:6" x14ac:dyDescent="0.35">
      <c r="B33" s="77"/>
      <c r="C33" s="70" t="s">
        <v>98</v>
      </c>
      <c r="D33" s="70"/>
      <c r="E33" s="70"/>
      <c r="F33" s="12" t="s">
        <v>99</v>
      </c>
    </row>
    <row r="34" spans="2:6" x14ac:dyDescent="0.35">
      <c r="B34" s="77"/>
      <c r="C34" s="70"/>
      <c r="D34" s="70"/>
      <c r="E34" s="70"/>
      <c r="F34" s="11" t="s">
        <v>100</v>
      </c>
    </row>
    <row r="35" spans="2:6" x14ac:dyDescent="0.35">
      <c r="B35" s="78"/>
      <c r="C35" s="70"/>
      <c r="D35" s="70"/>
      <c r="E35" s="70"/>
      <c r="F35" s="11" t="s">
        <v>101</v>
      </c>
    </row>
    <row r="36" spans="2:6" x14ac:dyDescent="0.35">
      <c r="B36" s="75" t="s">
        <v>160</v>
      </c>
      <c r="C36" s="70" t="s">
        <v>182</v>
      </c>
      <c r="D36" s="70" t="s">
        <v>183</v>
      </c>
      <c r="E36" s="70" t="s">
        <v>188</v>
      </c>
      <c r="F36" s="11" t="s">
        <v>184</v>
      </c>
    </row>
    <row r="37" spans="2:6" x14ac:dyDescent="0.35">
      <c r="B37" s="75"/>
      <c r="C37" s="70"/>
      <c r="D37" s="70"/>
      <c r="E37" s="70"/>
      <c r="F37" s="11" t="s">
        <v>185</v>
      </c>
    </row>
    <row r="38" spans="2:6" x14ac:dyDescent="0.35">
      <c r="B38" s="75"/>
      <c r="C38" s="70"/>
      <c r="D38" s="70"/>
      <c r="E38" s="70"/>
      <c r="F38" s="11" t="s">
        <v>186</v>
      </c>
    </row>
    <row r="39" spans="2:6" x14ac:dyDescent="0.35">
      <c r="B39" s="75"/>
      <c r="C39" s="70"/>
      <c r="D39" s="70"/>
      <c r="E39" s="70"/>
      <c r="F39" s="11" t="s">
        <v>187</v>
      </c>
    </row>
    <row r="40" spans="2:6" x14ac:dyDescent="0.35">
      <c r="B40" s="75" t="s">
        <v>160</v>
      </c>
      <c r="C40" s="67" t="s">
        <v>189</v>
      </c>
      <c r="D40" s="67" t="s">
        <v>190</v>
      </c>
      <c r="E40" s="67" t="s">
        <v>192</v>
      </c>
      <c r="F40" s="11" t="s">
        <v>193</v>
      </c>
    </row>
    <row r="41" spans="2:6" x14ac:dyDescent="0.35">
      <c r="B41" s="75"/>
      <c r="C41" s="69"/>
      <c r="D41" s="69"/>
      <c r="E41" s="69"/>
      <c r="F41" s="11" t="s">
        <v>194</v>
      </c>
    </row>
    <row r="42" spans="2:6" x14ac:dyDescent="0.35">
      <c r="B42" s="75"/>
      <c r="C42" s="67" t="s">
        <v>196</v>
      </c>
      <c r="D42" s="67"/>
      <c r="E42" s="67" t="s">
        <v>197</v>
      </c>
      <c r="F42" s="11" t="s">
        <v>215</v>
      </c>
    </row>
    <row r="43" spans="2:6" x14ac:dyDescent="0.35">
      <c r="B43" s="75"/>
      <c r="C43" s="69"/>
      <c r="D43" s="69"/>
      <c r="E43" s="69"/>
      <c r="F43" s="11" t="s">
        <v>198</v>
      </c>
    </row>
    <row r="44" spans="2:6" x14ac:dyDescent="0.35">
      <c r="B44" s="73" t="s">
        <v>160</v>
      </c>
      <c r="C44" s="70" t="s">
        <v>201</v>
      </c>
      <c r="D44" s="67"/>
      <c r="E44" s="70" t="s">
        <v>203</v>
      </c>
      <c r="F44" s="11" t="s">
        <v>202</v>
      </c>
    </row>
    <row r="45" spans="2:6" x14ac:dyDescent="0.35">
      <c r="B45" s="74"/>
      <c r="C45" s="70"/>
      <c r="D45" s="68"/>
      <c r="E45" s="70"/>
      <c r="F45" s="11" t="s">
        <v>204</v>
      </c>
    </row>
    <row r="46" spans="2:6" x14ac:dyDescent="0.35">
      <c r="B46" s="74"/>
      <c r="C46" s="70"/>
      <c r="D46" s="69"/>
      <c r="E46" s="70"/>
      <c r="F46" s="11" t="s">
        <v>205</v>
      </c>
    </row>
    <row r="47" spans="2:6" x14ac:dyDescent="0.35">
      <c r="B47" s="74"/>
      <c r="C47" s="70" t="s">
        <v>206</v>
      </c>
      <c r="D47" s="70" t="s">
        <v>207</v>
      </c>
      <c r="E47" s="53" t="s">
        <v>208</v>
      </c>
      <c r="F47" s="71" t="s">
        <v>209</v>
      </c>
    </row>
    <row r="48" spans="2:6" x14ac:dyDescent="0.35">
      <c r="B48" s="74"/>
      <c r="C48" s="70"/>
      <c r="D48" s="70"/>
      <c r="E48" s="53" t="s">
        <v>210</v>
      </c>
      <c r="F48" s="72"/>
    </row>
    <row r="49" spans="2:6" x14ac:dyDescent="0.35">
      <c r="B49" s="74"/>
      <c r="C49" s="53" t="s">
        <v>211</v>
      </c>
      <c r="D49" s="53"/>
      <c r="E49" s="53" t="s">
        <v>212</v>
      </c>
      <c r="F49" s="11"/>
    </row>
    <row r="50" spans="2:6" x14ac:dyDescent="0.35">
      <c r="C50" s="2"/>
    </row>
    <row r="51" spans="2:6" x14ac:dyDescent="0.35">
      <c r="B51" s="4"/>
      <c r="C51" s="56" t="s">
        <v>105</v>
      </c>
      <c r="D51" s="4"/>
      <c r="E51" s="4"/>
      <c r="F51" s="4"/>
    </row>
    <row r="52" spans="2:6" x14ac:dyDescent="0.35">
      <c r="B52" s="75" t="s">
        <v>160</v>
      </c>
      <c r="C52" s="10" t="s">
        <v>102</v>
      </c>
      <c r="D52" s="4" t="s">
        <v>103</v>
      </c>
      <c r="E52" s="4" t="s">
        <v>104</v>
      </c>
      <c r="F52" s="4"/>
    </row>
    <row r="53" spans="2:6" x14ac:dyDescent="0.35">
      <c r="B53" s="75"/>
      <c r="C53" s="10" t="s">
        <v>106</v>
      </c>
      <c r="D53" s="4" t="s">
        <v>107</v>
      </c>
      <c r="E53" s="4" t="s">
        <v>108</v>
      </c>
      <c r="F53" s="4" t="s">
        <v>109</v>
      </c>
    </row>
    <row r="54" spans="2:6" x14ac:dyDescent="0.35">
      <c r="B54" s="75"/>
      <c r="C54" s="10" t="s">
        <v>110</v>
      </c>
      <c r="D54" s="4" t="s">
        <v>111</v>
      </c>
      <c r="E54" s="4" t="s">
        <v>108</v>
      </c>
      <c r="F54" s="4" t="s">
        <v>112</v>
      </c>
    </row>
    <row r="55" spans="2:6" x14ac:dyDescent="0.35">
      <c r="B55" s="75"/>
      <c r="C55" s="67" t="s">
        <v>113</v>
      </c>
      <c r="D55" s="67" t="s">
        <v>114</v>
      </c>
      <c r="E55" s="67" t="s">
        <v>115</v>
      </c>
      <c r="F55" s="4" t="s">
        <v>116</v>
      </c>
    </row>
    <row r="56" spans="2:6" x14ac:dyDescent="0.35">
      <c r="B56" s="75"/>
      <c r="C56" s="69"/>
      <c r="D56" s="69"/>
      <c r="E56" s="69"/>
      <c r="F56" s="4" t="s">
        <v>117</v>
      </c>
    </row>
    <row r="57" spans="2:6" x14ac:dyDescent="0.35">
      <c r="B57" s="75"/>
      <c r="C57" s="67" t="s">
        <v>119</v>
      </c>
      <c r="D57" s="67" t="s">
        <v>120</v>
      </c>
      <c r="E57" s="67" t="s">
        <v>115</v>
      </c>
      <c r="F57" s="4" t="s">
        <v>121</v>
      </c>
    </row>
    <row r="58" spans="2:6" x14ac:dyDescent="0.35">
      <c r="B58" s="75"/>
      <c r="C58" s="69"/>
      <c r="D58" s="69"/>
      <c r="E58" s="69"/>
      <c r="F58" s="4" t="s">
        <v>122</v>
      </c>
    </row>
    <row r="59" spans="2:6" x14ac:dyDescent="0.35">
      <c r="B59" s="75" t="s">
        <v>160</v>
      </c>
      <c r="C59" s="10" t="s">
        <v>126</v>
      </c>
      <c r="D59" s="4" t="s">
        <v>127</v>
      </c>
      <c r="E59" s="4" t="s">
        <v>115</v>
      </c>
      <c r="F59" s="4" t="s">
        <v>128</v>
      </c>
    </row>
    <row r="60" spans="2:6" x14ac:dyDescent="0.35">
      <c r="B60" s="75"/>
      <c r="C60" s="10" t="s">
        <v>129</v>
      </c>
      <c r="D60" s="4" t="s">
        <v>130</v>
      </c>
      <c r="E60" s="4" t="s">
        <v>115</v>
      </c>
      <c r="F60" s="4" t="s">
        <v>131</v>
      </c>
    </row>
  </sheetData>
  <mergeCells count="58">
    <mergeCell ref="C57:C58"/>
    <mergeCell ref="D57:D58"/>
    <mergeCell ref="E57:E58"/>
    <mergeCell ref="E36:E39"/>
    <mergeCell ref="E44:E46"/>
    <mergeCell ref="E40:E41"/>
    <mergeCell ref="E42:E43"/>
    <mergeCell ref="D42:D43"/>
    <mergeCell ref="C42:C43"/>
    <mergeCell ref="E55:E56"/>
    <mergeCell ref="D13:D14"/>
    <mergeCell ref="C19:C22"/>
    <mergeCell ref="D19:D22"/>
    <mergeCell ref="B52:B58"/>
    <mergeCell ref="B59:B60"/>
    <mergeCell ref="C36:C39"/>
    <mergeCell ref="D36:D39"/>
    <mergeCell ref="C55:C56"/>
    <mergeCell ref="D55:D56"/>
    <mergeCell ref="C44:C46"/>
    <mergeCell ref="C47:C48"/>
    <mergeCell ref="D47:D48"/>
    <mergeCell ref="B36:B39"/>
    <mergeCell ref="B40:B43"/>
    <mergeCell ref="C40:C41"/>
    <mergeCell ref="D40:D41"/>
    <mergeCell ref="B2:B7"/>
    <mergeCell ref="B8:B14"/>
    <mergeCell ref="B15:B23"/>
    <mergeCell ref="B24:B26"/>
    <mergeCell ref="E19:E22"/>
    <mergeCell ref="E13:E14"/>
    <mergeCell ref="D15:D17"/>
    <mergeCell ref="E15:E17"/>
    <mergeCell ref="C8:C10"/>
    <mergeCell ref="D8:D10"/>
    <mergeCell ref="E8:E10"/>
    <mergeCell ref="C4:C7"/>
    <mergeCell ref="D4:D7"/>
    <mergeCell ref="E4:E7"/>
    <mergeCell ref="C15:C17"/>
    <mergeCell ref="C13:C14"/>
    <mergeCell ref="F47:F48"/>
    <mergeCell ref="D44:D46"/>
    <mergeCell ref="B44:B49"/>
    <mergeCell ref="B27:B30"/>
    <mergeCell ref="B31:B35"/>
    <mergeCell ref="E31:E32"/>
    <mergeCell ref="E33:E35"/>
    <mergeCell ref="D33:D35"/>
    <mergeCell ref="C27:C28"/>
    <mergeCell ref="D27:D28"/>
    <mergeCell ref="E27:E28"/>
    <mergeCell ref="C29:C30"/>
    <mergeCell ref="E29:E30"/>
    <mergeCell ref="D29:D30"/>
    <mergeCell ref="D31:D32"/>
    <mergeCell ref="C33:C35"/>
  </mergeCells>
  <hyperlinks>
    <hyperlink ref="F33" r:id="rId1" xr:uid="{CF22551E-CD5C-4EC8-BA69-092D8ABCE1A8}"/>
    <hyperlink ref="B2:B7" r:id="rId2" display="Link" xr:uid="{310D811D-B360-4710-82AD-6F18DF840A41}"/>
    <hyperlink ref="B8:B14" r:id="rId3" display="Link" xr:uid="{11442B12-3412-42A8-A1C4-C7F64C7B01AD}"/>
    <hyperlink ref="B15:B23" r:id="rId4" display="Link" xr:uid="{2687DEEE-12A2-42E4-BB1A-FB00D696DA38}"/>
    <hyperlink ref="B24:B26" r:id="rId5" display="Link" xr:uid="{3E2D7938-8C15-4162-8C62-7D95ECFB2233}"/>
    <hyperlink ref="B52:B57" r:id="rId6" display="Link" xr:uid="{B2838564-936D-4A43-951F-99A111CEFA32}"/>
    <hyperlink ref="B59:B60" r:id="rId7" display="Link" xr:uid="{4AF0311A-BA01-42A8-8583-42E509FC3BDE}"/>
    <hyperlink ref="B36:B39" r:id="rId8" display="Link" xr:uid="{D845EA2E-9E1D-41D8-BD33-63DEDD032716}"/>
    <hyperlink ref="B40:B43" r:id="rId9" display="Link" xr:uid="{F1662788-8026-4DC4-97FF-9F38AEE53FD4}"/>
    <hyperlink ref="B44:B49" r:id="rId10" display="Link" xr:uid="{BEDEF95C-02BA-45E3-9664-41FF2DC10025}"/>
    <hyperlink ref="B31:B35" r:id="rId11" display="Link" xr:uid="{B7DD5660-BF5E-43FC-86B2-2F1717C6607C}"/>
  </hyperlinks>
  <pageMargins left="0.7" right="0.7" top="0.75" bottom="0.75" header="0.3" footer="0.3"/>
  <pageSetup paperSize="9" orientation="portrait" horizontalDpi="300" verticalDpi="300" r:id="rId1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4A3F6-05EE-472B-BC07-476444B58532}">
  <sheetPr codeName="Sheet12"/>
  <dimension ref="B2:K25"/>
  <sheetViews>
    <sheetView showGridLines="0" zoomScale="80" zoomScaleNormal="80" workbookViewId="0">
      <selection activeCell="E31" sqref="E31:E32"/>
    </sheetView>
  </sheetViews>
  <sheetFormatPr defaultRowHeight="14.5" x14ac:dyDescent="0.35"/>
  <cols>
    <col min="2" max="3" width="22.81640625" bestFit="1" customWidth="1"/>
    <col min="4" max="4" width="14.6328125" bestFit="1" customWidth="1"/>
    <col min="5" max="5" width="22.81640625" bestFit="1" customWidth="1"/>
    <col min="6" max="6" width="22.36328125" bestFit="1" customWidth="1"/>
    <col min="7" max="7" width="14.90625" bestFit="1" customWidth="1"/>
    <col min="8" max="8" width="5.90625" bestFit="1" customWidth="1"/>
  </cols>
  <sheetData>
    <row r="2" spans="2:11" x14ac:dyDescent="0.35">
      <c r="B2" t="s">
        <v>11</v>
      </c>
      <c r="C2" s="1" t="s">
        <v>57</v>
      </c>
      <c r="D2" t="s">
        <v>58</v>
      </c>
      <c r="E2" t="s">
        <v>78</v>
      </c>
      <c r="F2" t="s">
        <v>81</v>
      </c>
      <c r="G2" t="s">
        <v>191</v>
      </c>
      <c r="K2" t="s">
        <v>124</v>
      </c>
    </row>
    <row r="3" spans="2:11" x14ac:dyDescent="0.35">
      <c r="B3" t="s">
        <v>12</v>
      </c>
      <c r="C3" s="1" t="s">
        <v>57</v>
      </c>
      <c r="K3" t="s">
        <v>154</v>
      </c>
    </row>
    <row r="4" spans="2:11" x14ac:dyDescent="0.35">
      <c r="B4" t="s">
        <v>13</v>
      </c>
      <c r="C4" s="1"/>
      <c r="K4" t="s">
        <v>158</v>
      </c>
    </row>
    <row r="5" spans="2:11" x14ac:dyDescent="0.35">
      <c r="B5" t="s">
        <v>14</v>
      </c>
      <c r="K5" t="s">
        <v>159</v>
      </c>
    </row>
    <row r="6" spans="2:11" x14ac:dyDescent="0.35">
      <c r="B6" t="s">
        <v>15</v>
      </c>
      <c r="C6" t="s">
        <v>62</v>
      </c>
      <c r="D6" t="s">
        <v>102</v>
      </c>
      <c r="E6" t="s">
        <v>106</v>
      </c>
      <c r="F6" t="s">
        <v>110</v>
      </c>
      <c r="G6" t="s">
        <v>113</v>
      </c>
      <c r="H6" t="s">
        <v>119</v>
      </c>
    </row>
    <row r="7" spans="2:11" x14ac:dyDescent="0.35">
      <c r="B7" t="s">
        <v>118</v>
      </c>
      <c r="C7" t="s">
        <v>102</v>
      </c>
      <c r="D7" t="s">
        <v>106</v>
      </c>
      <c r="E7" t="s">
        <v>110</v>
      </c>
      <c r="F7" t="s">
        <v>113</v>
      </c>
      <c r="G7" t="s">
        <v>119</v>
      </c>
    </row>
    <row r="8" spans="2:11" x14ac:dyDescent="0.35">
      <c r="B8" t="s">
        <v>17</v>
      </c>
      <c r="C8" t="s">
        <v>58</v>
      </c>
      <c r="D8" t="s">
        <v>59</v>
      </c>
      <c r="E8" t="s">
        <v>60</v>
      </c>
    </row>
    <row r="9" spans="2:11" x14ac:dyDescent="0.35">
      <c r="B9" t="s">
        <v>19</v>
      </c>
      <c r="C9" t="s">
        <v>58</v>
      </c>
      <c r="D9" t="s">
        <v>59</v>
      </c>
      <c r="E9" t="s">
        <v>60</v>
      </c>
      <c r="F9" t="s">
        <v>61</v>
      </c>
    </row>
    <row r="10" spans="2:11" x14ac:dyDescent="0.35">
      <c r="B10" t="s">
        <v>27</v>
      </c>
      <c r="C10" t="s">
        <v>61</v>
      </c>
    </row>
    <row r="11" spans="2:11" x14ac:dyDescent="0.35">
      <c r="B11" t="s">
        <v>28</v>
      </c>
      <c r="C11" t="s">
        <v>62</v>
      </c>
      <c r="D11" t="s">
        <v>63</v>
      </c>
    </row>
    <row r="12" spans="2:11" x14ac:dyDescent="0.35">
      <c r="B12" t="s">
        <v>34</v>
      </c>
      <c r="C12" t="s">
        <v>62</v>
      </c>
      <c r="D12" t="s">
        <v>63</v>
      </c>
      <c r="E12" t="s">
        <v>41</v>
      </c>
    </row>
    <row r="13" spans="2:11" x14ac:dyDescent="0.35">
      <c r="B13" t="s">
        <v>37</v>
      </c>
      <c r="C13" t="s">
        <v>41</v>
      </c>
    </row>
    <row r="14" spans="2:11" x14ac:dyDescent="0.35">
      <c r="B14" t="s">
        <v>44</v>
      </c>
      <c r="C14" t="s">
        <v>45</v>
      </c>
      <c r="D14" t="s">
        <v>85</v>
      </c>
      <c r="E14" t="s">
        <v>86</v>
      </c>
    </row>
    <row r="15" spans="2:11" x14ac:dyDescent="0.35">
      <c r="B15" t="s">
        <v>48</v>
      </c>
      <c r="C15" t="s">
        <v>47</v>
      </c>
      <c r="D15" t="s">
        <v>64</v>
      </c>
    </row>
    <row r="16" spans="2:11" x14ac:dyDescent="0.35">
      <c r="B16" t="s">
        <v>49</v>
      </c>
      <c r="C16" t="s">
        <v>47</v>
      </c>
      <c r="D16" t="s">
        <v>64</v>
      </c>
    </row>
    <row r="17" spans="2:5" x14ac:dyDescent="0.35">
      <c r="B17" t="s">
        <v>71</v>
      </c>
      <c r="C17" t="s">
        <v>72</v>
      </c>
      <c r="D17" t="s">
        <v>73</v>
      </c>
      <c r="E17" t="s">
        <v>75</v>
      </c>
    </row>
    <row r="18" spans="2:5" x14ac:dyDescent="0.35">
      <c r="B18" t="s">
        <v>74</v>
      </c>
      <c r="C18" t="s">
        <v>72</v>
      </c>
      <c r="D18" t="s">
        <v>73</v>
      </c>
      <c r="E18" t="s">
        <v>75</v>
      </c>
    </row>
    <row r="19" spans="2:5" x14ac:dyDescent="0.35">
      <c r="B19" t="s">
        <v>84</v>
      </c>
      <c r="C19" t="s">
        <v>85</v>
      </c>
      <c r="D19" t="s">
        <v>86</v>
      </c>
    </row>
    <row r="20" spans="2:5" x14ac:dyDescent="0.35">
      <c r="B20" t="s">
        <v>89</v>
      </c>
    </row>
    <row r="21" spans="2:5" x14ac:dyDescent="0.35">
      <c r="B21" t="s">
        <v>88</v>
      </c>
      <c r="C21" t="s">
        <v>90</v>
      </c>
      <c r="D21" t="s">
        <v>91</v>
      </c>
      <c r="E21" t="s">
        <v>189</v>
      </c>
    </row>
    <row r="22" spans="2:5" x14ac:dyDescent="0.35">
      <c r="B22" t="s">
        <v>123</v>
      </c>
      <c r="C22" t="s">
        <v>125</v>
      </c>
    </row>
    <row r="23" spans="2:5" x14ac:dyDescent="0.35">
      <c r="B23" t="s">
        <v>195</v>
      </c>
      <c r="C23" s="55" t="s">
        <v>189</v>
      </c>
      <c r="D23" s="55" t="s">
        <v>196</v>
      </c>
    </row>
    <row r="24" spans="2:5" x14ac:dyDescent="0.35">
      <c r="B24" t="s">
        <v>199</v>
      </c>
      <c r="C24" s="55" t="s">
        <v>189</v>
      </c>
      <c r="D24" s="55" t="s">
        <v>196</v>
      </c>
    </row>
    <row r="25" spans="2:5" x14ac:dyDescent="0.35">
      <c r="B25" t="s">
        <v>200</v>
      </c>
      <c r="C25" s="55" t="s">
        <v>201</v>
      </c>
      <c r="D25" s="55" t="s">
        <v>206</v>
      </c>
      <c r="E25" s="55" t="s">
        <v>211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27F8B2-903F-4FF2-84D0-30EA51216324}">
  <sheetPr codeName="Sheet13"/>
  <dimension ref="B2:I4"/>
  <sheetViews>
    <sheetView showGridLines="0" workbookViewId="0">
      <selection activeCell="I17" sqref="I17"/>
    </sheetView>
  </sheetViews>
  <sheetFormatPr defaultRowHeight="14.5" x14ac:dyDescent="0.35"/>
  <sheetData>
    <row r="2" spans="2:9" x14ac:dyDescent="0.35">
      <c r="B2" t="s">
        <v>87</v>
      </c>
      <c r="F2" t="s">
        <v>219</v>
      </c>
      <c r="I2" t="s">
        <v>282</v>
      </c>
    </row>
    <row r="3" spans="2:9" x14ac:dyDescent="0.35">
      <c r="B3" t="s">
        <v>88</v>
      </c>
    </row>
    <row r="4" spans="2:9" x14ac:dyDescent="0.35">
      <c r="B4" t="s">
        <v>11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0238261E73C88439BB98AF91E7C8BB9" ma:contentTypeVersion="12" ma:contentTypeDescription="Create a new document." ma:contentTypeScope="" ma:versionID="ce24275585ad6faa1994631f599f0ad0">
  <xsd:schema xmlns:xsd="http://www.w3.org/2001/XMLSchema" xmlns:xs="http://www.w3.org/2001/XMLSchema" xmlns:p="http://schemas.microsoft.com/office/2006/metadata/properties" xmlns:ns2="df96cac6-5edc-4d96-a14f-21dec8cebb64" xmlns:ns3="e6f9aa0a-a4db-4c69-b1fa-f7c559ce6762" targetNamespace="http://schemas.microsoft.com/office/2006/metadata/properties" ma:root="true" ma:fieldsID="e48c4e51891a7ad7a9848e84a11e2199" ns2:_="" ns3:_="">
    <xsd:import namespace="df96cac6-5edc-4d96-a14f-21dec8cebb64"/>
    <xsd:import namespace="e6f9aa0a-a4db-4c69-b1fa-f7c559ce676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96cac6-5edc-4d96-a14f-21dec8cebb6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6f9aa0a-a4db-4c69-b1fa-f7c559ce6762"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50E41AA-4365-43C4-B608-C4B76F32E57E}"/>
</file>

<file path=customXml/itemProps2.xml><?xml version="1.0" encoding="utf-8"?>
<ds:datastoreItem xmlns:ds="http://schemas.openxmlformats.org/officeDocument/2006/customXml" ds:itemID="{2D6755D0-3038-4794-AF72-9264AED475B1}"/>
</file>

<file path=customXml/itemProps3.xml><?xml version="1.0" encoding="utf-8"?>
<ds:datastoreItem xmlns:ds="http://schemas.openxmlformats.org/officeDocument/2006/customXml" ds:itemID="{0562A076-8C80-4003-A81B-E106A8C36A5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BanksList</vt:lpstr>
      <vt:lpstr>SelectedBanks</vt:lpstr>
      <vt:lpstr>TravelTourismLogistics</vt:lpstr>
      <vt:lpstr>SelectedTTLs</vt:lpstr>
      <vt:lpstr>Bevrages</vt:lpstr>
      <vt:lpstr>SelectedBeverages</vt:lpstr>
      <vt:lpstr>ConsumerGoods</vt:lpstr>
      <vt:lpstr>SelectedConsumerGoods</vt:lpstr>
      <vt:lpstr>Engineering-Construction</vt:lpstr>
      <vt:lpstr>SelectedEConstruction</vt:lpstr>
      <vt:lpstr>BPOs</vt:lpstr>
      <vt:lpstr>SelectedBPOs</vt:lpstr>
      <vt:lpstr>TeleCommunication</vt:lpstr>
      <vt:lpstr>AutoMobiles</vt:lpstr>
      <vt:lpstr>Entertainment</vt:lpstr>
      <vt:lpstr>Consumer Goods</vt:lpstr>
      <vt:lpstr>Categories</vt:lpstr>
      <vt:lpstr>Taxonomy</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Sudhanshu Aggarwal</dc:creator>
  <cp:lastModifiedBy>Sudhanshu Aggarwal</cp:lastModifiedBy>
  <dcterms:created xsi:type="dcterms:W3CDTF">2020-04-13T14:36:56Z</dcterms:created>
  <dcterms:modified xsi:type="dcterms:W3CDTF">2020-04-20T04:58:13Z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0x01010080238261E73C88439BB98AF91E7C8BB9</vt:lpwstr>
  </property>
</Properties>
</file>