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cepalondon-my.sharepoint.com/personal/benjamin_osenius-eite_cepa_net_au/Documents/"/>
    </mc:Choice>
  </mc:AlternateContent>
  <xr:revisionPtr revIDLastSave="1879" documentId="11_F25DC773A252ABDACC104822A95F78605ADE58F6" xr6:coauthVersionLast="45" xr6:coauthVersionMax="45" xr10:uidLastSave="{B2CDFC0E-9D4A-4627-91BE-AAA2B3518F47}"/>
  <bookViews>
    <workbookView minimized="1" xWindow="360" yWindow="360" windowWidth="14400" windowHeight="7380" firstSheet="6" activeTab="6" xr2:uid="{00000000-000D-0000-FFFF-FFFF00000000}"/>
  </bookViews>
  <sheets>
    <sheet name="Notes" sheetId="1" r:id="rId1"/>
    <sheet name="Diagrams" sheetId="12" r:id="rId2"/>
    <sheet name="ConsumerBills" sheetId="10" r:id="rId3"/>
    <sheet name="GDP growth" sheetId="2" r:id="rId4"/>
    <sheet name="Environmental" sheetId="3" r:id="rId5"/>
    <sheet name="Nuclear" sheetId="4" r:id="rId6"/>
    <sheet name="Generation Capacity" sheetId="5" r:id="rId7"/>
    <sheet name="Generation Capacity2" sheetId="13" r:id="rId8"/>
    <sheet name="CO2" sheetId="6" r:id="rId9"/>
    <sheet name="Investment" sheetId="7" r:id="rId10"/>
    <sheet name="ElecDemand" sheetId="11" r:id="rId11"/>
    <sheet name="Gas Demand+Import" sheetId="8" r:id="rId12"/>
    <sheet name="Commodity prices" sheetId="9" r:id="rId13"/>
  </sheets>
  <calcPr calcId="191029" calcCompleted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12" l="1"/>
  <c r="E27" i="12"/>
  <c r="E26" i="12"/>
  <c r="E25" i="12"/>
  <c r="E24" i="12"/>
  <c r="B40" i="5"/>
  <c r="F49" i="5"/>
  <c r="C55" i="5"/>
  <c r="D55" i="5"/>
  <c r="E44" i="5"/>
  <c r="E51" i="5"/>
  <c r="E55" i="5"/>
  <c r="F44" i="5"/>
  <c r="F55" i="5"/>
  <c r="C56" i="5"/>
  <c r="D56" i="5"/>
  <c r="E56" i="5"/>
  <c r="F56" i="5"/>
  <c r="C57" i="5"/>
  <c r="D57" i="5"/>
  <c r="E57" i="5"/>
  <c r="F57" i="5"/>
  <c r="C58" i="5"/>
  <c r="D58" i="5"/>
  <c r="E58" i="5"/>
  <c r="F58" i="5"/>
  <c r="C59" i="5"/>
  <c r="D59" i="5"/>
  <c r="E59" i="5"/>
  <c r="F59" i="5"/>
  <c r="C60" i="5"/>
  <c r="D60" i="5"/>
  <c r="E60" i="5"/>
  <c r="F60" i="5"/>
  <c r="B56" i="5"/>
  <c r="B57" i="5"/>
  <c r="B58" i="5"/>
  <c r="B59" i="5"/>
  <c r="B60" i="5"/>
  <c r="B55" i="5"/>
  <c r="C35" i="5"/>
  <c r="C44" i="5"/>
  <c r="C45" i="5"/>
  <c r="C46" i="5"/>
  <c r="C47" i="5"/>
  <c r="C48" i="5"/>
  <c r="C49" i="5"/>
  <c r="C51" i="5"/>
  <c r="D44" i="5"/>
  <c r="D45" i="5"/>
  <c r="D46" i="5"/>
  <c r="D47" i="5"/>
  <c r="D48" i="5"/>
  <c r="D49" i="5"/>
  <c r="D51" i="5"/>
  <c r="E45" i="5"/>
  <c r="E46" i="5"/>
  <c r="E47" i="5"/>
  <c r="E48" i="5"/>
  <c r="E49" i="5"/>
  <c r="F51" i="5"/>
  <c r="B49" i="5"/>
  <c r="B51" i="5"/>
  <c r="D11" i="13"/>
  <c r="D12" i="13"/>
  <c r="D13" i="13"/>
  <c r="E12" i="13"/>
  <c r="E13" i="13"/>
  <c r="F12" i="13"/>
  <c r="F13" i="13"/>
  <c r="G12" i="13"/>
  <c r="G13" i="13"/>
  <c r="H12" i="13"/>
  <c r="H13" i="13"/>
  <c r="I12" i="13"/>
  <c r="I13" i="13"/>
  <c r="J12" i="13"/>
  <c r="J13" i="13"/>
  <c r="K12" i="13"/>
  <c r="K13" i="13"/>
  <c r="L12" i="13"/>
  <c r="L13" i="13"/>
  <c r="M12" i="13"/>
  <c r="M13" i="13"/>
  <c r="N12" i="13"/>
  <c r="N13" i="13"/>
  <c r="O12" i="13"/>
  <c r="O13" i="13"/>
  <c r="P12" i="13"/>
  <c r="P13" i="13"/>
  <c r="Q12" i="13"/>
  <c r="Q13" i="13"/>
  <c r="R12" i="13"/>
  <c r="R13" i="13"/>
  <c r="S12" i="13"/>
  <c r="S13" i="13"/>
  <c r="T12" i="13"/>
  <c r="T13" i="13"/>
  <c r="U12" i="13"/>
  <c r="U13" i="13"/>
  <c r="B48" i="5"/>
  <c r="B47" i="5"/>
  <c r="B46" i="5"/>
  <c r="B45" i="5"/>
  <c r="B44" i="5"/>
  <c r="F48" i="5"/>
  <c r="F47" i="5"/>
  <c r="F46" i="5"/>
  <c r="F45" i="5"/>
  <c r="B35" i="5"/>
  <c r="S4" i="13"/>
  <c r="S5" i="13"/>
  <c r="S6" i="13"/>
  <c r="S7" i="13"/>
  <c r="S8" i="13"/>
  <c r="S9" i="13"/>
  <c r="S10" i="13"/>
  <c r="S11" i="13"/>
  <c r="N4" i="13"/>
  <c r="N5" i="13"/>
  <c r="N6" i="13"/>
  <c r="N7" i="13"/>
  <c r="N8" i="13"/>
  <c r="N9" i="13"/>
  <c r="N10" i="13"/>
  <c r="N11" i="13"/>
  <c r="I4" i="13"/>
  <c r="I5" i="13"/>
  <c r="I6" i="13"/>
  <c r="I7" i="13"/>
  <c r="I8" i="13"/>
  <c r="I9" i="13"/>
  <c r="I10" i="13"/>
  <c r="I11" i="13"/>
  <c r="S3" i="13"/>
  <c r="N3" i="13"/>
  <c r="I3" i="13"/>
  <c r="D4" i="13"/>
  <c r="D5" i="13"/>
  <c r="D6" i="13"/>
  <c r="D7" i="13"/>
  <c r="D8" i="13"/>
  <c r="D9" i="13"/>
  <c r="D10" i="13"/>
  <c r="C12" i="13"/>
  <c r="C13" i="13"/>
  <c r="D3" i="13"/>
  <c r="B12" i="13"/>
  <c r="B13" i="13"/>
  <c r="F5" i="11"/>
  <c r="F6" i="11"/>
  <c r="F7" i="11"/>
  <c r="F8" i="11"/>
  <c r="F9" i="11"/>
  <c r="F10" i="11"/>
  <c r="F11" i="11"/>
  <c r="F12" i="11"/>
  <c r="F4" i="11"/>
  <c r="B10" i="11"/>
  <c r="B11" i="11"/>
  <c r="C10" i="11"/>
  <c r="C11" i="11"/>
  <c r="D10" i="11"/>
  <c r="D11" i="11"/>
  <c r="E10" i="11"/>
  <c r="E11" i="11"/>
  <c r="B12" i="11"/>
  <c r="C12" i="11"/>
  <c r="D12" i="11"/>
  <c r="E12" i="11"/>
  <c r="B13" i="11"/>
  <c r="C13" i="11"/>
  <c r="D13" i="11"/>
  <c r="E13" i="11"/>
  <c r="E5" i="11"/>
  <c r="E6" i="11"/>
  <c r="E7" i="11"/>
  <c r="E8" i="11"/>
  <c r="D5" i="11"/>
  <c r="D6" i="11"/>
  <c r="D7" i="11"/>
  <c r="D8" i="11"/>
  <c r="C5" i="11"/>
  <c r="C6" i="11"/>
  <c r="C7" i="11"/>
  <c r="C8" i="11"/>
  <c r="B5" i="11"/>
  <c r="B6" i="11"/>
  <c r="B7" i="11"/>
  <c r="B8" i="11"/>
  <c r="C40" i="5"/>
  <c r="C39" i="5"/>
  <c r="C38" i="5"/>
  <c r="C37" i="5"/>
  <c r="C36" i="5"/>
  <c r="B39" i="5"/>
  <c r="B38" i="5"/>
  <c r="B37" i="5"/>
  <c r="B36" i="5"/>
  <c r="H21" i="5"/>
  <c r="H28" i="5"/>
  <c r="H27" i="5"/>
  <c r="H23" i="5"/>
  <c r="H22" i="5"/>
  <c r="C12" i="5"/>
  <c r="C13" i="5"/>
  <c r="D12" i="5"/>
  <c r="D13" i="5"/>
  <c r="E12" i="5"/>
  <c r="E13" i="5"/>
  <c r="F12" i="5"/>
  <c r="F13" i="5"/>
  <c r="G12" i="5"/>
  <c r="G13" i="5"/>
  <c r="H12" i="5"/>
  <c r="H13" i="5"/>
  <c r="I12" i="5"/>
  <c r="I13" i="5"/>
  <c r="J12" i="5"/>
  <c r="J13" i="5"/>
  <c r="K12" i="5"/>
  <c r="K13" i="5"/>
  <c r="L12" i="5"/>
  <c r="L13" i="5"/>
  <c r="M12" i="5"/>
  <c r="M13" i="5"/>
  <c r="N12" i="5"/>
  <c r="N13" i="5"/>
  <c r="O12" i="5"/>
  <c r="O13" i="5"/>
  <c r="P12" i="5"/>
  <c r="P13" i="5"/>
  <c r="Q12" i="5"/>
  <c r="Q13" i="5"/>
  <c r="B12" i="5"/>
  <c r="B13" i="5"/>
  <c r="C32" i="5"/>
  <c r="O9" i="10"/>
  <c r="O10" i="10"/>
  <c r="O11" i="10"/>
  <c r="O12" i="10"/>
  <c r="O13" i="10"/>
  <c r="O14" i="10"/>
  <c r="O15" i="10"/>
  <c r="O16" i="10"/>
  <c r="O17" i="10"/>
  <c r="O8" i="10"/>
  <c r="L8" i="10"/>
  <c r="M8" i="10"/>
  <c r="N8" i="10"/>
  <c r="L9" i="10"/>
  <c r="M9" i="10"/>
  <c r="N9" i="10"/>
  <c r="L10" i="10"/>
  <c r="M10" i="10"/>
  <c r="N10" i="10"/>
  <c r="L11" i="10"/>
  <c r="M11" i="10"/>
  <c r="N11" i="10"/>
  <c r="L12" i="10"/>
  <c r="M12" i="10"/>
  <c r="N12" i="10"/>
  <c r="L13" i="10"/>
  <c r="M13" i="10"/>
  <c r="N13" i="10"/>
  <c r="L14" i="10"/>
  <c r="M14" i="10"/>
  <c r="N14" i="10"/>
  <c r="L15" i="10"/>
  <c r="M15" i="10"/>
  <c r="N15" i="10"/>
  <c r="L16" i="10"/>
  <c r="M16" i="10"/>
  <c r="N16" i="10"/>
  <c r="L17" i="10"/>
  <c r="M17" i="10"/>
  <c r="N17" i="10"/>
  <c r="B9" i="10"/>
  <c r="K9" i="10"/>
  <c r="B10" i="10"/>
  <c r="K10" i="10"/>
  <c r="B11" i="10"/>
  <c r="K11" i="10"/>
  <c r="B12" i="10"/>
  <c r="K12" i="10"/>
  <c r="K13" i="10"/>
  <c r="B14" i="10"/>
  <c r="K14" i="10"/>
  <c r="B15" i="10"/>
  <c r="K15" i="10"/>
  <c r="B16" i="10"/>
  <c r="K16" i="10"/>
  <c r="B17" i="10"/>
  <c r="K17" i="10"/>
  <c r="K8" i="10"/>
  <c r="D37" i="10"/>
  <c r="B29" i="10"/>
  <c r="B30" i="10"/>
  <c r="B31" i="10"/>
  <c r="B32" i="10"/>
  <c r="C29" i="10"/>
  <c r="C30" i="10"/>
  <c r="C31" i="10"/>
  <c r="C32" i="10"/>
  <c r="D29" i="10"/>
  <c r="D30" i="10"/>
  <c r="D31" i="10"/>
  <c r="D32" i="10"/>
  <c r="E29" i="10"/>
  <c r="E30" i="10"/>
  <c r="E31" i="10"/>
  <c r="E32" i="10"/>
  <c r="B24" i="10"/>
  <c r="B25" i="10"/>
  <c r="C24" i="10"/>
  <c r="C25" i="10"/>
  <c r="D24" i="10"/>
  <c r="D25" i="10"/>
  <c r="E24" i="10"/>
  <c r="E25" i="10"/>
  <c r="B26" i="10"/>
  <c r="C26" i="10"/>
  <c r="D26" i="10"/>
  <c r="E26" i="10"/>
  <c r="B27" i="10"/>
  <c r="C27" i="10"/>
  <c r="D27" i="10"/>
  <c r="E27" i="10"/>
  <c r="C14" i="10"/>
  <c r="C15" i="10"/>
  <c r="D14" i="10"/>
  <c r="D15" i="10"/>
  <c r="E14" i="10"/>
  <c r="E15" i="10"/>
  <c r="C16" i="10"/>
  <c r="D16" i="10"/>
  <c r="E16" i="10"/>
  <c r="C17" i="10"/>
  <c r="D17" i="10"/>
  <c r="E17" i="10"/>
  <c r="C9" i="10"/>
  <c r="C10" i="10"/>
  <c r="D9" i="10"/>
  <c r="D10" i="10"/>
  <c r="E9" i="10"/>
  <c r="E10" i="10"/>
  <c r="C11" i="10"/>
  <c r="D11" i="10"/>
  <c r="E11" i="10"/>
  <c r="C12" i="10"/>
  <c r="D12" i="10"/>
  <c r="E12" i="10"/>
  <c r="I62" i="7"/>
  <c r="B34" i="12"/>
  <c r="C34" i="12"/>
  <c r="D34" i="12"/>
  <c r="B35" i="12"/>
  <c r="C35" i="12"/>
  <c r="D35" i="12"/>
  <c r="B36" i="12"/>
  <c r="C36" i="12"/>
  <c r="D36" i="12"/>
  <c r="B37" i="12"/>
  <c r="C37" i="12"/>
  <c r="D37" i="12"/>
  <c r="D33" i="12"/>
  <c r="C33" i="12"/>
  <c r="B33" i="12"/>
  <c r="I70" i="7"/>
  <c r="B17" i="2"/>
  <c r="M63" i="7"/>
  <c r="M64" i="7"/>
  <c r="M65" i="7"/>
  <c r="M66" i="7"/>
  <c r="M67" i="7"/>
  <c r="M68" i="7"/>
  <c r="M69" i="7"/>
  <c r="M70" i="7"/>
  <c r="M62" i="7"/>
  <c r="D83" i="7"/>
  <c r="D84" i="7"/>
  <c r="D85" i="7"/>
  <c r="D86" i="7"/>
  <c r="D87" i="7"/>
  <c r="D88" i="7"/>
  <c r="D89" i="7"/>
  <c r="D90" i="7"/>
  <c r="D91" i="7"/>
  <c r="J62" i="7"/>
  <c r="K62" i="7"/>
  <c r="L62" i="7"/>
  <c r="J63" i="7"/>
  <c r="K63" i="7"/>
  <c r="L63" i="7"/>
  <c r="J64" i="7"/>
  <c r="K64" i="7"/>
  <c r="L64" i="7"/>
  <c r="J65" i="7"/>
  <c r="K65" i="7"/>
  <c r="L65" i="7"/>
  <c r="J66" i="7"/>
  <c r="K66" i="7"/>
  <c r="L66" i="7"/>
  <c r="J67" i="7"/>
  <c r="K67" i="7"/>
  <c r="L67" i="7"/>
  <c r="J68" i="7"/>
  <c r="K68" i="7"/>
  <c r="L68" i="7"/>
  <c r="J69" i="7"/>
  <c r="K69" i="7"/>
  <c r="L69" i="7"/>
  <c r="J70" i="7"/>
  <c r="K70" i="7"/>
  <c r="L70" i="7"/>
  <c r="I63" i="7"/>
  <c r="I64" i="7"/>
  <c r="I65" i="7"/>
  <c r="I66" i="7"/>
  <c r="I67" i="7"/>
  <c r="I68" i="7"/>
  <c r="I69" i="7"/>
  <c r="E68" i="7"/>
  <c r="E69" i="7"/>
  <c r="E70" i="7"/>
  <c r="E71" i="7"/>
  <c r="D68" i="7"/>
  <c r="D69" i="7"/>
  <c r="D70" i="7"/>
  <c r="D71" i="7"/>
  <c r="C68" i="7"/>
  <c r="C69" i="7"/>
  <c r="C70" i="7"/>
  <c r="C71" i="7"/>
  <c r="B68" i="7"/>
  <c r="B69" i="7"/>
  <c r="B70" i="7"/>
  <c r="B71" i="7"/>
  <c r="E63" i="7"/>
  <c r="E64" i="7"/>
  <c r="E65" i="7"/>
  <c r="E66" i="7"/>
  <c r="D63" i="7"/>
  <c r="D64" i="7"/>
  <c r="D65" i="7"/>
  <c r="D66" i="7"/>
  <c r="C63" i="7"/>
  <c r="C64" i="7"/>
  <c r="C65" i="7"/>
  <c r="C66" i="7"/>
  <c r="B63" i="7"/>
  <c r="B64" i="7"/>
  <c r="B65" i="7"/>
  <c r="B66" i="7"/>
  <c r="O13" i="4"/>
  <c r="O14" i="4"/>
  <c r="O15" i="4"/>
  <c r="O16" i="4"/>
  <c r="O17" i="4"/>
  <c r="O18" i="4"/>
  <c r="O19" i="4"/>
  <c r="O20" i="4"/>
  <c r="O21" i="4"/>
  <c r="O22" i="4"/>
  <c r="O23" i="4"/>
  <c r="O12" i="4"/>
  <c r="N13" i="4"/>
  <c r="N14" i="4"/>
  <c r="N15" i="4"/>
  <c r="N16" i="4"/>
  <c r="N17" i="4"/>
  <c r="N18" i="4"/>
  <c r="N19" i="4"/>
  <c r="N20" i="4"/>
  <c r="N21" i="4"/>
  <c r="N22" i="4"/>
  <c r="N23" i="4"/>
  <c r="N12" i="4"/>
  <c r="M13" i="4"/>
  <c r="M14" i="4"/>
  <c r="M15" i="4"/>
  <c r="M16" i="4"/>
  <c r="M17" i="4"/>
  <c r="M18" i="4"/>
  <c r="M19" i="4"/>
  <c r="M20" i="4"/>
  <c r="M21" i="4"/>
  <c r="M22" i="4"/>
  <c r="M23" i="4"/>
  <c r="M12" i="4"/>
  <c r="L13" i="4"/>
  <c r="L14" i="4"/>
  <c r="L15" i="4"/>
  <c r="L16" i="4"/>
  <c r="L17" i="4"/>
  <c r="L18" i="4"/>
  <c r="L19" i="4"/>
  <c r="L20" i="4"/>
  <c r="L21" i="4"/>
  <c r="L22" i="4"/>
  <c r="L23" i="4"/>
  <c r="L12" i="4"/>
  <c r="K12" i="4"/>
  <c r="K13" i="4"/>
  <c r="K14" i="4"/>
  <c r="K15" i="4"/>
  <c r="K16" i="4"/>
  <c r="K17" i="4"/>
  <c r="K18" i="4"/>
  <c r="K19" i="4"/>
  <c r="K20" i="4"/>
  <c r="K21" i="4"/>
  <c r="K22" i="4"/>
  <c r="K23" i="4"/>
  <c r="K15" i="8"/>
  <c r="K16" i="8"/>
  <c r="K17" i="8"/>
  <c r="K18" i="8"/>
  <c r="K19" i="8"/>
  <c r="K20" i="8"/>
  <c r="K21" i="8"/>
  <c r="K22" i="8"/>
  <c r="K14" i="8"/>
  <c r="F4" i="6"/>
  <c r="F5" i="6"/>
  <c r="F6" i="6"/>
  <c r="F7" i="6"/>
  <c r="F8" i="6"/>
  <c r="F9" i="6"/>
  <c r="F10" i="6"/>
  <c r="F11" i="6"/>
  <c r="F3" i="6"/>
  <c r="E9" i="6"/>
  <c r="E10" i="6"/>
  <c r="E11" i="6"/>
  <c r="E12" i="6"/>
  <c r="D9" i="6"/>
  <c r="D10" i="6"/>
  <c r="D11" i="6"/>
  <c r="D12" i="6"/>
  <c r="C9" i="6"/>
  <c r="C10" i="6"/>
  <c r="C11" i="6"/>
  <c r="C12" i="6"/>
  <c r="B12" i="6"/>
  <c r="B9" i="6"/>
  <c r="B10" i="6"/>
  <c r="B11" i="6"/>
  <c r="E4" i="6"/>
  <c r="E5" i="6"/>
  <c r="E6" i="6"/>
  <c r="E7" i="6"/>
  <c r="D4" i="6"/>
  <c r="D5" i="6"/>
  <c r="D6" i="6"/>
  <c r="D7" i="6"/>
  <c r="C4" i="6"/>
  <c r="C5" i="6"/>
  <c r="C6" i="6"/>
  <c r="C7" i="6"/>
  <c r="B4" i="6"/>
  <c r="B5" i="6"/>
  <c r="B6" i="6"/>
  <c r="B7" i="6"/>
  <c r="C31" i="8"/>
  <c r="C32" i="8"/>
  <c r="C33" i="8"/>
  <c r="C34" i="8"/>
  <c r="C35" i="8"/>
  <c r="C36" i="8"/>
  <c r="C37" i="8"/>
  <c r="C38" i="8"/>
  <c r="C30" i="8"/>
  <c r="C20" i="8"/>
  <c r="D20" i="8"/>
  <c r="E20" i="8"/>
  <c r="G24" i="8"/>
  <c r="G19" i="8"/>
  <c r="G20" i="8"/>
  <c r="H24" i="8"/>
  <c r="H19" i="8"/>
  <c r="H20" i="8"/>
  <c r="I24" i="8"/>
  <c r="I19" i="8"/>
  <c r="I20" i="8"/>
  <c r="J24" i="8"/>
  <c r="J19" i="8"/>
  <c r="J20" i="8"/>
  <c r="C21" i="8"/>
  <c r="D21" i="8"/>
  <c r="E21" i="8"/>
  <c r="G21" i="8"/>
  <c r="H21" i="8"/>
  <c r="I21" i="8"/>
  <c r="J21" i="8"/>
  <c r="C22" i="8"/>
  <c r="D22" i="8"/>
  <c r="E22" i="8"/>
  <c r="G22" i="8"/>
  <c r="H22" i="8"/>
  <c r="I22" i="8"/>
  <c r="J22" i="8"/>
  <c r="C23" i="8"/>
  <c r="D23" i="8"/>
  <c r="E23" i="8"/>
  <c r="G23" i="8"/>
  <c r="H23" i="8"/>
  <c r="I23" i="8"/>
  <c r="J23" i="8"/>
  <c r="B20" i="8"/>
  <c r="B21" i="8"/>
  <c r="B22" i="8"/>
  <c r="B23" i="8"/>
  <c r="J14" i="8"/>
  <c r="J15" i="8"/>
  <c r="D15" i="8"/>
  <c r="E15" i="8"/>
  <c r="G14" i="8"/>
  <c r="G15" i="8"/>
  <c r="H14" i="8"/>
  <c r="H15" i="8"/>
  <c r="I14" i="8"/>
  <c r="I15" i="8"/>
  <c r="D16" i="8"/>
  <c r="E16" i="8"/>
  <c r="G16" i="8"/>
  <c r="H16" i="8"/>
  <c r="I16" i="8"/>
  <c r="J16" i="8"/>
  <c r="D17" i="8"/>
  <c r="E17" i="8"/>
  <c r="G17" i="8"/>
  <c r="H17" i="8"/>
  <c r="I17" i="8"/>
  <c r="J17" i="8"/>
  <c r="D18" i="8"/>
  <c r="E18" i="8"/>
  <c r="G18" i="8"/>
  <c r="H18" i="8"/>
  <c r="I18" i="8"/>
  <c r="J18" i="8"/>
  <c r="C15" i="8"/>
  <c r="C16" i="8"/>
  <c r="C17" i="8"/>
  <c r="C18" i="8"/>
  <c r="B15" i="8"/>
  <c r="B16" i="8"/>
  <c r="B17" i="8"/>
  <c r="B18" i="8"/>
  <c r="G48" i="3"/>
  <c r="C48" i="3"/>
  <c r="D48" i="3"/>
  <c r="E48" i="3"/>
  <c r="B48" i="3"/>
  <c r="C3" i="12"/>
  <c r="B3" i="12"/>
  <c r="G31" i="3"/>
  <c r="E31" i="3"/>
  <c r="E32" i="3"/>
  <c r="E33" i="3"/>
  <c r="D31" i="3"/>
  <c r="D32" i="3"/>
  <c r="D33" i="3"/>
  <c r="C31" i="3"/>
  <c r="C32" i="3"/>
  <c r="C33" i="3"/>
  <c r="B31" i="3"/>
  <c r="B32" i="3"/>
  <c r="B33" i="3"/>
  <c r="E24" i="3"/>
  <c r="E25" i="3"/>
  <c r="E26" i="3"/>
  <c r="E27" i="3"/>
  <c r="E28" i="3"/>
  <c r="E29" i="3"/>
  <c r="D24" i="3"/>
  <c r="D25" i="3"/>
  <c r="D26" i="3"/>
  <c r="D27" i="3"/>
  <c r="D28" i="3"/>
  <c r="D29" i="3"/>
  <c r="C24" i="3"/>
  <c r="C25" i="3"/>
  <c r="C26" i="3"/>
  <c r="C27" i="3"/>
  <c r="C28" i="3"/>
  <c r="C29" i="3"/>
  <c r="B24" i="3"/>
  <c r="B25" i="3"/>
  <c r="B26" i="3"/>
  <c r="B27" i="3"/>
  <c r="B28" i="3"/>
  <c r="B29" i="3"/>
  <c r="E12" i="3"/>
  <c r="E13" i="3"/>
  <c r="E14" i="3"/>
  <c r="D12" i="3"/>
  <c r="D13" i="3"/>
  <c r="D14" i="3"/>
  <c r="C12" i="3"/>
  <c r="C13" i="3"/>
  <c r="C14" i="3"/>
  <c r="B13" i="3"/>
  <c r="B14" i="3"/>
  <c r="E5" i="3"/>
  <c r="E6" i="3"/>
  <c r="E7" i="3"/>
  <c r="E8" i="3"/>
  <c r="E9" i="3"/>
  <c r="E10" i="3"/>
  <c r="D5" i="3"/>
  <c r="D6" i="3"/>
  <c r="D7" i="3"/>
  <c r="D8" i="3"/>
  <c r="D9" i="3"/>
  <c r="D10" i="3"/>
  <c r="C5" i="3"/>
  <c r="C6" i="3"/>
  <c r="C7" i="3"/>
  <c r="C8" i="3"/>
  <c r="C9" i="3"/>
  <c r="C10" i="3"/>
  <c r="B12" i="3"/>
  <c r="B5" i="3"/>
  <c r="B6" i="3"/>
  <c r="B7" i="3"/>
  <c r="B8" i="3"/>
  <c r="B9" i="3"/>
  <c r="B10" i="3"/>
  <c r="G17" i="2"/>
  <c r="C17" i="2"/>
  <c r="D17" i="2"/>
  <c r="E17" i="2"/>
  <c r="B5" i="2"/>
  <c r="B6" i="2"/>
  <c r="C5" i="2"/>
  <c r="D5" i="2"/>
  <c r="E5" i="2"/>
  <c r="E7" i="2"/>
  <c r="E8" i="2"/>
  <c r="E9" i="2"/>
  <c r="B8" i="2"/>
  <c r="B9" i="2"/>
  <c r="B10" i="2"/>
  <c r="B11" i="2"/>
  <c r="D9" i="2"/>
  <c r="C9" i="2"/>
  <c r="A7" i="8"/>
  <c r="A5" i="8"/>
</calcChain>
</file>

<file path=xl/sharedStrings.xml><?xml version="1.0" encoding="utf-8"?>
<sst xmlns="http://schemas.openxmlformats.org/spreadsheetml/2006/main" count="343" uniqueCount="173">
  <si>
    <t>All monetary items in 2009 money.</t>
  </si>
  <si>
    <t>Year</t>
  </si>
  <si>
    <t>Scenario</t>
  </si>
  <si>
    <t>Note:</t>
  </si>
  <si>
    <t>Read off graph</t>
  </si>
  <si>
    <t>Slow growth</t>
  </si>
  <si>
    <t>Green Transition</t>
  </si>
  <si>
    <t>Dash for Energy</t>
  </si>
  <si>
    <t>Green Stimulus</t>
  </si>
  <si>
    <t>Proportion renewable electricity</t>
  </si>
  <si>
    <t>Proportion renewable heat</t>
  </si>
  <si>
    <t>Grean Transition</t>
  </si>
  <si>
    <t>Slow Growth</t>
  </si>
  <si>
    <t>MW</t>
  </si>
  <si>
    <t>CCGT</t>
  </si>
  <si>
    <t>Oil</t>
  </si>
  <si>
    <t>CHP</t>
  </si>
  <si>
    <t>Coal</t>
  </si>
  <si>
    <t>Nuclear</t>
  </si>
  <si>
    <t>Wind</t>
  </si>
  <si>
    <t>Other Renewables</t>
  </si>
  <si>
    <t>Pumped Storage</t>
  </si>
  <si>
    <t>Interconnectors</t>
  </si>
  <si>
    <t>$ in 2009</t>
  </si>
  <si>
    <t>$/bbl</t>
  </si>
  <si>
    <t>Gas</t>
  </si>
  <si>
    <t>Carbon</t>
  </si>
  <si>
    <t>$/t</t>
  </si>
  <si>
    <t>p/th</t>
  </si>
  <si>
    <t>Euro/t</t>
  </si>
  <si>
    <t>New nuclear</t>
  </si>
  <si>
    <t>Green transition</t>
  </si>
  <si>
    <t>2 * 1600 MW</t>
  </si>
  <si>
    <t>4 * 1600 MW</t>
  </si>
  <si>
    <t>1 * 1600 MW</t>
  </si>
  <si>
    <t>Assumed closures</t>
  </si>
  <si>
    <t>Dungeness B1</t>
  </si>
  <si>
    <t>Dungeness B2</t>
  </si>
  <si>
    <t>Hartlepool</t>
  </si>
  <si>
    <t>Heysham 1</t>
  </si>
  <si>
    <t>Heysham 2</t>
  </si>
  <si>
    <t>Hinkley Point</t>
  </si>
  <si>
    <t>Oldbury</t>
  </si>
  <si>
    <t>Sizewell B</t>
  </si>
  <si>
    <t>Wylfa</t>
  </si>
  <si>
    <t>Hunterston</t>
  </si>
  <si>
    <t>Torness</t>
  </si>
  <si>
    <t xml:space="preserve">For example,
by 2020 gas demand could be as low as 77 bcm/yr or as high as 113 bcm/yr </t>
  </si>
  <si>
    <t xml:space="preserve">Highest = Dash for energy </t>
  </si>
  <si>
    <t>Lowest = Green stimulus</t>
  </si>
  <si>
    <t>Annual gas demand</t>
  </si>
  <si>
    <t>bcm</t>
  </si>
  <si>
    <t>Imports</t>
  </si>
  <si>
    <t>Green stimulus</t>
  </si>
  <si>
    <t>https://www.ofgem.gov.uk/ofgem-publications/76390/ofgem-discovery-pr8-2pdf</t>
  </si>
  <si>
    <t>https://www.ofgem.gov.uk/sites/default/files/docs/2009/10/discovery_scenarios_condoc_final_0.pdf</t>
  </si>
  <si>
    <t>Gas bills</t>
  </si>
  <si>
    <t>Annual demand</t>
  </si>
  <si>
    <t>TWh</t>
  </si>
  <si>
    <t>Cumulative investment costs</t>
  </si>
  <si>
    <t>£bn</t>
  </si>
  <si>
    <t>Renewables</t>
  </si>
  <si>
    <t>CCS</t>
  </si>
  <si>
    <t>Transmission &amp; Distribution</t>
  </si>
  <si>
    <t>Energy Efficiency</t>
  </si>
  <si>
    <t>Renewable Heat</t>
  </si>
  <si>
    <t>LNG Terminals</t>
  </si>
  <si>
    <t>Gas storage</t>
  </si>
  <si>
    <t>SCR</t>
  </si>
  <si>
    <t>Smart meters</t>
  </si>
  <si>
    <t>Total</t>
  </si>
  <si>
    <t>Electricity bills</t>
  </si>
  <si>
    <t>Consumption at 3,300 KWh</t>
  </si>
  <si>
    <t>Assume reduced consumption in later years due to energy efficiency</t>
  </si>
  <si>
    <t>Excludes economy 7 customers</t>
  </si>
  <si>
    <t xml:space="preserve">£/Customer </t>
  </si>
  <si>
    <t>Power sector emissions</t>
  </si>
  <si>
    <t>mt CO2</t>
  </si>
  <si>
    <t>Capital costs</t>
  </si>
  <si>
    <t>Plant type</t>
  </si>
  <si>
    <t>Cost (£/kW)</t>
  </si>
  <si>
    <t>Clean Coal (ASC + CCS)</t>
  </si>
  <si>
    <t>Nuclear (new)</t>
  </si>
  <si>
    <t>Onshore wind</t>
  </si>
  <si>
    <t>Offshore wind</t>
  </si>
  <si>
    <t>Biomass regular</t>
  </si>
  <si>
    <t>Biomass energy crop</t>
  </si>
  <si>
    <t>Biomass CHP</t>
  </si>
  <si>
    <t>Wave</t>
  </si>
  <si>
    <t>Tidal Stream</t>
  </si>
  <si>
    <t>Tidal Range</t>
  </si>
  <si>
    <t>Biowaste</t>
  </si>
  <si>
    <t>Biogas</t>
  </si>
  <si>
    <t>OCGT</t>
  </si>
  <si>
    <t>Annul gas sector emissions</t>
  </si>
  <si>
    <t>Actual</t>
  </si>
  <si>
    <t>Average</t>
  </si>
  <si>
    <t>Data modified to fill in gaps, linear interpolation.</t>
  </si>
  <si>
    <t>GDP data from World Bank</t>
  </si>
  <si>
    <t>Linear interpolation used between years of forecast</t>
  </si>
  <si>
    <t>Actuals from: https://www.gov.uk/government/collections/digest-of-uk-energy-statistics-dukes#2019</t>
  </si>
  <si>
    <t>Using 'International Basis' for electricity</t>
  </si>
  <si>
    <t>Using 'RED basis' fr heat</t>
  </si>
  <si>
    <t>https://assets.publishing.service.gov.uk/government/uploads/system/uploads/attachment_data/file/577712/DUKES_2016_FINAL.pdf</t>
  </si>
  <si>
    <t>Economic growth</t>
  </si>
  <si>
    <t>Low</t>
  </si>
  <si>
    <t>Max</t>
  </si>
  <si>
    <t>Environmental action</t>
  </si>
  <si>
    <t>Electricity</t>
  </si>
  <si>
    <t>Heat</t>
  </si>
  <si>
    <t>Environmental action (average)</t>
  </si>
  <si>
    <t>Aggregate 2018 measure</t>
  </si>
  <si>
    <t>https://assets.publishing.service.gov.uk/government/uploads/system/uploads/attachment_data/file/857027/UK_Energy_in_Brief_2019.pdf</t>
  </si>
  <si>
    <t>Actual power sector emissions</t>
  </si>
  <si>
    <t>Million tonnes carbon dioxide equivalent</t>
  </si>
  <si>
    <t>Source: https://www.gov.uk/government/statistics/final-uk-greenhouse-gas-emissions-national-statistics-1990-to-2018</t>
  </si>
  <si>
    <t>Source: https://www.gov.uk/government/statistics/natural-gas-chapter-4-digest-of-united-kingdom-energy-statistics-dukes</t>
  </si>
  <si>
    <t>Actual (net imports of gas bcm)</t>
  </si>
  <si>
    <t>Actuals</t>
  </si>
  <si>
    <t>Estimated</t>
  </si>
  <si>
    <t>Not closed</t>
  </si>
  <si>
    <t>Hinkley Point C</t>
  </si>
  <si>
    <t>Number closed</t>
  </si>
  <si>
    <t>Closed</t>
  </si>
  <si>
    <t>Actual/Estimated</t>
  </si>
  <si>
    <t>Actuals:</t>
  </si>
  <si>
    <t>£ billion (current prices)</t>
  </si>
  <si>
    <t>Conversion factor to current prices</t>
  </si>
  <si>
    <t>https://www.bankofengland.co.uk/monetary-policy/inflation/inflation-calculator</t>
  </si>
  <si>
    <t>Cumulative</t>
  </si>
  <si>
    <t>Risk Profiles</t>
  </si>
  <si>
    <t>Investment required by 2020</t>
  </si>
  <si>
    <t>Annual gas imports in 2020</t>
  </si>
  <si>
    <t>Electricity sector CO2 emissions</t>
  </si>
  <si>
    <t>Indexed:</t>
  </si>
  <si>
    <t>Graph</t>
  </si>
  <si>
    <t>https://www.ovoenergy.com/guides/energy-guides/the-average-gas-bill-average-electricity-bill-compared.html#:~:text=In%202019%20the%20average%20combined,%E2%80%93%20a%20rise%20of%202.8%25.</t>
  </si>
  <si>
    <t>Data from: https://www.gov.uk/government/statistical-data-sets/annual-domestic-energy-price-statistics</t>
  </si>
  <si>
    <t xml:space="preserve">Note: </t>
  </si>
  <si>
    <t>3800 kWh/year</t>
  </si>
  <si>
    <t>Table 2.2.1</t>
  </si>
  <si>
    <r>
      <t>2014</t>
    </r>
    <r>
      <rPr>
        <vertAlign val="superscript"/>
        <sz val="9"/>
        <rFont val="Arial"/>
        <family val="2"/>
      </rPr>
      <t>(4)</t>
    </r>
  </si>
  <si>
    <r>
      <t>2015</t>
    </r>
    <r>
      <rPr>
        <vertAlign val="superscript"/>
        <sz val="9"/>
        <rFont val="Arial"/>
        <family val="2"/>
      </rPr>
      <t>(4)</t>
    </r>
  </si>
  <si>
    <t>Pounds (cash terms)</t>
  </si>
  <si>
    <t>(Converting down to 3,300)</t>
  </si>
  <si>
    <t>https://www.gov.uk/government/statistics/electricity-chapter-5-digest-of-united-kingdom-energy-statistics-dukes</t>
  </si>
  <si>
    <t>DUKES 5.7</t>
  </si>
  <si>
    <t xml:space="preserve">Of which: </t>
  </si>
  <si>
    <r>
      <t xml:space="preserve">     Conventional steam stations</t>
    </r>
    <r>
      <rPr>
        <i/>
        <sz val="8"/>
        <rFont val="Arial"/>
        <family val="2"/>
      </rPr>
      <t xml:space="preserve"> (3)</t>
    </r>
  </si>
  <si>
    <t xml:space="preserve">     Combined cycle gas turbine stations</t>
  </si>
  <si>
    <t xml:space="preserve">     Nuclear stations</t>
  </si>
  <si>
    <t xml:space="preserve">     Gas turbines and oil engines </t>
  </si>
  <si>
    <t xml:space="preserve">     Hydro-electric stations:</t>
  </si>
  <si>
    <r>
      <t xml:space="preserve">          Natural flow </t>
    </r>
    <r>
      <rPr>
        <i/>
        <sz val="8"/>
        <rFont val="Arial"/>
        <family val="2"/>
      </rPr>
      <t>(5)</t>
    </r>
  </si>
  <si>
    <t xml:space="preserve">          Pumped storage</t>
  </si>
  <si>
    <r>
      <t xml:space="preserve">     Wind </t>
    </r>
    <r>
      <rPr>
        <i/>
        <sz val="8"/>
        <rFont val="Arial"/>
        <family val="2"/>
      </rPr>
      <t>(5)</t>
    </r>
  </si>
  <si>
    <r>
      <t xml:space="preserve">     Solar </t>
    </r>
    <r>
      <rPr>
        <i/>
        <sz val="8"/>
        <rFont val="Arial"/>
        <family val="2"/>
      </rPr>
      <t>(5)</t>
    </r>
  </si>
  <si>
    <r>
      <t xml:space="preserve">     Renewables other than hydro, wind and solar </t>
    </r>
    <r>
      <rPr>
        <i/>
        <sz val="8"/>
        <rFont val="Arial"/>
        <family val="2"/>
      </rPr>
      <t>(7)</t>
    </r>
  </si>
  <si>
    <t>Total (minus interconnectors)</t>
  </si>
  <si>
    <t>Green Transition (2015)</t>
  </si>
  <si>
    <t>DUKES (2015)</t>
  </si>
  <si>
    <t>Conventional steam</t>
  </si>
  <si>
    <t>Other renewables</t>
  </si>
  <si>
    <t>Pumped storage</t>
  </si>
  <si>
    <t>2018 Snap shot</t>
  </si>
  <si>
    <t>DUKES 5.1.2</t>
  </si>
  <si>
    <t>Industrial</t>
  </si>
  <si>
    <t>Domestic</t>
  </si>
  <si>
    <t>Other</t>
  </si>
  <si>
    <t>Proportions of power</t>
  </si>
  <si>
    <t>Consumer electricity bills</t>
  </si>
  <si>
    <t xml:space="preserve">All in 2018 except consumer bills in 2019. </t>
  </si>
  <si>
    <t xml:space="preserve">Source: UK Energy in Brief.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</si>
</sst>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-* #,##0.00_-;\-* #,##0.00_-;_-* &quot;-&quot;??_-;_-@_-"/>
    <numFmt numFmtId="164" formatCode="0.0%"/>
    <numFmt numFmtId="165" formatCode="#,##0.0"/>
    <numFmt numFmtId="166" formatCode="_-&quot;£&quot;* #,##0.00_-;\-&quot;£&quot;* #,##0.00_-;_-&quot;£&quot;* &quot;-&quot;??_-;_-@_-"/>
    <numFmt numFmtId="167" formatCode="0;;;@"/>
    <numFmt numFmtId="168" formatCode="#,##0\ ;\-#,##0\ ;&quot;-&quot;\ "/>
    <numFmt numFmtId="169" formatCode="0.000"/>
    <numFmt numFmtId="170" formatCode="\+#,##0;\-#,##0"/>
    <numFmt numFmtId="171" formatCode="[$-F800]dddd\,\ mmmm\ dd\,\ yyyy"/>
    <numFmt numFmtId="172" formatCode="[$-809]dd\ mmmm\ yyyy;@"/>
    <numFmt numFmtId="173" formatCode="[&gt;0.5]#,##0;[&lt;-0.5]\-#,##0;\-"/>
    <numFmt numFmtId="174" formatCode="_-[$€-2]* #,##0.00_-;\-[$€-2]* #,##0.00_-;_-[$€-2]* &quot;-&quot;??_-"/>
    <numFmt numFmtId="175" formatCode="_-[$£-809]* #,##0.00_-;\-[$£-809]* #,##0.00_-;_-[$£-809]* &quot;-&quot;??_-;_-@_-"/>
    <numFmt numFmtId="176" formatCode="#,##0_);;&quot;- &quot;_);@_)\ "/>
    <numFmt numFmtId="177" formatCode="_(General"/>
    <numFmt numFmtId="178" formatCode="0\ "/>
    <numFmt numFmtId="179" formatCode="0\ \ \ "/>
    <numFmt numFmtId="180" formatCode="#,##0.00\ ;\-#,##0.00\ ;&quot;- &quot;"/>
    <numFmt numFmtId="181" formatCode="#,##0;\-#,##0;\-"/>
    <numFmt numFmtId="182" formatCode="#,##0\r;\-#,##0\r;\-\r"/>
    <numFmt numFmtId="183" formatCode="#,##0_ ;\-#,##0\ "/>
  </numFmts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u/>
      <sz val="10"/>
      <color indexed="12"/>
      <name val="MS Sans Serif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2"/>
      <color indexed="8"/>
      <name val="Arial"/>
      <family val="2"/>
    </font>
    <font>
      <sz val="12"/>
      <color indexed="9"/>
      <name val="Arial"/>
      <family val="2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b/>
      <sz val="12"/>
      <color indexed="9"/>
      <name val="Arial"/>
      <family val="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b/>
      <sz val="12"/>
      <color indexed="63"/>
      <name val="Arial"/>
      <family val="2"/>
    </font>
    <font>
      <b/>
      <sz val="18"/>
      <color indexed="56"/>
      <name val="Cambria"/>
      <family val="2"/>
    </font>
    <font>
      <b/>
      <sz val="12"/>
      <color indexed="8"/>
      <name val="Arial"/>
      <family val="2"/>
    </font>
    <font>
      <sz val="12"/>
      <color indexed="10"/>
      <name val="Arial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 Cyr"/>
      <charset val="204"/>
    </font>
    <font>
      <sz val="11"/>
      <color indexed="9"/>
      <name val="Calibri"/>
      <family val="2"/>
    </font>
    <font>
      <sz val="9"/>
      <name val="Times New Roman"/>
      <family val="1"/>
    </font>
    <font>
      <sz val="11"/>
      <color indexed="20"/>
      <name val="Calibri"/>
      <family val="2"/>
    </font>
    <font>
      <b/>
      <sz val="9"/>
      <name val="Times New Roma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7.5"/>
      <color indexed="12"/>
      <name val="Arial"/>
      <family val="2"/>
    </font>
    <font>
      <u/>
      <sz val="10"/>
      <color indexed="12"/>
      <name val="Tms Rmn"/>
    </font>
    <font>
      <u/>
      <sz val="10"/>
      <color indexed="12"/>
      <name val="Helvetica"/>
      <family val="2"/>
    </font>
    <font>
      <u/>
      <sz val="8.1999999999999993"/>
      <color indexed="12"/>
      <name val="Times New Roman"/>
      <family val="1"/>
    </font>
    <font>
      <u/>
      <sz val="7.5"/>
      <color indexed="12"/>
      <name val="Tms Rmn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Tms Rmn"/>
    </font>
    <font>
      <b/>
      <sz val="11"/>
      <color indexed="63"/>
      <name val="Calibri"/>
      <family val="2"/>
    </font>
    <font>
      <i/>
      <sz val="12"/>
      <name val="Times New Roman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rgb="FF9C0006"/>
      <name val="Arial"/>
      <family val="2"/>
    </font>
    <font>
      <sz val="10"/>
      <color theme="1"/>
      <name val="Arial"/>
      <family val="2"/>
    </font>
    <font>
      <sz val="10"/>
      <color rgb="FF006100"/>
      <name val="Arial"/>
      <family val="2"/>
    </font>
    <font>
      <u/>
      <sz val="10"/>
      <color theme="10"/>
      <name val="System"/>
      <family val="2"/>
    </font>
    <font>
      <u/>
      <sz val="10"/>
      <color theme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8.5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.5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68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4" fillId="0" borderId="0"/>
    <xf numFmtId="0" fontId="8" fillId="0" borderId="0"/>
    <xf numFmtId="40" fontId="9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72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172" fontId="9" fillId="0" borderId="0"/>
    <xf numFmtId="172" fontId="9" fillId="0" borderId="0"/>
    <xf numFmtId="172" fontId="9" fillId="0" borderId="0"/>
    <xf numFmtId="172" fontId="8" fillId="0" borderId="0"/>
    <xf numFmtId="0" fontId="1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0" fillId="0" borderId="0"/>
    <xf numFmtId="0" fontId="16" fillId="6" borderId="0" applyNumberFormat="0" applyBorder="0" applyAlignment="0" applyProtection="0"/>
    <xf numFmtId="0" fontId="35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35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35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35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35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35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35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35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35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35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35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35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0" borderId="0" applyNumberFormat="0" applyFont="0" applyFill="0" applyBorder="0" applyProtection="0">
      <alignment horizontal="left" vertical="center" indent="5"/>
    </xf>
    <xf numFmtId="0" fontId="17" fillId="16" borderId="0" applyNumberFormat="0" applyBorder="0" applyAlignment="0" applyProtection="0"/>
    <xf numFmtId="0" fontId="3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3" borderId="0" applyNumberFormat="0" applyBorder="0" applyAlignment="0" applyProtection="0"/>
    <xf numFmtId="0" fontId="3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3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3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3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7" borderId="0" applyNumberFormat="0" applyBorder="0" applyAlignment="0" applyProtection="0"/>
    <xf numFmtId="0" fontId="3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23" borderId="0" applyNumberFormat="0" applyBorder="0" applyAlignment="0" applyProtection="0"/>
    <xf numFmtId="0" fontId="37" fillId="23" borderId="0" applyNumberFormat="0" applyBorder="0" applyAlignment="0" applyProtection="0"/>
    <xf numFmtId="0" fontId="17" fillId="23" borderId="0" applyNumberFormat="0" applyBorder="0" applyAlignment="0" applyProtection="0"/>
    <xf numFmtId="4" fontId="38" fillId="24" borderId="7">
      <alignment horizontal="right" vertical="center"/>
    </xf>
    <xf numFmtId="0" fontId="18" fillId="7" borderId="0" applyNumberFormat="0" applyBorder="0" applyAlignment="0" applyProtection="0"/>
    <xf numFmtId="0" fontId="39" fillId="7" borderId="0" applyNumberFormat="0" applyBorder="0" applyAlignment="0" applyProtection="0"/>
    <xf numFmtId="0" fontId="18" fillId="7" borderId="0" applyNumberFormat="0" applyBorder="0" applyAlignment="0" applyProtection="0"/>
    <xf numFmtId="0" fontId="64" fillId="4" borderId="0" applyNumberFormat="0" applyBorder="0" applyAlignment="0" applyProtection="0"/>
    <xf numFmtId="4" fontId="40" fillId="0" borderId="4" applyFill="0" applyBorder="0" applyProtection="0">
      <alignment horizontal="right" vertical="center"/>
    </xf>
    <xf numFmtId="0" fontId="19" fillId="25" borderId="8" applyNumberFormat="0" applyAlignment="0" applyProtection="0"/>
    <xf numFmtId="0" fontId="41" fillId="25" borderId="8" applyNumberFormat="0" applyAlignment="0" applyProtection="0"/>
    <xf numFmtId="0" fontId="19" fillId="25" borderId="8" applyNumberFormat="0" applyAlignment="0" applyProtection="0"/>
    <xf numFmtId="0" fontId="20" fillId="26" borderId="9" applyNumberFormat="0" applyAlignment="0" applyProtection="0"/>
    <xf numFmtId="0" fontId="42" fillId="26" borderId="9" applyNumberFormat="0" applyAlignment="0" applyProtection="0"/>
    <xf numFmtId="0" fontId="20" fillId="26" borderId="9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10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8" borderId="0" applyNumberFormat="0" applyBorder="0" applyAlignment="0" applyProtection="0"/>
    <xf numFmtId="0" fontId="44" fillId="8" borderId="0" applyNumberFormat="0" applyBorder="0" applyAlignment="0" applyProtection="0"/>
    <xf numFmtId="0" fontId="22" fillId="8" borderId="0" applyNumberFormat="0" applyBorder="0" applyAlignment="0" applyProtection="0"/>
    <xf numFmtId="0" fontId="66" fillId="3" borderId="0" applyNumberFormat="0" applyBorder="0" applyAlignment="0" applyProtection="0"/>
    <xf numFmtId="173" fontId="15" fillId="0" borderId="0">
      <alignment horizontal="left" vertical="center"/>
    </xf>
    <xf numFmtId="0" fontId="23" fillId="0" borderId="10" applyNumberFormat="0" applyFill="0" applyAlignment="0" applyProtection="0"/>
    <xf numFmtId="0" fontId="45" fillId="0" borderId="10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46" fillId="0" borderId="11" applyNumberFormat="0" applyFill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47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3" fontId="15" fillId="0" borderId="0">
      <alignment horizontal="left" vertical="center"/>
    </xf>
    <xf numFmtId="173" fontId="15" fillId="0" borderId="0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26" fillId="11" borderId="8" applyNumberFormat="0" applyAlignment="0" applyProtection="0"/>
    <xf numFmtId="0" fontId="53" fillId="11" borderId="8" applyNumberFormat="0" applyAlignment="0" applyProtection="0"/>
    <xf numFmtId="0" fontId="26" fillId="11" borderId="8" applyNumberFormat="0" applyAlignment="0" applyProtection="0"/>
    <xf numFmtId="4" fontId="38" fillId="0" borderId="13">
      <alignment horizontal="right" vertical="center"/>
    </xf>
    <xf numFmtId="0" fontId="27" fillId="0" borderId="14" applyNumberFormat="0" applyFill="0" applyAlignment="0" applyProtection="0"/>
    <xf numFmtId="0" fontId="54" fillId="0" borderId="14" applyNumberFormat="0" applyFill="0" applyAlignment="0" applyProtection="0"/>
    <xf numFmtId="0" fontId="27" fillId="0" borderId="14" applyNumberFormat="0" applyFill="0" applyAlignment="0" applyProtection="0"/>
    <xf numFmtId="0" fontId="28" fillId="27" borderId="0" applyNumberFormat="0" applyBorder="0" applyAlignment="0" applyProtection="0"/>
    <xf numFmtId="0" fontId="55" fillId="27" borderId="0" applyNumberFormat="0" applyBorder="0" applyAlignment="0" applyProtection="0"/>
    <xf numFmtId="0" fontId="28" fillId="27" borderId="0" applyNumberFormat="0" applyBorder="0" applyAlignment="0" applyProtection="0"/>
    <xf numFmtId="0" fontId="4" fillId="0" borderId="0"/>
    <xf numFmtId="171" fontId="65" fillId="0" borderId="0"/>
    <xf numFmtId="171" fontId="65" fillId="0" borderId="0"/>
    <xf numFmtId="171" fontId="65" fillId="0" borderId="0"/>
    <xf numFmtId="171" fontId="65" fillId="0" borderId="0"/>
    <xf numFmtId="171" fontId="65" fillId="0" borderId="0"/>
    <xf numFmtId="171" fontId="65" fillId="0" borderId="0"/>
    <xf numFmtId="0" fontId="10" fillId="0" borderId="0"/>
    <xf numFmtId="0" fontId="10" fillId="0" borderId="0"/>
    <xf numFmtId="171" fontId="65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65" fillId="0" borderId="0"/>
    <xf numFmtId="171" fontId="65" fillId="0" borderId="0"/>
    <xf numFmtId="171" fontId="65" fillId="0" borderId="0"/>
    <xf numFmtId="171" fontId="65" fillId="0" borderId="0"/>
    <xf numFmtId="171" fontId="65" fillId="0" borderId="0"/>
    <xf numFmtId="171" fontId="65" fillId="0" borderId="0"/>
    <xf numFmtId="171" fontId="65" fillId="0" borderId="0"/>
    <xf numFmtId="171" fontId="65" fillId="0" borderId="0"/>
    <xf numFmtId="171" fontId="65" fillId="0" borderId="0"/>
    <xf numFmtId="171" fontId="65" fillId="0" borderId="0"/>
    <xf numFmtId="171" fontId="65" fillId="0" borderId="0"/>
    <xf numFmtId="0" fontId="65" fillId="0" borderId="0"/>
    <xf numFmtId="0" fontId="10" fillId="0" borderId="0"/>
    <xf numFmtId="0" fontId="10" fillId="0" borderId="0"/>
    <xf numFmtId="171" fontId="65" fillId="0" borderId="0"/>
    <xf numFmtId="171" fontId="65" fillId="0" borderId="0"/>
    <xf numFmtId="171" fontId="65" fillId="0" borderId="0"/>
    <xf numFmtId="171" fontId="65" fillId="0" borderId="0"/>
    <xf numFmtId="171" fontId="65" fillId="0" borderId="0"/>
    <xf numFmtId="171" fontId="65" fillId="0" borderId="0"/>
    <xf numFmtId="171" fontId="65" fillId="0" borderId="0"/>
    <xf numFmtId="171" fontId="65" fillId="0" borderId="0"/>
    <xf numFmtId="171" fontId="65" fillId="0" borderId="0"/>
    <xf numFmtId="171" fontId="65" fillId="0" borderId="0"/>
    <xf numFmtId="0" fontId="10" fillId="0" borderId="0"/>
    <xf numFmtId="0" fontId="34" fillId="0" borderId="0"/>
    <xf numFmtId="0" fontId="4" fillId="0" borderId="0"/>
    <xf numFmtId="171" fontId="65" fillId="0" borderId="0"/>
    <xf numFmtId="171" fontId="65" fillId="0" borderId="0"/>
    <xf numFmtId="0" fontId="5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5" fillId="0" borderId="0"/>
    <xf numFmtId="0" fontId="10" fillId="0" borderId="0"/>
    <xf numFmtId="0" fontId="14" fillId="0" borderId="0"/>
    <xf numFmtId="175" fontId="65" fillId="0" borderId="0"/>
    <xf numFmtId="0" fontId="5" fillId="0" borderId="0"/>
    <xf numFmtId="0" fontId="36" fillId="28" borderId="0" applyNumberFormat="0" applyFont="0" applyBorder="0" applyAlignment="0" applyProtection="0"/>
    <xf numFmtId="0" fontId="5" fillId="0" borderId="0"/>
    <xf numFmtId="0" fontId="5" fillId="29" borderId="15" applyNumberFormat="0" applyFont="0" applyAlignment="0" applyProtection="0"/>
    <xf numFmtId="0" fontId="56" fillId="29" borderId="15" applyNumberFormat="0" applyFont="0" applyAlignment="0" applyProtection="0"/>
    <xf numFmtId="0" fontId="5" fillId="29" borderId="15" applyNumberFormat="0" applyFont="0" applyAlignment="0" applyProtection="0"/>
    <xf numFmtId="0" fontId="29" fillId="25" borderId="16" applyNumberFormat="0" applyAlignment="0" applyProtection="0"/>
    <xf numFmtId="0" fontId="57" fillId="25" borderId="16" applyNumberFormat="0" applyAlignment="0" applyProtection="0"/>
    <xf numFmtId="0" fontId="29" fillId="25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5" fillId="0" borderId="0" applyFont="0" applyFill="0" applyBorder="0" applyAlignment="0" applyProtection="0"/>
    <xf numFmtId="173" fontId="33" fillId="0" borderId="0" applyFill="0" applyBorder="0" applyAlignment="0" applyProtection="0"/>
    <xf numFmtId="0" fontId="10" fillId="0" borderId="0"/>
    <xf numFmtId="0" fontId="10" fillId="0" borderId="0"/>
    <xf numFmtId="0" fontId="38" fillId="28" borderId="7"/>
    <xf numFmtId="0" fontId="58" fillId="0" borderId="0"/>
    <xf numFmtId="0" fontId="58" fillId="0" borderId="0"/>
    <xf numFmtId="0" fontId="10" fillId="0" borderId="0">
      <alignment horizontal="left" vertical="center"/>
    </xf>
    <xf numFmtId="0" fontId="10" fillId="0" borderId="0"/>
    <xf numFmtId="0" fontId="34" fillId="0" borderId="0">
      <alignment vertical="top"/>
    </xf>
    <xf numFmtId="176" fontId="61" fillId="0" borderId="5" applyFill="0" applyBorder="0" applyProtection="0">
      <alignment horizontal="right"/>
    </xf>
    <xf numFmtId="0" fontId="62" fillId="0" borderId="0" applyNumberFormat="0" applyFill="0" applyBorder="0" applyProtection="0">
      <alignment horizontal="center" vertical="center" wrapText="1"/>
    </xf>
    <xf numFmtId="1" fontId="63" fillId="0" borderId="0" applyNumberFormat="0" applyFill="0" applyBorder="0" applyProtection="0">
      <alignment horizontal="right" vertical="top"/>
    </xf>
    <xf numFmtId="177" fontId="61" fillId="0" borderId="0" applyNumberFormat="0" applyFill="0" applyBorder="0" applyProtection="0">
      <alignment horizontal="left"/>
    </xf>
    <xf numFmtId="0" fontId="63" fillId="0" borderId="0" applyNumberFormat="0" applyFill="0" applyBorder="0" applyProtection="0">
      <alignment horizontal="left" vertical="top"/>
    </xf>
    <xf numFmtId="0" fontId="10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59" fillId="0" borderId="17" applyNumberFormat="0" applyFill="0" applyAlignment="0" applyProtection="0"/>
    <xf numFmtId="0" fontId="31" fillId="0" borderId="17" applyNumberFormat="0" applyFill="0" applyAlignment="0" applyProtection="0"/>
    <xf numFmtId="0" fontId="32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" fontId="38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9" fillId="0" borderId="0"/>
    <xf numFmtId="0" fontId="4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/>
    <xf numFmtId="3" fontId="0" fillId="0" borderId="0" xfId="0" applyNumberFormat="1"/>
    <xf numFmtId="0" fontId="2" fillId="0" borderId="0" xfId="1"/>
    <xf numFmtId="0" fontId="0" fillId="0" borderId="0" xfId="0" applyFont="1"/>
    <xf numFmtId="0" fontId="0" fillId="2" borderId="0" xfId="0" applyFill="1"/>
    <xf numFmtId="10" fontId="0" fillId="2" borderId="0" xfId="0" applyNumberFormat="1" applyFill="1"/>
    <xf numFmtId="0" fontId="3" fillId="0" borderId="0" xfId="0" applyFont="1"/>
    <xf numFmtId="9" fontId="0" fillId="2" borderId="0" xfId="0" applyNumberFormat="1" applyFill="1"/>
    <xf numFmtId="164" fontId="0" fillId="2" borderId="0" xfId="0" applyNumberFormat="1" applyFill="1"/>
    <xf numFmtId="165" fontId="6" fillId="2" borderId="0" xfId="3" applyNumberFormat="1" applyFont="1" applyFill="1" applyAlignment="1">
      <alignment horizontal="right" vertical="center"/>
    </xf>
    <xf numFmtId="0" fontId="7" fillId="2" borderId="1" xfId="2" applyFont="1" applyFill="1" applyBorder="1" applyAlignment="1">
      <alignment horizontal="right" vertical="center"/>
    </xf>
    <xf numFmtId="0" fontId="14" fillId="5" borderId="0" xfId="4" applyFont="1" applyFill="1" applyAlignment="1">
      <alignment horizontal="left"/>
    </xf>
    <xf numFmtId="168" fontId="14" fillId="5" borderId="0" xfId="4" applyNumberFormat="1" applyFont="1" applyFill="1"/>
    <xf numFmtId="168" fontId="14" fillId="5" borderId="2" xfId="4" applyNumberFormat="1" applyFont="1" applyFill="1" applyBorder="1"/>
    <xf numFmtId="168" fontId="14" fillId="5" borderId="0" xfId="4" applyNumberFormat="1" applyFont="1" applyFill="1" applyAlignment="1">
      <alignment horizontal="right"/>
    </xf>
    <xf numFmtId="170" fontId="14" fillId="5" borderId="3" xfId="4" applyNumberFormat="1" applyFont="1" applyFill="1" applyBorder="1"/>
    <xf numFmtId="168" fontId="14" fillId="5" borderId="2" xfId="4" applyNumberFormat="1" applyFont="1" applyFill="1" applyBorder="1" applyAlignment="1">
      <alignment horizontal="right"/>
    </xf>
    <xf numFmtId="167" fontId="14" fillId="5" borderId="0" xfId="4" applyNumberFormat="1" applyFont="1" applyFill="1" applyAlignment="1">
      <alignment horizontal="left"/>
    </xf>
    <xf numFmtId="168" fontId="14" fillId="5" borderId="6" xfId="4" applyNumberFormat="1" applyFont="1" applyFill="1" applyBorder="1" applyAlignment="1">
      <alignment horizontal="right"/>
    </xf>
    <xf numFmtId="165" fontId="0" fillId="2" borderId="0" xfId="0" applyNumberFormat="1" applyFill="1"/>
    <xf numFmtId="0" fontId="1" fillId="2" borderId="0" xfId="0" applyFont="1" applyFill="1"/>
    <xf numFmtId="168" fontId="0" fillId="2" borderId="0" xfId="0" applyNumberFormat="1" applyFill="1"/>
    <xf numFmtId="0" fontId="6" fillId="0" borderId="0" xfId="221" applyFont="1" applyAlignment="1">
      <alignment horizontal="left"/>
    </xf>
    <xf numFmtId="169" fontId="0" fillId="2" borderId="0" xfId="0" applyNumberFormat="1" applyFill="1"/>
    <xf numFmtId="169" fontId="0" fillId="0" borderId="0" xfId="0" applyNumberFormat="1"/>
    <xf numFmtId="0" fontId="6" fillId="0" borderId="0" xfId="221" applyFont="1"/>
    <xf numFmtId="169" fontId="6" fillId="0" borderId="0" xfId="221" applyNumberFormat="1" applyFont="1"/>
    <xf numFmtId="2" fontId="0" fillId="0" borderId="0" xfId="0" applyNumberFormat="1"/>
    <xf numFmtId="3" fontId="0" fillId="2" borderId="0" xfId="0" applyNumberFormat="1" applyFill="1"/>
    <xf numFmtId="183" fontId="0" fillId="2" borderId="0" xfId="0" applyNumberFormat="1" applyFill="1"/>
    <xf numFmtId="178" fontId="0" fillId="0" borderId="0" xfId="0" applyNumberFormat="1"/>
    <xf numFmtId="178" fontId="69" fillId="30" borderId="0" xfId="0" applyNumberFormat="1" applyFont="1" applyFill="1" applyAlignment="1">
      <alignment horizontal="right" vertical="center"/>
    </xf>
    <xf numFmtId="179" fontId="69" fillId="30" borderId="0" xfId="0" applyNumberFormat="1" applyFont="1" applyFill="1" applyAlignment="1">
      <alignment horizontal="right" vertical="center"/>
    </xf>
    <xf numFmtId="181" fontId="0" fillId="0" borderId="0" xfId="0" applyNumberFormat="1"/>
    <xf numFmtId="182" fontId="0" fillId="0" borderId="0" xfId="0" applyNumberFormat="1"/>
    <xf numFmtId="0" fontId="71" fillId="30" borderId="19" xfId="171" applyFont="1" applyFill="1" applyBorder="1"/>
    <xf numFmtId="0" fontId="71" fillId="5" borderId="0" xfId="0" applyFont="1" applyFill="1" applyAlignment="1">
      <alignment horizontal="left"/>
    </xf>
    <xf numFmtId="0" fontId="71" fillId="30" borderId="18" xfId="0" applyFont="1" applyFill="1" applyBorder="1" applyAlignment="1">
      <alignment horizontal="left"/>
    </xf>
    <xf numFmtId="180" fontId="73" fillId="30" borderId="0" xfId="0" applyNumberFormat="1" applyFont="1" applyFill="1" applyAlignment="1">
      <alignment horizontal="right"/>
    </xf>
    <xf numFmtId="1" fontId="0" fillId="0" borderId="0" xfId="0" applyNumberFormat="1"/>
    <xf numFmtId="0" fontId="14" fillId="30" borderId="0" xfId="171" applyFont="1" applyFill="1"/>
    <xf numFmtId="0" fontId="14" fillId="30" borderId="18" xfId="171" applyFont="1" applyFill="1" applyBorder="1"/>
    <xf numFmtId="181" fontId="14" fillId="0" borderId="0" xfId="171" applyNumberFormat="1" applyFont="1" applyFill="1" applyAlignment="1">
      <alignment horizontal="right"/>
    </xf>
    <xf numFmtId="181" fontId="14" fillId="0" borderId="18" xfId="171" applyNumberFormat="1" applyFont="1" applyFill="1" applyBorder="1" applyAlignment="1">
      <alignment horizontal="right"/>
    </xf>
    <xf numFmtId="182" fontId="14" fillId="0" borderId="0" xfId="171" applyNumberFormat="1" applyFont="1" applyFill="1" applyAlignment="1">
      <alignment horizontal="right"/>
    </xf>
    <xf numFmtId="182" fontId="14" fillId="0" borderId="18" xfId="171" applyNumberFormat="1" applyFont="1" applyFill="1" applyBorder="1" applyAlignment="1">
      <alignment horizontal="right"/>
    </xf>
    <xf numFmtId="180" fontId="73" fillId="30" borderId="18" xfId="0" applyNumberFormat="1" applyFont="1" applyFill="1" applyBorder="1" applyAlignment="1">
      <alignment horizontal="right"/>
    </xf>
    <xf numFmtId="0" fontId="71" fillId="30" borderId="0" xfId="0" applyFont="1" applyFill="1" applyAlignment="1">
      <alignment horizontal="right"/>
    </xf>
    <xf numFmtId="0" fontId="71" fillId="30" borderId="19" xfId="0" applyFont="1" applyFill="1" applyBorder="1" applyAlignment="1">
      <alignment horizontal="right"/>
    </xf>
    <xf numFmtId="49" fontId="74" fillId="30" borderId="19" xfId="0" applyNumberFormat="1" applyFont="1" applyFill="1" applyBorder="1" applyAlignment="1">
      <alignment horizontal="right"/>
    </xf>
    <xf numFmtId="180" fontId="0" fillId="2" borderId="0" xfId="0" applyNumberFormat="1" applyFill="1"/>
    <xf numFmtId="0" fontId="0" fillId="0" borderId="0" xfId="0" applyAlignment="1">
      <alignment horizontal="center"/>
    </xf>
  </cellXfs>
  <cellStyles count="268">
    <cellStyle name="%" xfId="21" xr:uid="{CE7A03DA-6340-460E-9857-F2095BC0577C}"/>
    <cellStyle name="% 2" xfId="22" xr:uid="{9455FC96-482E-402B-85C1-469909C16719}"/>
    <cellStyle name="%_freight lifted Q4" xfId="23" xr:uid="{0061C3E0-DDF2-4951-BD65-F11755BEC9A9}"/>
    <cellStyle name="20% - Accent1 2" xfId="25" xr:uid="{CA6E758D-A096-4524-8D73-12E781BD2760}"/>
    <cellStyle name="20% - Accent1 3" xfId="26" xr:uid="{2F64E9FB-6C00-4963-A083-0BEC010C7E65}"/>
    <cellStyle name="20% - Accent1 4" xfId="24" xr:uid="{17142351-BF3D-4C54-B44E-AC15317E92F6}"/>
    <cellStyle name="20% - Accent2 2" xfId="28" xr:uid="{AD108F96-F86C-4E26-831D-C8E06E2DFA8E}"/>
    <cellStyle name="20% - Accent2 3" xfId="29" xr:uid="{80EC443D-B454-4BFF-8D91-A23753ACEC08}"/>
    <cellStyle name="20% - Accent2 4" xfId="27" xr:uid="{10DB1A31-9707-480F-991B-989FEFDBA702}"/>
    <cellStyle name="20% - Accent3 2" xfId="31" xr:uid="{0AF718C9-9F6D-4D81-853E-B1F47AC3F4D7}"/>
    <cellStyle name="20% - Accent3 3" xfId="32" xr:uid="{17EFA962-88BD-4199-96DD-FD3493AA741D}"/>
    <cellStyle name="20% - Accent3 4" xfId="30" xr:uid="{EE9B5667-1A39-46A3-B32A-ADF44440ECA1}"/>
    <cellStyle name="20% - Accent4 2" xfId="34" xr:uid="{872D3F2F-6241-4A6C-90AB-5CD153049F45}"/>
    <cellStyle name="20% - Accent4 3" xfId="35" xr:uid="{F935261A-DF41-4995-A1A6-40194BC270F8}"/>
    <cellStyle name="20% - Accent4 4" xfId="33" xr:uid="{CC626F23-C9E4-4BF2-9E94-930100372AC2}"/>
    <cellStyle name="20% - Accent5 2" xfId="37" xr:uid="{B840CD2F-DE23-474F-B5A3-EE248D12CDD0}"/>
    <cellStyle name="20% - Accent5 3" xfId="38" xr:uid="{90CB1C7D-4E05-409D-AC8E-A3B69AA5A96A}"/>
    <cellStyle name="20% - Accent5 4" xfId="36" xr:uid="{AD1B0862-A24D-415A-A78B-D3F92DFBF1DA}"/>
    <cellStyle name="20% - Accent6 2" xfId="40" xr:uid="{B1B6D7B2-93F1-493B-8F9A-6428E4108A0C}"/>
    <cellStyle name="20% - Accent6 3" xfId="41" xr:uid="{50C06AD9-988B-4772-B875-176EABB16121}"/>
    <cellStyle name="20% - Accent6 4" xfId="39" xr:uid="{003430F6-22FC-48AF-BD2A-E185E9983DC3}"/>
    <cellStyle name="40% - Accent1 2" xfId="43" xr:uid="{3498985A-604A-4E4C-952F-41751732848D}"/>
    <cellStyle name="40% - Accent1 3" xfId="44" xr:uid="{E834552F-234D-45EC-BD9B-938D4B475B69}"/>
    <cellStyle name="40% - Accent1 4" xfId="42" xr:uid="{EAE13A17-525F-4E9C-B87C-3276DBDA3CEF}"/>
    <cellStyle name="40% - Accent2 2" xfId="46" xr:uid="{798D5D54-018A-456A-B9E9-1898605D021F}"/>
    <cellStyle name="40% - Accent2 3" xfId="47" xr:uid="{7E864FAD-0614-4C37-8122-65E4CA9652B2}"/>
    <cellStyle name="40% - Accent2 4" xfId="45" xr:uid="{E3580D58-8A19-4B37-A712-B44C198ADA2F}"/>
    <cellStyle name="40% - Accent3 2" xfId="49" xr:uid="{9427842A-9266-4DFB-88E3-F3A0A1CB9CD8}"/>
    <cellStyle name="40% - Accent3 3" xfId="50" xr:uid="{1DB5B43E-9B6B-44DF-83B8-756006DF67C0}"/>
    <cellStyle name="40% - Accent3 4" xfId="48" xr:uid="{80833BD6-FCA3-4331-9201-84F6B7A26FCB}"/>
    <cellStyle name="40% - Accent4 2" xfId="52" xr:uid="{681AED6F-D5DC-4F94-80BB-A13F6E3C3F99}"/>
    <cellStyle name="40% - Accent4 3" xfId="53" xr:uid="{E128B974-4D1F-4146-9988-CD7388E858A4}"/>
    <cellStyle name="40% - Accent4 4" xfId="51" xr:uid="{CF9FDC9A-4D1C-4B52-8A22-DF598CA6B632}"/>
    <cellStyle name="40% - Accent5 2" xfId="55" xr:uid="{6E4C43C8-330C-4503-9E6F-6421F5ED0963}"/>
    <cellStyle name="40% - Accent5 3" xfId="56" xr:uid="{337D6E87-8D36-4502-A0FE-4D31DFD8DDAF}"/>
    <cellStyle name="40% - Accent5 4" xfId="54" xr:uid="{74449520-280E-4431-8589-76B821F8EDD8}"/>
    <cellStyle name="40% - Accent6 2" xfId="58" xr:uid="{70276CF6-E1E2-4CD8-80CD-5BBE0917E669}"/>
    <cellStyle name="40% - Accent6 3" xfId="59" xr:uid="{40928222-8B56-4A1F-B62A-D428032DA328}"/>
    <cellStyle name="40% - Accent6 4" xfId="57" xr:uid="{7A570846-356E-4DD0-AFA8-4EB53671CBE4}"/>
    <cellStyle name="5x indented GHG Textfiels" xfId="60" xr:uid="{72F6D390-535F-4907-AAD1-BA60FF19FED0}"/>
    <cellStyle name="60% - Accent1 2" xfId="62" xr:uid="{C9308DD9-856B-4B1A-88EA-0CFEDEF498EF}"/>
    <cellStyle name="60% - Accent1 3" xfId="63" xr:uid="{2B52DBAE-DB14-4DCB-A28E-BECC3D882EDA}"/>
    <cellStyle name="60% - Accent1 4" xfId="61" xr:uid="{C754F93B-E557-47A5-BCB5-B9D41AD7BEA6}"/>
    <cellStyle name="60% - Accent2 2" xfId="65" xr:uid="{1D68C182-97E5-4D0C-A633-35E43A156C65}"/>
    <cellStyle name="60% - Accent2 3" xfId="66" xr:uid="{8BFD83B3-A8C3-4E54-863D-87F5221854F8}"/>
    <cellStyle name="60% - Accent2 4" xfId="64" xr:uid="{FDE45017-22D4-4404-A76A-46B4B6029FE6}"/>
    <cellStyle name="60% - Accent3 2" xfId="68" xr:uid="{F9109EFF-6BFD-42D9-97F3-D8E67A4DD1C5}"/>
    <cellStyle name="60% - Accent3 3" xfId="69" xr:uid="{1FCCFD49-1522-40B5-846E-C9BF14E43D02}"/>
    <cellStyle name="60% - Accent3 4" xfId="67" xr:uid="{4BEF76F9-E4A1-4974-B1F8-A4357BFD94AB}"/>
    <cellStyle name="60% - Accent4 2" xfId="71" xr:uid="{B2A98AB2-01D7-4013-B718-F07DE82E5268}"/>
    <cellStyle name="60% - Accent4 3" xfId="72" xr:uid="{DD55536E-B95D-4B8F-8B17-CB52EB863A49}"/>
    <cellStyle name="60% - Accent4 4" xfId="70" xr:uid="{C9BE1697-D41F-426C-9DA4-215C7546686A}"/>
    <cellStyle name="60% - Accent5 2" xfId="74" xr:uid="{61989409-8BBD-4A2D-9097-F6284E8262EE}"/>
    <cellStyle name="60% - Accent5 3" xfId="75" xr:uid="{9D9E63BF-7F15-44C0-A94E-27244063F7A0}"/>
    <cellStyle name="60% - Accent5 4" xfId="73" xr:uid="{46846A7A-1CC0-4ADC-AE34-D5ECD79E49F2}"/>
    <cellStyle name="60% - Accent6 2" xfId="77" xr:uid="{1A25E971-05D7-4FCA-9EC1-43CA2BB28EAE}"/>
    <cellStyle name="60% - Accent6 3" xfId="78" xr:uid="{BC72A41D-54FE-4B33-A6E0-1C0E4981A9D3}"/>
    <cellStyle name="60% - Accent6 4" xfId="76" xr:uid="{043F7F93-E80A-4663-BC61-5F185B4589FB}"/>
    <cellStyle name="Accent1 2" xfId="80" xr:uid="{0B5C3A1A-142B-4179-B7A7-AF0D29A1D8F3}"/>
    <cellStyle name="Accent1 3" xfId="81" xr:uid="{C433DC01-D741-4570-B0B1-8846F7EAF00D}"/>
    <cellStyle name="Accent1 4" xfId="79" xr:uid="{AD83D475-5DC2-45F8-84A3-A105F73B3237}"/>
    <cellStyle name="Accent2 2" xfId="83" xr:uid="{95C5E3DF-D021-46B3-931B-AD3A3DA77F08}"/>
    <cellStyle name="Accent2 3" xfId="84" xr:uid="{CBAB4B39-4EED-4078-BCEF-B5C7E985A49F}"/>
    <cellStyle name="Accent2 4" xfId="82" xr:uid="{EB45C55B-4579-4266-89BE-33E54681397C}"/>
    <cellStyle name="Accent3 2" xfId="86" xr:uid="{286F6647-6353-4A89-829E-D17D24EF169E}"/>
    <cellStyle name="Accent3 3" xfId="87" xr:uid="{FF1ECC13-42BD-4368-8073-CB9188F434BB}"/>
    <cellStyle name="Accent3 4" xfId="85" xr:uid="{CAB2F02C-EC45-4E63-9811-D9A37D80203D}"/>
    <cellStyle name="Accent4 2" xfId="89" xr:uid="{405B16C9-DC90-4F61-8AF4-5DF8E81462C8}"/>
    <cellStyle name="Accent4 3" xfId="90" xr:uid="{6952C6C9-5D94-4B00-B257-43EB437C65CC}"/>
    <cellStyle name="Accent4 4" xfId="88" xr:uid="{169B2C32-60BB-4138-B78D-D288DFBD326C}"/>
    <cellStyle name="Accent5 2" xfId="92" xr:uid="{9E11542F-DE0F-4FBC-AF48-1BA53AE13383}"/>
    <cellStyle name="Accent5 3" xfId="93" xr:uid="{4BF0389E-7525-4736-BAFB-2B161ABFA064}"/>
    <cellStyle name="Accent5 4" xfId="91" xr:uid="{02DD8017-92CF-47CB-A72A-83E8CE4EA756}"/>
    <cellStyle name="Accent6 2" xfId="95" xr:uid="{C87CA9A1-BBFF-40B0-AC86-40146B3613A6}"/>
    <cellStyle name="Accent6 3" xfId="96" xr:uid="{CFE319FA-D305-4885-9CB6-662253818C74}"/>
    <cellStyle name="Accent6 4" xfId="94" xr:uid="{3412668B-E175-49AA-B26F-A3F085C93D62}"/>
    <cellStyle name="AggblueCels_1x" xfId="97" xr:uid="{40FB5FE3-2074-4194-8764-E7EB39DB4BA6}"/>
    <cellStyle name="Bad 2" xfId="99" xr:uid="{D01395EE-CE7E-48AE-8EEA-30BCFA8E7564}"/>
    <cellStyle name="Bad 3" xfId="100" xr:uid="{28508C45-9347-4698-BA66-032B7C620A59}"/>
    <cellStyle name="Bad 4" xfId="101" xr:uid="{19BCCFF8-B6DD-4AF1-AFB9-1768BDE2E10A}"/>
    <cellStyle name="Bad 5" xfId="98" xr:uid="{B22F79B1-09AB-49E9-A75F-2634E311651E}"/>
    <cellStyle name="Bold GHG Numbers (0.00)" xfId="102" xr:uid="{5EC7D051-016D-40EE-9EB5-AB6D8B3B329D}"/>
    <cellStyle name="Calculation 2" xfId="104" xr:uid="{52632E1B-2306-4DA7-BF2E-89FE384C0768}"/>
    <cellStyle name="Calculation 3" xfId="105" xr:uid="{536C14A2-35CE-4EDE-84CB-D0F0523353F4}"/>
    <cellStyle name="Calculation 4" xfId="103" xr:uid="{38F9682F-3BFD-4176-BC83-BA1C2FE04839}"/>
    <cellStyle name="Check Cell 2" xfId="107" xr:uid="{39F23FE9-75C9-4927-B9A5-7445FC7ADB70}"/>
    <cellStyle name="Check Cell 3" xfId="108" xr:uid="{F2795705-D7CD-4B6D-81D1-9C7A3C927D28}"/>
    <cellStyle name="Check Cell 4" xfId="106" xr:uid="{7EDECA30-7366-4C36-AB0B-BD68033DDA4A}"/>
    <cellStyle name="Comma 10" xfId="263" xr:uid="{C95150F7-29E6-4695-A45D-1E3B171D9CE1}"/>
    <cellStyle name="Comma 2" xfId="5" xr:uid="{135CDC50-2B5D-438D-901A-F3DA4FE906DE}"/>
    <cellStyle name="Comma 2 2" xfId="110" xr:uid="{D4AB1338-8056-4243-9E16-E9B4389EAF72}"/>
    <cellStyle name="Comma 2 3" xfId="111" xr:uid="{6216F168-2FA8-424D-953C-02CEEBC01F7B}"/>
    <cellStyle name="Comma 2 4" xfId="109" xr:uid="{85A6C6FC-B43F-4F0B-9043-A957688943D8}"/>
    <cellStyle name="Comma 2 5" xfId="264" xr:uid="{F21A5927-8016-48A1-81BF-C32B52DD340E}"/>
    <cellStyle name="Comma 3" xfId="112" xr:uid="{22264856-9DC6-4C3B-888B-7684BB7D6D39}"/>
    <cellStyle name="Comma 3 2" xfId="113" xr:uid="{E0E8D97A-DE4C-44EB-B7E8-3BC8C74DC7CF}"/>
    <cellStyle name="Comma 4" xfId="114" xr:uid="{215118AE-091F-4938-A982-B5F1978C1A57}"/>
    <cellStyle name="Comma 5" xfId="115" xr:uid="{74FE480D-6DBF-42A1-8087-5216BAAB125C}"/>
    <cellStyle name="Comma 6" xfId="116" xr:uid="{CD976FF9-F38D-47D4-A657-F19B55A58A90}"/>
    <cellStyle name="Comma 7" xfId="117" xr:uid="{74428BA2-338D-4520-A7D0-29AEF496944B}"/>
    <cellStyle name="Comma 8" xfId="118" xr:uid="{5B12483A-A320-46C3-BF7A-37B1A7EF08CD}"/>
    <cellStyle name="Comma 9" xfId="119" xr:uid="{A34890AE-9941-4515-BA87-C6332AA2F5DA}"/>
    <cellStyle name="Currency 2" xfId="120" xr:uid="{4651136F-2244-47EA-BEFF-C977AA88AAB7}"/>
    <cellStyle name="Euro" xfId="121" xr:uid="{428CC0F6-90D3-4167-9628-89ED8D1F1CF6}"/>
    <cellStyle name="Explanatory Text 2" xfId="123" xr:uid="{68E9C202-A4C0-473D-B9DE-BBD768E40F33}"/>
    <cellStyle name="Explanatory Text 3" xfId="124" xr:uid="{050EF299-B23F-4198-8453-41316AA1DE18}"/>
    <cellStyle name="Explanatory Text 4" xfId="122" xr:uid="{8335A2E1-D5A5-438E-B81D-393F89A150EC}"/>
    <cellStyle name="Good 2" xfId="126" xr:uid="{EDE68794-7088-4F68-9D3C-F010FEAECFA9}"/>
    <cellStyle name="Good 3" xfId="127" xr:uid="{315C369E-7F87-45C7-89BA-3A88E0ACAA05}"/>
    <cellStyle name="Good 4" xfId="128" xr:uid="{7DE3623B-61F4-4FC8-8579-F1D297665743}"/>
    <cellStyle name="Good 5" xfId="125" xr:uid="{48D2480E-6916-4F5B-A3DB-68ECFB33A6FE}"/>
    <cellStyle name="Heading" xfId="129" xr:uid="{E26C7E92-5D39-4BF4-A678-B9345A0C0068}"/>
    <cellStyle name="Heading 1 2" xfId="131" xr:uid="{40C53D71-A0B2-4B57-B8B1-548BDB80D379}"/>
    <cellStyle name="Heading 1 3" xfId="132" xr:uid="{92088956-102A-4C3B-81BD-D7EEB91D8344}"/>
    <cellStyle name="Heading 1 4" xfId="130" xr:uid="{2B62BEAA-D96C-4AAA-B739-5F31B4A744BB}"/>
    <cellStyle name="Heading 2 2" xfId="134" xr:uid="{C6E257C1-B304-4640-8D9A-1A119DF71CDA}"/>
    <cellStyle name="Heading 2 3" xfId="135" xr:uid="{3E70A955-E0F3-4399-B204-0937D0051A95}"/>
    <cellStyle name="Heading 2 4" xfId="133" xr:uid="{E7B4C6E6-FAF5-40AA-939E-3544A8086EE8}"/>
    <cellStyle name="Heading 3 2" xfId="137" xr:uid="{225DBAD9-86AC-4C21-8DB7-B6F72230C939}"/>
    <cellStyle name="Heading 3 3" xfId="138" xr:uid="{4E4BA3F8-66DF-49E9-9BFD-4AE113229C2F}"/>
    <cellStyle name="Heading 3 4" xfId="136" xr:uid="{35270870-17A7-4C2E-B181-70490C299F7A}"/>
    <cellStyle name="Heading 4 2" xfId="140" xr:uid="{89F3069C-202E-40B0-86EC-6BDB143B8660}"/>
    <cellStyle name="Heading 4 3" xfId="141" xr:uid="{41D4F5FF-372A-4D2B-B82B-9FC4BFC14709}"/>
    <cellStyle name="Heading 4 4" xfId="139" xr:uid="{2705DCE5-8559-41DB-AF24-ECCAC4C8CD36}"/>
    <cellStyle name="Heading 5" xfId="142" xr:uid="{2F95B45A-07CB-4854-82A6-2FE2D01A99F8}"/>
    <cellStyle name="Heading 6" xfId="143" xr:uid="{F9322FAA-BD74-4670-9D72-9F390487464E}"/>
    <cellStyle name="Hyperlink" xfId="1" builtinId="8"/>
    <cellStyle name="Hyperlink 10" xfId="145" xr:uid="{B5C67CA2-7421-4E34-AE43-3D4BE7D510C9}"/>
    <cellStyle name="Hyperlink 11" xfId="144" xr:uid="{272F959D-72B0-43DB-A2E7-0C006AB14AD9}"/>
    <cellStyle name="Hyperlink 2" xfId="7" xr:uid="{A666D2E8-95A7-4609-90A6-024D6463F059}"/>
    <cellStyle name="Hyperlink 2 2" xfId="146" xr:uid="{E6DD57BB-66F7-47E7-B140-F682E4E45B0E}"/>
    <cellStyle name="Hyperlink 2 3" xfId="262" xr:uid="{EE7F9804-12C6-4E64-82B2-E74AD7945ABC}"/>
    <cellStyle name="Hyperlink 3" xfId="6" xr:uid="{4247032C-A8A4-49CD-9D8C-7989E8E07004}"/>
    <cellStyle name="Hyperlink 3 2" xfId="147" xr:uid="{9490B207-DC0C-4DFE-8EAC-D6EC39291941}"/>
    <cellStyle name="Hyperlink 3 3" xfId="267" xr:uid="{AC2E8BB2-8074-4211-B92A-54D64242DDE0}"/>
    <cellStyle name="Hyperlink 4" xfId="148" xr:uid="{CFDD1E2E-EF99-45AD-8AEA-16CE7EEDE96B}"/>
    <cellStyle name="Hyperlink 5" xfId="149" xr:uid="{C5169AD4-BDD9-4867-BF36-F6FB92630C4E}"/>
    <cellStyle name="Hyperlink 6" xfId="150" xr:uid="{437E9BD6-7386-47F8-A67B-052AE6EF6BC4}"/>
    <cellStyle name="Hyperlink 7" xfId="151" xr:uid="{7016EC3B-E1D3-4447-AFB3-8DB7573F9B17}"/>
    <cellStyle name="Hyperlink 8" xfId="152" xr:uid="{5887053B-5A4B-43B6-84CA-ADA3E9F5213A}"/>
    <cellStyle name="Hyperlink 9" xfId="153" xr:uid="{B098213D-A970-4D8A-ADE8-917484F33DC6}"/>
    <cellStyle name="Input 2" xfId="155" xr:uid="{9A724D41-E379-49F4-831A-29536CFECEE5}"/>
    <cellStyle name="Input 3" xfId="156" xr:uid="{33700E17-D00C-4FE7-8DED-DBAB4CC09A20}"/>
    <cellStyle name="Input 4" xfId="154" xr:uid="{F885BCC7-C303-4AB2-90D8-286C306F0981}"/>
    <cellStyle name="InputCells12_BBorder_CRFReport-template" xfId="157" xr:uid="{33DC34A2-1BA3-40E6-A27B-4F4DA9520166}"/>
    <cellStyle name="Linked Cell 2" xfId="159" xr:uid="{808E101D-9051-42DD-AB01-A9D364B48069}"/>
    <cellStyle name="Linked Cell 3" xfId="160" xr:uid="{4250E33E-8881-430B-AC75-A19452A82304}"/>
    <cellStyle name="Linked Cell 4" xfId="158" xr:uid="{0329A7B8-2C92-476C-AA10-B1452C02E505}"/>
    <cellStyle name="Neutral 2" xfId="162" xr:uid="{D928A7DF-9D58-4578-9EFF-D3668E30E11E}"/>
    <cellStyle name="Neutral 3" xfId="163" xr:uid="{99E26E82-1F16-4896-BE8F-DF1AB0E6001F}"/>
    <cellStyle name="Neutral 4" xfId="161" xr:uid="{25521989-BC7C-40DB-B602-60AEA299C3DC}"/>
    <cellStyle name="Normal" xfId="0" builtinId="0"/>
    <cellStyle name="Normal 10" xfId="164" xr:uid="{D8756BDF-0271-42FA-90E5-19D57E73979A}"/>
    <cellStyle name="Normal 10 2 2 2" xfId="3" xr:uid="{C5086839-28DB-4A68-944C-622753264761}"/>
    <cellStyle name="Normal 11" xfId="165" xr:uid="{9D9FFC56-2626-4864-93B7-813B6E4E6D9F}"/>
    <cellStyle name="Normal 12" xfId="166" xr:uid="{A6943E2E-8770-4C4F-A607-8277ECFE87F6}"/>
    <cellStyle name="Normal 13" xfId="167" xr:uid="{24817CA0-9517-46B8-8D2E-E001288014C7}"/>
    <cellStyle name="Normal 14" xfId="168" xr:uid="{5A8A8530-91BF-4F95-94EE-6C4B4FDB935C}"/>
    <cellStyle name="Normal 15" xfId="8" xr:uid="{03D74D5F-87FA-48CA-9FE9-361373A7BD6C}"/>
    <cellStyle name="Normal 15 2" xfId="169" xr:uid="{A8C3136B-C8A6-47CD-A07C-BF8E27D130AB}"/>
    <cellStyle name="Normal 16" xfId="170" xr:uid="{220FF4E3-4F5E-4B90-9A0C-36C40092BE99}"/>
    <cellStyle name="Normal 17" xfId="171" xr:uid="{CAAC0824-CBBD-4778-A372-AF469B41D71F}"/>
    <cellStyle name="Normal 18" xfId="172" xr:uid="{7D2D26D2-C094-4544-B586-B96D052F35F2}"/>
    <cellStyle name="Normal 19" xfId="173" xr:uid="{EA679BF4-460C-40E0-8D28-F726C75EA142}"/>
    <cellStyle name="Normal 2" xfId="9" xr:uid="{A78F6A35-C11E-409A-B6F5-D004621330CF}"/>
    <cellStyle name="Normal 2 2" xfId="10" xr:uid="{A19D6FA4-FD81-4D40-84F9-C366A432782F}"/>
    <cellStyle name="Normal 2 2 2" xfId="176" xr:uid="{2A040415-997E-4991-8575-A9B4E38985FC}"/>
    <cellStyle name="Normal 2 2 3" xfId="177" xr:uid="{642C52DC-95BF-4090-835C-628CA9F901FC}"/>
    <cellStyle name="Normal 2 2 4" xfId="175" xr:uid="{F08596B0-EF38-4A04-800D-1D7F263D8F1C}"/>
    <cellStyle name="Normal 2 3" xfId="178" xr:uid="{9062FB75-9019-480D-85DF-4192833AF08D}"/>
    <cellStyle name="Normal 2 3 2" xfId="265" xr:uid="{838C828B-5197-4442-B061-989CA7918B5B}"/>
    <cellStyle name="Normal 2 4" xfId="179" xr:uid="{A360341F-ABEE-4CB2-B111-2E20ED532364}"/>
    <cellStyle name="Normal 2 4 2" xfId="180" xr:uid="{61C30710-2EB8-45EF-9395-D664A1D72C96}"/>
    <cellStyle name="Normal 2 5" xfId="181" xr:uid="{DFA4555D-3BD3-44C5-BA21-5B7581AD5E1F}"/>
    <cellStyle name="Normal 2 6" xfId="174" xr:uid="{30E22F1F-1424-4AF6-A81C-A092E06F9E02}"/>
    <cellStyle name="Normal 2 7" xfId="266" xr:uid="{5C8060A8-B660-46E8-9875-A4D36EB40B35}"/>
    <cellStyle name="Normal 20" xfId="182" xr:uid="{A59967DF-9EC4-4512-9A1D-9364D8F6165C}"/>
    <cellStyle name="Normal 21" xfId="183" xr:uid="{2606D2A1-B386-43E1-938D-B1DDA2D22437}"/>
    <cellStyle name="Normal 22" xfId="184" xr:uid="{0E3BF3FB-16F3-4163-B396-907CCE0559EA}"/>
    <cellStyle name="Normal 23" xfId="185" xr:uid="{2DC20AA6-E090-4B1F-B7C3-CA9ADDDECC19}"/>
    <cellStyle name="Normal 24" xfId="186" xr:uid="{99A2D8B0-7CAE-4761-8222-6FE944AA182C}"/>
    <cellStyle name="Normal 25" xfId="187" xr:uid="{3A4019AD-DB10-46CF-8277-8FFF6DE211DD}"/>
    <cellStyle name="Normal 26" xfId="188" xr:uid="{F3C7FD51-A32B-48A0-8FF7-FE85930883EA}"/>
    <cellStyle name="Normal 27" xfId="189" xr:uid="{E129F368-4D42-4F85-938C-AE0C44379E83}"/>
    <cellStyle name="Normal 28" xfId="190" xr:uid="{36FA8925-39EC-4E39-B6D2-D8CD92B247F7}"/>
    <cellStyle name="Normal 29" xfId="191" xr:uid="{11F591EE-53AC-4392-BF2E-D7C5C1666D10}"/>
    <cellStyle name="Normal 3" xfId="11" xr:uid="{4A1481A3-1BCF-4997-9372-B4B47E5461D7}"/>
    <cellStyle name="Normal 3 2" xfId="12" xr:uid="{C7C06F32-5C0F-45B6-A622-61AB0295EB02}"/>
    <cellStyle name="Normal 3 2 2" xfId="193" xr:uid="{26A1BBD1-6A1B-46C5-B5ED-F876B34FFEE6}"/>
    <cellStyle name="Normal 3 3" xfId="13" xr:uid="{2120F483-7F73-4E66-A30A-CA8AB126F6BF}"/>
    <cellStyle name="Normal 3 3 2" xfId="194" xr:uid="{1E0A31AE-91FA-4DB0-8899-D42E666CD521}"/>
    <cellStyle name="Normal 3 4" xfId="192" xr:uid="{F411229D-382B-4BB4-B726-F6B6466852B2}"/>
    <cellStyle name="Normal 30" xfId="195" xr:uid="{C4E28E7D-5697-4392-BC2C-B47291CF560C}"/>
    <cellStyle name="Normal 31" xfId="196" xr:uid="{DA549D51-4425-44AA-AD01-04D3C5518415}"/>
    <cellStyle name="Normal 32" xfId="197" xr:uid="{78544C55-BD3C-4471-A982-B362D1873C20}"/>
    <cellStyle name="Normal 33" xfId="198" xr:uid="{E0468D54-4A27-4D17-86C1-EB7C76B6D0EF}"/>
    <cellStyle name="Normal 34" xfId="199" xr:uid="{3F3AA0EF-9561-4EDF-AC95-748BB4F445F2}"/>
    <cellStyle name="Normal 35" xfId="200" xr:uid="{46C43453-A6EF-4FF7-BC3B-F889D61BB927}"/>
    <cellStyle name="Normal 36" xfId="201" xr:uid="{A4F75B15-A18D-4465-A535-20C32C70D4B7}"/>
    <cellStyle name="Normal 37" xfId="202" xr:uid="{8F69C887-96CC-4662-9E11-498F893C97A3}"/>
    <cellStyle name="Normal 38" xfId="203" xr:uid="{DE474DF3-ADDF-4FC4-9B44-4914887D29F7}"/>
    <cellStyle name="Normal 39" xfId="204" xr:uid="{91E9E735-9E31-4C10-B647-0351FD1D894B}"/>
    <cellStyle name="Normal 4" xfId="14" xr:uid="{59DD6303-4DB1-4EB6-ACE4-F7704976DE4B}"/>
    <cellStyle name="Normal 4 2" xfId="15" xr:uid="{6DB904E7-1E62-4AE9-AF8E-6F5C2C6C6BCA}"/>
    <cellStyle name="Normal 4 2 2" xfId="206" xr:uid="{CE7FDF32-B9B5-4216-9CBE-42A50ABE9AC1}"/>
    <cellStyle name="Normal 4 3" xfId="207" xr:uid="{8A05F3F0-E3F6-4ADF-A3E5-587464498DEB}"/>
    <cellStyle name="Normal 4 4" xfId="205" xr:uid="{602DA080-2DD4-40EA-8B69-A005735BFBA8}"/>
    <cellStyle name="Normal 40" xfId="208" xr:uid="{F251CFF6-4D03-4801-8F82-DE8CE3E14D0E}"/>
    <cellStyle name="Normal 41" xfId="209" xr:uid="{DC4818CD-E86C-4409-B4BC-3CFD3FEAC27E}"/>
    <cellStyle name="Normal 42" xfId="210" xr:uid="{9F3B29ED-4D89-4DDB-858D-E4CD49FE1521}"/>
    <cellStyle name="Normal 43" xfId="211" xr:uid="{159AE7D4-2AEF-4FC9-9709-2CD644374332}"/>
    <cellStyle name="Normal 44" xfId="20" xr:uid="{588C085E-1F6C-4AF2-9F03-6725E5860B85}"/>
    <cellStyle name="Normal 5" xfId="16" xr:uid="{E62EB8DD-9C8E-4F1A-8DF5-337AB5A19C2B}"/>
    <cellStyle name="Normal 5 2" xfId="213" xr:uid="{2F718C7C-94B3-4D16-9111-0E5D694753C2}"/>
    <cellStyle name="Normal 5 3" xfId="214" xr:uid="{928BBD16-667D-4895-B1BD-28BF8F901A90}"/>
    <cellStyle name="Normal 5 4" xfId="212" xr:uid="{F9E393F3-68AC-4162-A211-6BFCBEBC4F8D}"/>
    <cellStyle name="Normal 6" xfId="4" xr:uid="{15AC000A-7A1D-46D1-AF72-0647DC0D9404}"/>
    <cellStyle name="Normal 6 2" xfId="216" xr:uid="{D627159F-96D9-4DCD-8225-3F6D065943B7}"/>
    <cellStyle name="Normal 6 3" xfId="215" xr:uid="{2A9FC513-0CC5-4A5F-9C6E-668341CD8F43}"/>
    <cellStyle name="Normal 7" xfId="217" xr:uid="{78659C5B-2A6A-4960-B985-CB015D164C35}"/>
    <cellStyle name="Normal 8" xfId="17" xr:uid="{18F9325C-57BE-4C30-BC2A-5058C3F37711}"/>
    <cellStyle name="Normal 8 2" xfId="218" xr:uid="{CDB3931F-BAA4-4169-8E66-3CA9A01ACF8E}"/>
    <cellStyle name="Normal 9" xfId="219" xr:uid="{EBE80122-6F67-4B5D-A8C7-C48F4CAE6AD2}"/>
    <cellStyle name="Normal GHG-Shade" xfId="220" xr:uid="{A165321A-979C-4693-A6F5-65BB7629FC68}"/>
    <cellStyle name="Normal_PNAIR06" xfId="2" xr:uid="{FCA243AF-0301-48FE-BC35-292C5B63E302}"/>
    <cellStyle name="Normal_ukeb_data2002" xfId="221" xr:uid="{A7110519-B24F-4D24-A533-7D9347FE6BFF}"/>
    <cellStyle name="Note 2" xfId="223" xr:uid="{10921BA5-E415-42D1-A8BF-1EE04F9E2CFB}"/>
    <cellStyle name="Note 3" xfId="224" xr:uid="{9ACCEA14-BA9D-4099-ABDC-56CD76CD62DF}"/>
    <cellStyle name="Note 4" xfId="222" xr:uid="{D5E116CD-3C12-4BFC-98F8-0DE5D6208D34}"/>
    <cellStyle name="Output 2" xfId="226" xr:uid="{3811DA33-D106-4B4A-A88C-10117CD0AFF0}"/>
    <cellStyle name="Output 3" xfId="227" xr:uid="{B238BE92-1868-4C08-9E59-5D4A5AE322CF}"/>
    <cellStyle name="Output 4" xfId="225" xr:uid="{6964B94D-5E39-4A7F-93DC-2C0E79D0882D}"/>
    <cellStyle name="Percent 2" xfId="19" xr:uid="{090483A9-BE54-4AE1-9564-DDBA865891E4}"/>
    <cellStyle name="Percent 2 2" xfId="229" xr:uid="{3E7AD096-98AC-434D-92CC-9BF34EE7E023}"/>
    <cellStyle name="Percent 2 3" xfId="228" xr:uid="{6F318E5D-F8EB-44FC-8549-B1C5AB5E0FCE}"/>
    <cellStyle name="Percent 3" xfId="18" xr:uid="{48DE2A23-A0CB-4B90-A3D0-4840BA46022C}"/>
    <cellStyle name="Percent 3 2" xfId="230" xr:uid="{D658FF98-ECA8-4354-BF47-AEC6B29C1746}"/>
    <cellStyle name="Percent 4" xfId="231" xr:uid="{E9FC880F-40C6-4951-872D-35A4AA00EBF1}"/>
    <cellStyle name="Percent 5" xfId="232" xr:uid="{514ED064-6F33-4551-A9A3-546E1DBE1FA3}"/>
    <cellStyle name="Percent 6" xfId="233" xr:uid="{831CD4A4-B167-4481-B762-40F1D16EE27E}"/>
    <cellStyle name="Percent 7" xfId="234" xr:uid="{4B0AE3AC-AA03-41AF-9077-4FE8CFFBE94A}"/>
    <cellStyle name="Percent 8" xfId="235" xr:uid="{81FA41AB-F3F8-4C89-B2CE-CAC6874E088B}"/>
    <cellStyle name="Percent 9" xfId="236" xr:uid="{6B820044-C284-4C24-B62E-9AD3483322EE}"/>
    <cellStyle name="Publication_style" xfId="237" xr:uid="{D1C5E867-3DB3-4591-AF33-0A6778FFC281}"/>
    <cellStyle name="Refdb standard" xfId="238" xr:uid="{0F7E0C65-4C26-40BD-8A13-59FDC423F30B}"/>
    <cellStyle name="Refdb standard 2" xfId="239" xr:uid="{B5F208A9-5FDD-428F-A167-3B72E2B60F77}"/>
    <cellStyle name="Shade" xfId="240" xr:uid="{B9D288B5-5090-4C62-9BEA-257F2D996572}"/>
    <cellStyle name="Source" xfId="241" xr:uid="{EA22FB0B-4FA4-4790-8C7A-FF055EF773E9}"/>
    <cellStyle name="Source 2" xfId="242" xr:uid="{49540FA7-FFF5-41A8-A058-4D664D13915D}"/>
    <cellStyle name="Source_1_1" xfId="243" xr:uid="{0674A173-801B-41FF-B3D4-2CED4436A5EB}"/>
    <cellStyle name="Style 1" xfId="244" xr:uid="{F092592E-2BB5-40A0-81C5-60CFEB2589CB}"/>
    <cellStyle name="Style 1 2" xfId="245" xr:uid="{987EDD82-004A-4427-9BDE-804241B2B4C2}"/>
    <cellStyle name="Table Cells" xfId="246" xr:uid="{CAC9CCD0-68F8-4CC2-9094-7814D7E8298A}"/>
    <cellStyle name="Table Column Headings" xfId="247" xr:uid="{F681A401-032A-453E-8A21-649B1F1A2C56}"/>
    <cellStyle name="Table Number" xfId="248" xr:uid="{C2D9D3B4-BCB7-44B5-9973-90E9DC080729}"/>
    <cellStyle name="Table Row Headings" xfId="249" xr:uid="{948ADD67-89A6-4113-A03A-EC235A9F0198}"/>
    <cellStyle name="Table Title" xfId="250" xr:uid="{19B9B0CB-4E72-47C7-A48A-BB6C5BBD71DD}"/>
    <cellStyle name="Tabref" xfId="251" xr:uid="{556F15A7-D6D3-4957-98F9-E8D6B35B2F6A}"/>
    <cellStyle name="Title 2" xfId="253" xr:uid="{0F63AA2B-F3D6-490A-8502-9769C8797059}"/>
    <cellStyle name="Title 3" xfId="254" xr:uid="{5FAA11EA-321F-4878-B439-D98DD9F296D4}"/>
    <cellStyle name="Title 4" xfId="252" xr:uid="{E1F6B477-AD02-43F3-9474-AEC0B6E23ACE}"/>
    <cellStyle name="Total 2" xfId="256" xr:uid="{5AA40917-98DA-4EB4-A738-67CD21CBDA2C}"/>
    <cellStyle name="Total 3" xfId="257" xr:uid="{9E6F6C67-6C61-4139-A7CB-38DB9E339421}"/>
    <cellStyle name="Total 4" xfId="255" xr:uid="{3B9E50F1-A28C-472E-AED1-BEA6BDF57168}"/>
    <cellStyle name="Warning Text 2" xfId="259" xr:uid="{725AE99D-A47D-4358-9980-7B65F5D60CFF}"/>
    <cellStyle name="Warning Text 3" xfId="260" xr:uid="{8941F8F1-ADB7-437E-9F5E-16D594F460B3}"/>
    <cellStyle name="Warning Text 4" xfId="258" xr:uid="{4CE51BF2-4680-49C2-891F-80A1E0E0BB19}"/>
    <cellStyle name="Обычный_2++_CRFReport-template" xfId="261" xr:uid="{CBB1A627-3EDC-45D0-B752-C9BA1C21FB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840201224846894"/>
                  <c:y val="5.7905001458151022E-2"/>
                </c:manualLayout>
              </c:layout>
              <c:tx>
                <c:rich>
                  <a:bodyPr/>
                  <a:lstStyle/>
                  <a:p>
                    <a:fld id="{FFE99E5C-A662-4C11-B249-0E23DE34947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21B-4F8F-A9F8-5D4EA59BDC0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C1C1899-3242-4394-A2EB-0F33F29F704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21B-4F8F-A9F8-5D4EA59BDC02}"/>
                </c:ext>
              </c:extLst>
            </c:dLbl>
            <c:dLbl>
              <c:idx val="2"/>
              <c:layout>
                <c:manualLayout>
                  <c:x val="-0.158999343832021"/>
                  <c:y val="-4.3946850393700873E-2"/>
                </c:manualLayout>
              </c:layout>
              <c:tx>
                <c:rich>
                  <a:bodyPr/>
                  <a:lstStyle/>
                  <a:p>
                    <a:fld id="{E1AA8E7D-160F-4461-8584-8E2FE16037C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21B-4F8F-A9F8-5D4EA59BDC02}"/>
                </c:ext>
              </c:extLst>
            </c:dLbl>
            <c:dLbl>
              <c:idx val="3"/>
              <c:layout>
                <c:manualLayout>
                  <c:x val="1.9222222222222224E-2"/>
                  <c:y val="-5.7835739282589678E-2"/>
                </c:manualLayout>
              </c:layout>
              <c:tx>
                <c:rich>
                  <a:bodyPr/>
                  <a:lstStyle/>
                  <a:p>
                    <a:fld id="{CF569C5D-E391-4FB3-A0D3-C4246852CA7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21B-4F8F-A9F8-5D4EA59BDC0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72FB6C-9FC8-45EF-9D2F-A73A995087A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21B-4F8F-A9F8-5D4EA59BDC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Diagrams!$B$8:$B$12</c:f>
              <c:numCache>
                <c:formatCode>0.00%</c:formatCode>
                <c:ptCount val="5"/>
                <c:pt idx="0">
                  <c:v>1.315E-2</c:v>
                </c:pt>
                <c:pt idx="1">
                  <c:v>6.8000000000000005E-3</c:v>
                </c:pt>
                <c:pt idx="2">
                  <c:v>1.315E-2</c:v>
                </c:pt>
                <c:pt idx="3">
                  <c:v>4.0000000000000246E-4</c:v>
                </c:pt>
                <c:pt idx="4">
                  <c:v>1.303E-2</c:v>
                </c:pt>
              </c:numCache>
            </c:numRef>
          </c:xVal>
          <c:yVal>
            <c:numRef>
              <c:f>Diagrams!$C$8:$C$12</c:f>
              <c:numCache>
                <c:formatCode>0.00%</c:formatCode>
                <c:ptCount val="5"/>
                <c:pt idx="0">
                  <c:v>0.16999999999999998</c:v>
                </c:pt>
                <c:pt idx="1">
                  <c:v>0.16999999999999998</c:v>
                </c:pt>
                <c:pt idx="2">
                  <c:v>0.08</c:v>
                </c:pt>
                <c:pt idx="3">
                  <c:v>0.08</c:v>
                </c:pt>
                <c:pt idx="4">
                  <c:v>0.20150000000000001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Diagrams!$A$8:$A$12</c15:f>
                <c15:dlblRangeCache>
                  <c:ptCount val="5"/>
                  <c:pt idx="0">
                    <c:v>Grean Transition</c:v>
                  </c:pt>
                  <c:pt idx="1">
                    <c:v>Green Stimulus</c:v>
                  </c:pt>
                  <c:pt idx="2">
                    <c:v>Dash for Energy</c:v>
                  </c:pt>
                  <c:pt idx="3">
                    <c:v>Slow Growth</c:v>
                  </c:pt>
                  <c:pt idx="4">
                    <c:v>Actual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21B-4F8F-A9F8-5D4EA59BDC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0285952"/>
        <c:axId val="323612800"/>
      </c:scatterChart>
      <c:valAx>
        <c:axId val="7102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Economic</a:t>
                </a:r>
                <a:r>
                  <a:rPr lang="en-AU" baseline="0"/>
                  <a:t> growth 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12800"/>
        <c:crosses val="autoZero"/>
        <c:crossBetween val="midCat"/>
      </c:valAx>
      <c:valAx>
        <c:axId val="3236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Environmental 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8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ElecDemand!$B$3</c:f>
              <c:strCache>
                <c:ptCount val="1"/>
                <c:pt idx="0">
                  <c:v>Green 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ElecDemand!$A$4:$A$12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ElecDemand!$B$4:$B$12</c:f>
              <c:numCache>
                <c:formatCode>General</c:formatCode>
                <c:ptCount val="9"/>
                <c:pt idx="0">
                  <c:v>344</c:v>
                </c:pt>
                <c:pt idx="1">
                  <c:v>342.6</c:v>
                </c:pt>
                <c:pt idx="2">
                  <c:v>341.20000000000005</c:v>
                </c:pt>
                <c:pt idx="3">
                  <c:v>339.80000000000007</c:v>
                </c:pt>
                <c:pt idx="4">
                  <c:v>338.40000000000009</c:v>
                </c:pt>
                <c:pt idx="5">
                  <c:v>337</c:v>
                </c:pt>
                <c:pt idx="6">
                  <c:v>341</c:v>
                </c:pt>
                <c:pt idx="7">
                  <c:v>345</c:v>
                </c:pt>
                <c:pt idx="8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1-4760-9F86-5EC1536CC5A3}"/>
            </c:ext>
          </c:extLst>
        </c:ser>
        <c:ser>
          <c:idx val="1"/>
          <c:order val="1"/>
          <c:tx>
            <c:strRef>
              <c:f>ElecDemand!$C$3</c:f>
              <c:strCache>
                <c:ptCount val="1"/>
                <c:pt idx="0">
                  <c:v>Green stimulus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ElecDemand!$A$4:$A$12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ElecDemand!$C$4:$C$12</c:f>
              <c:numCache>
                <c:formatCode>General</c:formatCode>
                <c:ptCount val="9"/>
                <c:pt idx="0">
                  <c:v>340</c:v>
                </c:pt>
                <c:pt idx="1">
                  <c:v>336.4</c:v>
                </c:pt>
                <c:pt idx="2">
                  <c:v>332.79999999999995</c:v>
                </c:pt>
                <c:pt idx="3">
                  <c:v>329.19999999999993</c:v>
                </c:pt>
                <c:pt idx="4">
                  <c:v>325.59999999999991</c:v>
                </c:pt>
                <c:pt idx="5">
                  <c:v>322</c:v>
                </c:pt>
                <c:pt idx="6">
                  <c:v>326</c:v>
                </c:pt>
                <c:pt idx="7">
                  <c:v>330</c:v>
                </c:pt>
                <c:pt idx="8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1-4760-9F86-5EC1536CC5A3}"/>
            </c:ext>
          </c:extLst>
        </c:ser>
        <c:ser>
          <c:idx val="2"/>
          <c:order val="2"/>
          <c:tx>
            <c:strRef>
              <c:f>ElecDemand!$D$3</c:f>
              <c:strCache>
                <c:ptCount val="1"/>
                <c:pt idx="0">
                  <c:v>Dash for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ElecDemand!$A$4:$A$12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ElecDemand!$D$4:$D$12</c:f>
              <c:numCache>
                <c:formatCode>General</c:formatCode>
                <c:ptCount val="9"/>
                <c:pt idx="0">
                  <c:v>353</c:v>
                </c:pt>
                <c:pt idx="1">
                  <c:v>356.4</c:v>
                </c:pt>
                <c:pt idx="2">
                  <c:v>359.79999999999995</c:v>
                </c:pt>
                <c:pt idx="3">
                  <c:v>363.19999999999993</c:v>
                </c:pt>
                <c:pt idx="4">
                  <c:v>366.59999999999991</c:v>
                </c:pt>
                <c:pt idx="5">
                  <c:v>370</c:v>
                </c:pt>
                <c:pt idx="6">
                  <c:v>373</c:v>
                </c:pt>
                <c:pt idx="7">
                  <c:v>376</c:v>
                </c:pt>
                <c:pt idx="8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1-4760-9F86-5EC1536CC5A3}"/>
            </c:ext>
          </c:extLst>
        </c:ser>
        <c:ser>
          <c:idx val="3"/>
          <c:order val="3"/>
          <c:tx>
            <c:strRef>
              <c:f>ElecDemand!$E$3</c:f>
              <c:strCache>
                <c:ptCount val="1"/>
                <c:pt idx="0">
                  <c:v>Slow 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ElecDemand!$A$4:$A$12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ElecDemand!$E$4:$E$12</c:f>
              <c:numCache>
                <c:formatCode>General</c:formatCode>
                <c:ptCount val="9"/>
                <c:pt idx="0">
                  <c:v>348</c:v>
                </c:pt>
                <c:pt idx="1">
                  <c:v>347.2</c:v>
                </c:pt>
                <c:pt idx="2">
                  <c:v>346.4</c:v>
                </c:pt>
                <c:pt idx="3">
                  <c:v>345.59999999999997</c:v>
                </c:pt>
                <c:pt idx="4">
                  <c:v>344.79999999999995</c:v>
                </c:pt>
                <c:pt idx="5">
                  <c:v>344</c:v>
                </c:pt>
                <c:pt idx="6">
                  <c:v>346.2</c:v>
                </c:pt>
                <c:pt idx="7">
                  <c:v>348.4</c:v>
                </c:pt>
                <c:pt idx="8">
                  <c:v>350.59999999999997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C1-4760-9F86-5EC1536CC5A3}"/>
            </c:ext>
          </c:extLst>
        </c:ser>
        <c:ser>
          <c:idx val="4"/>
          <c:order val="4"/>
          <c:tx>
            <c:strRef>
              <c:f>ElecDemand!$F$3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ElecDemand!$A$4:$A$12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ElecDemand!$F$4:$F$12</c:f>
              <c:numCache>
                <c:formatCode>#,##0.00\ ;\-#,##0.00\ ;"- "</c:formatCode>
                <c:ptCount val="9"/>
                <c:pt idx="0">
                  <c:v>329.25817931374661</c:v>
                </c:pt>
                <c:pt idx="1">
                  <c:v>318.25317492789662</c:v>
                </c:pt>
                <c:pt idx="2">
                  <c:v>318.75686080854473</c:v>
                </c:pt>
                <c:pt idx="3">
                  <c:v>316.8437244423942</c:v>
                </c:pt>
                <c:pt idx="4">
                  <c:v>303.34678704200445</c:v>
                </c:pt>
                <c:pt idx="5">
                  <c:v>303.89</c:v>
                </c:pt>
                <c:pt idx="6">
                  <c:v>304.27999999999997</c:v>
                </c:pt>
                <c:pt idx="7">
                  <c:v>299.87</c:v>
                </c:pt>
                <c:pt idx="8">
                  <c:v>299.86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C1-4760-9F86-5EC1536CC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09760"/>
        <c:axId val="829140880"/>
      </c:lineChart>
      <c:catAx>
        <c:axId val="84250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40880"/>
        <c:crosses val="autoZero"/>
        <c:auto val="1"/>
        <c:lblAlgn val="ctr"/>
        <c:lblOffset val="100"/>
        <c:noMultiLvlLbl val="0"/>
      </c:catAx>
      <c:valAx>
        <c:axId val="8291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0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'Gas Demand+Import'!$G$13</c:f>
              <c:strCache>
                <c:ptCount val="1"/>
                <c:pt idx="0">
                  <c:v>Green 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'Gas Demand+Import'!$A$14:$A$22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'Gas Demand+Import'!$G$14:$G$22</c:f>
              <c:numCache>
                <c:formatCode>General</c:formatCode>
                <c:ptCount val="9"/>
                <c:pt idx="0">
                  <c:v>36.799999999999997</c:v>
                </c:pt>
                <c:pt idx="1">
                  <c:v>38.699999999999996</c:v>
                </c:pt>
                <c:pt idx="2">
                  <c:v>40.599999999999994</c:v>
                </c:pt>
                <c:pt idx="3">
                  <c:v>42.499999999999993</c:v>
                </c:pt>
                <c:pt idx="4">
                  <c:v>44.399999999999991</c:v>
                </c:pt>
                <c:pt idx="5">
                  <c:v>46.3</c:v>
                </c:pt>
                <c:pt idx="6">
                  <c:v>47.22</c:v>
                </c:pt>
                <c:pt idx="7">
                  <c:v>48.14</c:v>
                </c:pt>
                <c:pt idx="8">
                  <c:v>49.06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6-4A4A-86A2-E02EADAD0FA9}"/>
            </c:ext>
          </c:extLst>
        </c:ser>
        <c:ser>
          <c:idx val="1"/>
          <c:order val="1"/>
          <c:tx>
            <c:strRef>
              <c:f>'Gas Demand+Import'!$H$13</c:f>
              <c:strCache>
                <c:ptCount val="1"/>
                <c:pt idx="0">
                  <c:v>Green stimulus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'Gas Demand+Import'!$A$14:$A$22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'Gas Demand+Import'!$H$14:$H$22</c:f>
              <c:numCache>
                <c:formatCode>General</c:formatCode>
                <c:ptCount val="9"/>
                <c:pt idx="0">
                  <c:v>37.5</c:v>
                </c:pt>
                <c:pt idx="1">
                  <c:v>40.42</c:v>
                </c:pt>
                <c:pt idx="2">
                  <c:v>43.34</c:v>
                </c:pt>
                <c:pt idx="3">
                  <c:v>46.260000000000005</c:v>
                </c:pt>
                <c:pt idx="4">
                  <c:v>49.180000000000007</c:v>
                </c:pt>
                <c:pt idx="5">
                  <c:v>52.099999999999994</c:v>
                </c:pt>
                <c:pt idx="6">
                  <c:v>52.66</c:v>
                </c:pt>
                <c:pt idx="7">
                  <c:v>53.22</c:v>
                </c:pt>
                <c:pt idx="8">
                  <c:v>53.78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6-4A4A-86A2-E02EADAD0FA9}"/>
            </c:ext>
          </c:extLst>
        </c:ser>
        <c:ser>
          <c:idx val="2"/>
          <c:order val="2"/>
          <c:tx>
            <c:strRef>
              <c:f>'Gas Demand+Import'!$I$13</c:f>
              <c:strCache>
                <c:ptCount val="1"/>
                <c:pt idx="0">
                  <c:v>Dash for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'Gas Demand+Import'!$A$14:$A$22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'Gas Demand+Import'!$I$14:$I$22</c:f>
              <c:numCache>
                <c:formatCode>General</c:formatCode>
                <c:ptCount val="9"/>
                <c:pt idx="0">
                  <c:v>35.4</c:v>
                </c:pt>
                <c:pt idx="1">
                  <c:v>39.54</c:v>
                </c:pt>
                <c:pt idx="2">
                  <c:v>43.68</c:v>
                </c:pt>
                <c:pt idx="3">
                  <c:v>47.82</c:v>
                </c:pt>
                <c:pt idx="4">
                  <c:v>51.96</c:v>
                </c:pt>
                <c:pt idx="5">
                  <c:v>56.1</c:v>
                </c:pt>
                <c:pt idx="6">
                  <c:v>62.28</c:v>
                </c:pt>
                <c:pt idx="7">
                  <c:v>68.460000000000008</c:v>
                </c:pt>
                <c:pt idx="8">
                  <c:v>74.640000000000015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6-4A4A-86A2-E02EADAD0FA9}"/>
            </c:ext>
          </c:extLst>
        </c:ser>
        <c:ser>
          <c:idx val="3"/>
          <c:order val="3"/>
          <c:tx>
            <c:strRef>
              <c:f>'Gas Demand+Import'!$J$13</c:f>
              <c:strCache>
                <c:ptCount val="1"/>
                <c:pt idx="0">
                  <c:v>Slow 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'Gas Demand+Import'!$A$14:$A$22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'Gas Demand+Import'!$J$14:$J$22</c:f>
              <c:numCache>
                <c:formatCode>General</c:formatCode>
                <c:ptCount val="9"/>
                <c:pt idx="0">
                  <c:v>32.1</c:v>
                </c:pt>
                <c:pt idx="1">
                  <c:v>35.74</c:v>
                </c:pt>
                <c:pt idx="2">
                  <c:v>39.380000000000003</c:v>
                </c:pt>
                <c:pt idx="3">
                  <c:v>43.02</c:v>
                </c:pt>
                <c:pt idx="4">
                  <c:v>46.660000000000004</c:v>
                </c:pt>
                <c:pt idx="5">
                  <c:v>50.3</c:v>
                </c:pt>
                <c:pt idx="6">
                  <c:v>55.58</c:v>
                </c:pt>
                <c:pt idx="7">
                  <c:v>60.86</c:v>
                </c:pt>
                <c:pt idx="8">
                  <c:v>66.14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6-4A4A-86A2-E02EADAD0FA9}"/>
            </c:ext>
          </c:extLst>
        </c:ser>
        <c:ser>
          <c:idx val="4"/>
          <c:order val="4"/>
          <c:tx>
            <c:strRef>
              <c:f>'Gas Demand+Import'!$K$13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'Gas Demand+Import'!$A$14:$A$22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'Gas Demand+Import'!$K$14:$K$22</c:f>
              <c:numCache>
                <c:formatCode>#,##0\ ;\-#,##0\ ;"-"\ </c:formatCode>
                <c:ptCount val="9"/>
                <c:pt idx="0">
                  <c:v>40.066932078943587</c:v>
                </c:pt>
                <c:pt idx="1">
                  <c:v>38.659782768614882</c:v>
                </c:pt>
                <c:pt idx="2">
                  <c:v>38.75096294535264</c:v>
                </c:pt>
                <c:pt idx="3">
                  <c:v>40.323286661086918</c:v>
                </c:pt>
                <c:pt idx="4">
                  <c:v>33.260066675537601</c:v>
                </c:pt>
                <c:pt idx="5">
                  <c:v>31.333455423878323</c:v>
                </c:pt>
                <c:pt idx="6">
                  <c:v>37.944787326060116</c:v>
                </c:pt>
                <c:pt idx="7">
                  <c:v>35.82006616302219</c:v>
                </c:pt>
                <c:pt idx="8">
                  <c:v>39.529594870238597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B6-4A4A-86A2-E02EADAD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293072"/>
        <c:axId val="1710472768"/>
      </c:lineChart>
      <c:catAx>
        <c:axId val="14252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472768"/>
        <c:crosses val="autoZero"/>
        <c:auto val="1"/>
        <c:lblAlgn val="ctr"/>
        <c:lblOffset val="100"/>
        <c:noMultiLvlLbl val="0"/>
      </c:catAx>
      <c:valAx>
        <c:axId val="17104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Net imports of gas (bcm)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7AD-4828-BC14-73DA0B248D3F}"/>
              </c:ext>
            </c:extLst>
          </c:dPt>
          <c:xVal>
            <c:numRef>
              <c:f>Diagrams!$B$40:$B$54</c:f>
              <c:numCache>
                <c:formatCode>General</c:formatCode>
                <c:ptCount val="15"/>
                <c:pt idx="0">
                  <c:v>1</c:v>
                </c:pt>
                <c:pt idx="1">
                  <c:v>0.98006379585326953</c:v>
                </c:pt>
                <c:pt idx="2">
                  <c:v>0.5861244019138756</c:v>
                </c:pt>
                <c:pt idx="3">
                  <c:v>0.51036682615629991</c:v>
                </c:pt>
                <c:pt idx="4">
                  <c:v>0.91431661108694584</c:v>
                </c:pt>
                <c:pt idx="5">
                  <c:v>0.65728831725616277</c:v>
                </c:pt>
                <c:pt idx="6">
                  <c:v>0.72052518756698813</c:v>
                </c:pt>
                <c:pt idx="7">
                  <c:v>1</c:v>
                </c:pt>
                <c:pt idx="8">
                  <c:v>0.88612004287245427</c:v>
                </c:pt>
                <c:pt idx="9">
                  <c:v>0.52960336106964889</c:v>
                </c:pt>
                <c:pt idx="10">
                  <c:v>0.79350498123948787</c:v>
                </c:pt>
                <c:pt idx="11">
                  <c:v>0.56048647949281927</c:v>
                </c:pt>
                <c:pt idx="12">
                  <c:v>1</c:v>
                </c:pt>
                <c:pt idx="13">
                  <c:v>0.93530857808254642</c:v>
                </c:pt>
                <c:pt idx="14">
                  <c:v>0.43226370483406928</c:v>
                </c:pt>
              </c:numCache>
            </c:numRef>
          </c:xVal>
          <c:yVal>
            <c:numRef>
              <c:f>Diagrams!$C$40:$C$54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D-4828-BC14-73DA0B248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483984"/>
        <c:axId val="1926020368"/>
      </c:scatterChart>
      <c:valAx>
        <c:axId val="19234839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26020368"/>
        <c:crosses val="autoZero"/>
        <c:crossBetween val="midCat"/>
      </c:valAx>
      <c:valAx>
        <c:axId val="19260203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2348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ConsumerBills!$K$7</c:f>
              <c:strCache>
                <c:ptCount val="1"/>
                <c:pt idx="0">
                  <c:v>Green 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ConsumerBills!$J$8:$J$17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ConsumerBills!$K$8:$K$17</c:f>
              <c:numCache>
                <c:formatCode>General</c:formatCode>
                <c:ptCount val="10"/>
                <c:pt idx="0">
                  <c:v>424.20000000000005</c:v>
                </c:pt>
                <c:pt idx="1">
                  <c:v>439.11</c:v>
                </c:pt>
                <c:pt idx="2">
                  <c:v>454.02</c:v>
                </c:pt>
                <c:pt idx="3">
                  <c:v>468.93</c:v>
                </c:pt>
                <c:pt idx="4">
                  <c:v>483.84</c:v>
                </c:pt>
                <c:pt idx="5">
                  <c:v>498.75</c:v>
                </c:pt>
                <c:pt idx="6">
                  <c:v>514.5</c:v>
                </c:pt>
                <c:pt idx="7">
                  <c:v>530.25</c:v>
                </c:pt>
                <c:pt idx="8">
                  <c:v>546</c:v>
                </c:pt>
                <c:pt idx="9">
                  <c:v>561.75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3-4846-84E6-8C1C1EAE7322}"/>
            </c:ext>
          </c:extLst>
        </c:ser>
        <c:ser>
          <c:idx val="1"/>
          <c:order val="1"/>
          <c:tx>
            <c:strRef>
              <c:f>ConsumerBills!$L$7</c:f>
              <c:strCache>
                <c:ptCount val="1"/>
                <c:pt idx="0">
                  <c:v>Green Stimulus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ConsumerBills!$J$8:$J$17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ConsumerBills!$L$8:$L$17</c:f>
              <c:numCache>
                <c:formatCode>General</c:formatCode>
                <c:ptCount val="10"/>
                <c:pt idx="0">
                  <c:v>363.3</c:v>
                </c:pt>
                <c:pt idx="1">
                  <c:v>374.64000000000004</c:v>
                </c:pt>
                <c:pt idx="2">
                  <c:v>385.98</c:v>
                </c:pt>
                <c:pt idx="3">
                  <c:v>397.32000000000005</c:v>
                </c:pt>
                <c:pt idx="4">
                  <c:v>408.66000000000008</c:v>
                </c:pt>
                <c:pt idx="5">
                  <c:v>420</c:v>
                </c:pt>
                <c:pt idx="6">
                  <c:v>439.95000000000005</c:v>
                </c:pt>
                <c:pt idx="7">
                  <c:v>459.90000000000003</c:v>
                </c:pt>
                <c:pt idx="8">
                  <c:v>479.85</c:v>
                </c:pt>
                <c:pt idx="9">
                  <c:v>499.8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3-4846-84E6-8C1C1EAE7322}"/>
            </c:ext>
          </c:extLst>
        </c:ser>
        <c:ser>
          <c:idx val="2"/>
          <c:order val="2"/>
          <c:tx>
            <c:strRef>
              <c:f>ConsumerBills!$M$7</c:f>
              <c:strCache>
                <c:ptCount val="1"/>
                <c:pt idx="0">
                  <c:v>Dash for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ConsumerBills!$J$8:$J$17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ConsumerBills!$M$8:$M$17</c:f>
              <c:numCache>
                <c:formatCode>General</c:formatCode>
                <c:ptCount val="10"/>
                <c:pt idx="0">
                  <c:v>458.85</c:v>
                </c:pt>
                <c:pt idx="1">
                  <c:v>501.48</c:v>
                </c:pt>
                <c:pt idx="2">
                  <c:v>544.11000000000013</c:v>
                </c:pt>
                <c:pt idx="3">
                  <c:v>586.74000000000012</c:v>
                </c:pt>
                <c:pt idx="4">
                  <c:v>629.37000000000012</c:v>
                </c:pt>
                <c:pt idx="5">
                  <c:v>672</c:v>
                </c:pt>
                <c:pt idx="6">
                  <c:v>658.77</c:v>
                </c:pt>
                <c:pt idx="7">
                  <c:v>645.54</c:v>
                </c:pt>
                <c:pt idx="8">
                  <c:v>632.30999999999995</c:v>
                </c:pt>
                <c:pt idx="9">
                  <c:v>619.07999999999993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3-4846-84E6-8C1C1EAE7322}"/>
            </c:ext>
          </c:extLst>
        </c:ser>
        <c:ser>
          <c:idx val="3"/>
          <c:order val="3"/>
          <c:tx>
            <c:strRef>
              <c:f>ConsumerBills!$N$7</c:f>
              <c:strCache>
                <c:ptCount val="1"/>
                <c:pt idx="0">
                  <c:v>Slow 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ConsumerBills!$J$8:$J$17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ConsumerBills!$N$8:$N$17</c:f>
              <c:numCache>
                <c:formatCode>General</c:formatCode>
                <c:ptCount val="10"/>
                <c:pt idx="0">
                  <c:v>413.70000000000005</c:v>
                </c:pt>
                <c:pt idx="1">
                  <c:v>427.56</c:v>
                </c:pt>
                <c:pt idx="2">
                  <c:v>441.42</c:v>
                </c:pt>
                <c:pt idx="3">
                  <c:v>455.28</c:v>
                </c:pt>
                <c:pt idx="4">
                  <c:v>469.14</c:v>
                </c:pt>
                <c:pt idx="5">
                  <c:v>483</c:v>
                </c:pt>
                <c:pt idx="6">
                  <c:v>512.82000000000005</c:v>
                </c:pt>
                <c:pt idx="7">
                  <c:v>542.64</c:v>
                </c:pt>
                <c:pt idx="8">
                  <c:v>572.45999999999992</c:v>
                </c:pt>
                <c:pt idx="9">
                  <c:v>602.28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3-4846-84E6-8C1C1EAE7322}"/>
            </c:ext>
          </c:extLst>
        </c:ser>
        <c:ser>
          <c:idx val="4"/>
          <c:order val="4"/>
          <c:tx>
            <c:strRef>
              <c:f>ConsumerBills!$O$7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ConsumerBills!$J$8:$J$17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ConsumerBills!$O$8:$O$17</c:f>
              <c:numCache>
                <c:formatCode>0\ </c:formatCode>
                <c:ptCount val="10"/>
                <c:pt idx="0">
                  <c:v>436.81578947368422</c:v>
                </c:pt>
                <c:pt idx="1">
                  <c:v>466.34210526315792</c:v>
                </c:pt>
                <c:pt idx="2">
                  <c:v>490.65789473684214</c:v>
                </c:pt>
                <c:pt idx="3">
                  <c:v>521.92105263157896</c:v>
                </c:pt>
                <c:pt idx="4">
                  <c:v>535.81578947368428</c:v>
                </c:pt>
                <c:pt idx="5">
                  <c:v>526.26315789473688</c:v>
                </c:pt>
                <c:pt idx="6">
                  <c:v>529.73684210526324</c:v>
                </c:pt>
                <c:pt idx="7">
                  <c:v>566.21052631578948</c:v>
                </c:pt>
                <c:pt idx="8">
                  <c:v>607.02631578947376</c:v>
                </c:pt>
                <c:pt idx="9">
                  <c:v>634.66893737120131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53-4846-84E6-8C1C1EAE7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92928"/>
        <c:axId val="6585008"/>
      </c:lineChart>
      <c:catAx>
        <c:axId val="1298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008"/>
        <c:crosses val="autoZero"/>
        <c:auto val="1"/>
        <c:lblAlgn val="ctr"/>
        <c:lblOffset val="100"/>
        <c:noMultiLvlLbl val="0"/>
      </c:catAx>
      <c:valAx>
        <c:axId val="65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'GDP growth'!$G$3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growth'!$A$4:$A$13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'GDP growth'!$G$4:$G$13</c:f>
              <c:numCache>
                <c:formatCode>0.00%</c:formatCode>
                <c:ptCount val="10"/>
                <c:pt idx="0">
                  <c:v>-4.2500000000000003E-2</c:v>
                </c:pt>
                <c:pt idx="1">
                  <c:v>1.95E-2</c:v>
                </c:pt>
                <c:pt idx="2">
                  <c:v>1.54E-2</c:v>
                </c:pt>
                <c:pt idx="3">
                  <c:v>1.4800000000000001E-2</c:v>
                </c:pt>
                <c:pt idx="4">
                  <c:v>2.1399999999999999E-2</c:v>
                </c:pt>
                <c:pt idx="5">
                  <c:v>2.6100000000000002E-2</c:v>
                </c:pt>
                <c:pt idx="6">
                  <c:v>2.3599999999999999E-2</c:v>
                </c:pt>
                <c:pt idx="7">
                  <c:v>1.9199999999999998E-2</c:v>
                </c:pt>
                <c:pt idx="8">
                  <c:v>1.89E-2</c:v>
                </c:pt>
                <c:pt idx="9">
                  <c:v>1.3899999999999999E-2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4-43F9-9B62-38FF66C18BCC}"/>
            </c:ext>
          </c:extLst>
        </c:ser>
        <c:ser>
          <c:idx val="1"/>
          <c:order val="1"/>
          <c:tx>
            <c:strRef>
              <c:f>'GDP growth'!$B$3</c:f>
              <c:strCache>
                <c:ptCount val="1"/>
                <c:pt idx="0">
                  <c:v>Slow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'GDP growth'!$A$4:$A$13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'GDP growth'!$B$4:$B$13</c:f>
              <c:numCache>
                <c:formatCode>0.00%</c:formatCode>
                <c:ptCount val="10"/>
                <c:pt idx="0">
                  <c:v>-3.7999999999999999E-2</c:v>
                </c:pt>
                <c:pt idx="1">
                  <c:v>-2.5333333333333333E-2</c:v>
                </c:pt>
                <c:pt idx="2">
                  <c:v>-1.2666666666666666E-2</c:v>
                </c:pt>
                <c:pt idx="3">
                  <c:v>0</c:v>
                </c:pt>
                <c:pt idx="4">
                  <c:v>4.0000000000000001E-3</c:v>
                </c:pt>
                <c:pt idx="5">
                  <c:v>8.0000000000000002E-3</c:v>
                </c:pt>
                <c:pt idx="6">
                  <c:v>1.2E-2</c:v>
                </c:pt>
                <c:pt idx="7">
                  <c:v>1.6E-2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4-43F9-9B62-38FF66C18BCC}"/>
            </c:ext>
          </c:extLst>
        </c:ser>
        <c:ser>
          <c:idx val="2"/>
          <c:order val="2"/>
          <c:tx>
            <c:strRef>
              <c:f>'GDP growth'!$C$3</c:f>
              <c:strCache>
                <c:ptCount val="1"/>
                <c:pt idx="0">
                  <c:v>Green Transition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'GDP growth'!$A$4:$A$13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'GDP growth'!$C$4:$C$13</c:f>
              <c:numCache>
                <c:formatCode>0.00%</c:formatCode>
                <c:ptCount val="10"/>
                <c:pt idx="0">
                  <c:v>-3.7999999999999999E-2</c:v>
                </c:pt>
                <c:pt idx="1">
                  <c:v>-8.4999999999999989E-3</c:v>
                </c:pt>
                <c:pt idx="2">
                  <c:v>2.1000000000000001E-2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2.3E-2</c:v>
                </c:pt>
                <c:pt idx="6">
                  <c:v>2.1000000000000001E-2</c:v>
                </c:pt>
                <c:pt idx="7">
                  <c:v>2.1000000000000001E-2</c:v>
                </c:pt>
                <c:pt idx="8">
                  <c:v>2.1000000000000001E-2</c:v>
                </c:pt>
                <c:pt idx="9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94-43F9-9B62-38FF66C18BCC}"/>
            </c:ext>
          </c:extLst>
        </c:ser>
        <c:ser>
          <c:idx val="3"/>
          <c:order val="3"/>
          <c:tx>
            <c:strRef>
              <c:f>'GDP growth'!$D$3</c:f>
              <c:strCache>
                <c:ptCount val="1"/>
                <c:pt idx="0">
                  <c:v>Dash for Energy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'GDP growth'!$A$4:$A$13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'GDP growth'!$D$4:$D$13</c:f>
              <c:numCache>
                <c:formatCode>0.00%</c:formatCode>
                <c:ptCount val="10"/>
                <c:pt idx="0">
                  <c:v>-3.7999999999999999E-2</c:v>
                </c:pt>
                <c:pt idx="1">
                  <c:v>-8.4999999999999989E-3</c:v>
                </c:pt>
                <c:pt idx="2">
                  <c:v>2.1000000000000001E-2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2.3E-2</c:v>
                </c:pt>
                <c:pt idx="6">
                  <c:v>2.1000000000000001E-2</c:v>
                </c:pt>
                <c:pt idx="7">
                  <c:v>2.1000000000000001E-2</c:v>
                </c:pt>
                <c:pt idx="8">
                  <c:v>2.1000000000000001E-2</c:v>
                </c:pt>
                <c:pt idx="9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94-43F9-9B62-38FF66C18BCC}"/>
            </c:ext>
          </c:extLst>
        </c:ser>
        <c:ser>
          <c:idx val="4"/>
          <c:order val="4"/>
          <c:tx>
            <c:strRef>
              <c:f>'GDP growth'!$E$3</c:f>
              <c:strCache>
                <c:ptCount val="1"/>
                <c:pt idx="0">
                  <c:v>Green Stimulus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'GDP growth'!$A$4:$A$13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'GDP growth'!$E$4:$E$13</c:f>
              <c:numCache>
                <c:formatCode>0.00%</c:formatCode>
                <c:ptCount val="10"/>
                <c:pt idx="0">
                  <c:v>-3.7999999999999999E-2</c:v>
                </c:pt>
                <c:pt idx="1">
                  <c:v>-1.6500000000000001E-2</c:v>
                </c:pt>
                <c:pt idx="2">
                  <c:v>5.0000000000000001E-3</c:v>
                </c:pt>
                <c:pt idx="3">
                  <c:v>8.7500000000000008E-3</c:v>
                </c:pt>
                <c:pt idx="4">
                  <c:v>1.2500000000000001E-2</c:v>
                </c:pt>
                <c:pt idx="5">
                  <c:v>1.6250000000000001E-2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94-43F9-9B62-38FF66C1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36943"/>
        <c:axId val="752941872"/>
      </c:lineChart>
      <c:catAx>
        <c:axId val="4973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41872"/>
        <c:crosses val="autoZero"/>
        <c:auto val="1"/>
        <c:lblAlgn val="ctr"/>
        <c:lblOffset val="100"/>
        <c:noMultiLvlLbl val="0"/>
      </c:catAx>
      <c:valAx>
        <c:axId val="7529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Nuclear!$K$11</c:f>
              <c:strCache>
                <c:ptCount val="1"/>
                <c:pt idx="0">
                  <c:v>Green 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Nuclear!$J$12:$J$23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Nuclear!$K$12:$K$23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A-4116-BA39-934B4A53760D}"/>
            </c:ext>
          </c:extLst>
        </c:ser>
        <c:ser>
          <c:idx val="1"/>
          <c:order val="1"/>
          <c:tx>
            <c:strRef>
              <c:f>Nuclear!$L$11</c:f>
              <c:strCache>
                <c:ptCount val="1"/>
                <c:pt idx="0">
                  <c:v>Green Stimulus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Nuclear!$J$12:$J$23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Nuclear!$L$12:$L$23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A-4116-BA39-934B4A53760D}"/>
            </c:ext>
          </c:extLst>
        </c:ser>
        <c:ser>
          <c:idx val="2"/>
          <c:order val="2"/>
          <c:tx>
            <c:strRef>
              <c:f>Nuclear!$M$11</c:f>
              <c:strCache>
                <c:ptCount val="1"/>
                <c:pt idx="0">
                  <c:v>Dash for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Nuclear!$J$12:$J$23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Nuclear!$M$12:$M$23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A-4116-BA39-934B4A53760D}"/>
            </c:ext>
          </c:extLst>
        </c:ser>
        <c:ser>
          <c:idx val="3"/>
          <c:order val="3"/>
          <c:tx>
            <c:strRef>
              <c:f>Nuclear!$N$11</c:f>
              <c:strCache>
                <c:ptCount val="1"/>
                <c:pt idx="0">
                  <c:v>Slow 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Nuclear!$J$12:$J$23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Nuclear!$N$12:$N$23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A-4116-BA39-934B4A53760D}"/>
            </c:ext>
          </c:extLst>
        </c:ser>
        <c:ser>
          <c:idx val="4"/>
          <c:order val="4"/>
          <c:tx>
            <c:strRef>
              <c:f>Nuclear!$O$11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Nuclear!$J$12:$J$23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Nuclear!$O$12:$O$23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AA-4116-BA39-934B4A537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626304"/>
        <c:axId val="1734464048"/>
      </c:lineChart>
      <c:catAx>
        <c:axId val="19076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464048"/>
        <c:crosses val="autoZero"/>
        <c:auto val="1"/>
        <c:lblAlgn val="ctr"/>
        <c:lblOffset val="100"/>
        <c:noMultiLvlLbl val="0"/>
      </c:catAx>
      <c:valAx>
        <c:axId val="17344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'Generation Capacity'!$B$44:$F$44</c:f>
              <c:numCache>
                <c:formatCode>#,##0</c:formatCode>
                <c:ptCount val="5"/>
                <c:pt idx="0">
                  <c:v>28698.6</c:v>
                </c:pt>
                <c:pt idx="1">
                  <c:v>24098.2</c:v>
                </c:pt>
                <c:pt idx="2">
                  <c:v>26378.6</c:v>
                </c:pt>
                <c:pt idx="3">
                  <c:v>26138.6</c:v>
                </c:pt>
                <c:pt idx="4" formatCode="#,##0;\-#,##0;\-">
                  <c:v>18006.900000000001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9-4FA4-9703-6431D153154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'Generation Capacity'!$B$45:$F$45</c:f>
              <c:numCache>
                <c:formatCode>#,##0</c:formatCode>
                <c:ptCount val="5"/>
                <c:pt idx="0">
                  <c:v>28129</c:v>
                </c:pt>
                <c:pt idx="1">
                  <c:v>28281</c:v>
                </c:pt>
                <c:pt idx="2">
                  <c:v>42372.6</c:v>
                </c:pt>
                <c:pt idx="3">
                  <c:v>32929</c:v>
                </c:pt>
                <c:pt idx="4" formatCode="#,##0;\-#,##0;\-">
                  <c:v>32267.35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9-4FA4-9703-6431D153154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'Generation Capacity'!$B$46:$F$46</c:f>
              <c:numCache>
                <c:formatCode>#,##0</c:formatCode>
                <c:ptCount val="5"/>
                <c:pt idx="0">
                  <c:v>9408</c:v>
                </c:pt>
                <c:pt idx="1">
                  <c:v>9408</c:v>
                </c:pt>
                <c:pt idx="2">
                  <c:v>6042</c:v>
                </c:pt>
                <c:pt idx="3">
                  <c:v>6042</c:v>
                </c:pt>
                <c:pt idx="4" formatCode="#,##0;\-#,##0;\-">
                  <c:v>9314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D9-4FA4-9703-6431D153154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'Generation Capacity'!$B$47:$F$47</c:f>
              <c:numCache>
                <c:formatCode>#,##0</c:formatCode>
                <c:ptCount val="5"/>
                <c:pt idx="0">
                  <c:v>2690</c:v>
                </c:pt>
                <c:pt idx="1">
                  <c:v>2690</c:v>
                </c:pt>
                <c:pt idx="2">
                  <c:v>2690</c:v>
                </c:pt>
                <c:pt idx="3">
                  <c:v>2690</c:v>
                </c:pt>
                <c:pt idx="4" formatCode="#,##0;\-#,##0;\-">
                  <c:v>2744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D9-4FA4-9703-6431D153154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'Generation Capacity'!$B$48:$F$48</c:f>
              <c:numCache>
                <c:formatCode>#,##0</c:formatCode>
                <c:ptCount val="5"/>
                <c:pt idx="0">
                  <c:v>22501.599999999999</c:v>
                </c:pt>
                <c:pt idx="1">
                  <c:v>21451.200000000001</c:v>
                </c:pt>
                <c:pt idx="2">
                  <c:v>12027.8</c:v>
                </c:pt>
                <c:pt idx="3">
                  <c:v>10962.4</c:v>
                </c:pt>
                <c:pt idx="4" formatCode="#,##0;\-#,##0;\-">
                  <c:v>9361.26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D9-4FA4-9703-6431D153154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'Generation Capacity'!$B$49:$F$49</c:f>
              <c:numCache>
                <c:formatCode>#,##0</c:formatCode>
                <c:ptCount val="5"/>
                <c:pt idx="0">
                  <c:v>5535.4</c:v>
                </c:pt>
                <c:pt idx="1">
                  <c:v>5420.8</c:v>
                </c:pt>
                <c:pt idx="2">
                  <c:v>4373.8</c:v>
                </c:pt>
                <c:pt idx="3">
                  <c:v>4259</c:v>
                </c:pt>
                <c:pt idx="4" formatCode="#,##0;\-#,##0;\-">
                  <c:v>11238.250000000002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D9-4FA4-9703-6431D153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4726480"/>
        <c:axId val="1678447120"/>
      </c:barChart>
      <c:catAx>
        <c:axId val="168472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47120"/>
        <c:crosses val="autoZero"/>
        <c:auto val="1"/>
        <c:lblAlgn val="ctr"/>
        <c:lblOffset val="100"/>
        <c:noMultiLvlLbl val="0"/>
      </c:catAx>
      <c:valAx>
        <c:axId val="16784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'Generation Capacity'!$B$55:$F$55</c:f>
              <c:numCache>
                <c:formatCode>0.00%</c:formatCode>
                <c:ptCount val="5"/>
                <c:pt idx="0">
                  <c:v>0.29597597424161476</c:v>
                </c:pt>
                <c:pt idx="1">
                  <c:v>0.26380307654582635</c:v>
                </c:pt>
                <c:pt idx="2">
                  <c:v>0.280967739186748</c:v>
                </c:pt>
                <c:pt idx="3">
                  <c:v>0.31484323243516699</c:v>
                </c:pt>
                <c:pt idx="4">
                  <c:v>0.21712911916978492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5-4C10-8DDD-59CA5B7ED7C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'Generation Capacity'!$B$56:$F$56</c:f>
              <c:numCache>
                <c:formatCode>0.00%</c:formatCode>
                <c:ptCount val="5"/>
                <c:pt idx="0">
                  <c:v>0.29010154430677393</c:v>
                </c:pt>
                <c:pt idx="1">
                  <c:v>0.30959220223056144</c:v>
                </c:pt>
                <c:pt idx="2">
                  <c:v>0.45132545417362552</c:v>
                </c:pt>
                <c:pt idx="3">
                  <c:v>0.39663458642993943</c:v>
                </c:pt>
                <c:pt idx="4">
                  <c:v>0.38908314498570873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5-4C10-8DDD-59CA5B7ED7C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'Generation Capacity'!$B$57:$F$57</c:f>
              <c:numCache>
                <c:formatCode>0.00%</c:formatCode>
                <c:ptCount val="5"/>
                <c:pt idx="0">
                  <c:v>9.702710117096694E-2</c:v>
                </c:pt>
                <c:pt idx="1">
                  <c:v>0.1029894076795418</c:v>
                </c:pt>
                <c:pt idx="2">
                  <c:v>6.4355465421452665E-2</c:v>
                </c:pt>
                <c:pt idx="3">
                  <c:v>7.2776767323930083E-2</c:v>
                </c:pt>
                <c:pt idx="4">
                  <c:v>0.11230920457976534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5-4C10-8DDD-59CA5B7ED7C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'Generation Capacity'!$B$58:$F$58</c:f>
              <c:numCache>
                <c:formatCode>0.00%</c:formatCode>
                <c:ptCount val="5"/>
                <c:pt idx="0">
                  <c:v>2.7742655415593228E-2</c:v>
                </c:pt>
                <c:pt idx="1">
                  <c:v>2.9447439058032255E-2</c:v>
                </c:pt>
                <c:pt idx="2">
                  <c:v>2.8652135382937385E-2</c:v>
                </c:pt>
                <c:pt idx="3">
                  <c:v>3.2401440599366428E-2</c:v>
                </c:pt>
                <c:pt idx="4">
                  <c:v>3.3087444424186825E-2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35-4C10-8DDD-59CA5B7ED7C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'Generation Capacity'!$B$59:$F$59</c:f>
              <c:numCache>
                <c:formatCode>0.00%</c:formatCode>
                <c:ptCount val="5"/>
                <c:pt idx="0">
                  <c:v>0.23206473423773699</c:v>
                </c:pt>
                <c:pt idx="1">
                  <c:v>0.23482635863258794</c:v>
                </c:pt>
                <c:pt idx="2">
                  <c:v>0.12811232489178226</c:v>
                </c:pt>
                <c:pt idx="3">
                  <c:v>0.13204369978680092</c:v>
                </c:pt>
                <c:pt idx="4">
                  <c:v>0.1128790706961965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35-4C10-8DDD-59CA5B7ED7C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'Generation Capacity'!$B$60:$F$60</c:f>
              <c:numCache>
                <c:formatCode>0.00%</c:formatCode>
                <c:ptCount val="5"/>
                <c:pt idx="0">
                  <c:v>5.7087990627314032E-2</c:v>
                </c:pt>
                <c:pt idx="1">
                  <c:v>5.934151585345028E-2</c:v>
                </c:pt>
                <c:pt idx="2">
                  <c:v>4.6586880943454104E-2</c:v>
                </c:pt>
                <c:pt idx="3">
                  <c:v>5.1300273424796136E-2</c:v>
                </c:pt>
                <c:pt idx="4">
                  <c:v>0.13551201614435776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35-4C10-8DDD-59CA5B7ED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382048"/>
        <c:axId val="1039456800"/>
      </c:barChart>
      <c:catAx>
        <c:axId val="66838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56800"/>
        <c:crosses val="autoZero"/>
        <c:auto val="1"/>
        <c:lblAlgn val="ctr"/>
        <c:lblOffset val="100"/>
        <c:noMultiLvlLbl val="0"/>
      </c:catAx>
      <c:valAx>
        <c:axId val="10394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'CO2'!$B$2</c:f>
              <c:strCache>
                <c:ptCount val="1"/>
                <c:pt idx="0">
                  <c:v>Green 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'CO2'!$A$3:$A$11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'CO2'!$B$3:$B$11</c:f>
              <c:numCache>
                <c:formatCode>General</c:formatCode>
                <c:ptCount val="9"/>
                <c:pt idx="0">
                  <c:v>150.4</c:v>
                </c:pt>
                <c:pt idx="1">
                  <c:v>147.18</c:v>
                </c:pt>
                <c:pt idx="2">
                  <c:v>143.96</c:v>
                </c:pt>
                <c:pt idx="3">
                  <c:v>140.74</c:v>
                </c:pt>
                <c:pt idx="4">
                  <c:v>137.52000000000001</c:v>
                </c:pt>
                <c:pt idx="5">
                  <c:v>134.30000000000001</c:v>
                </c:pt>
                <c:pt idx="6">
                  <c:v>130.42000000000002</c:v>
                </c:pt>
                <c:pt idx="7">
                  <c:v>126.54000000000002</c:v>
                </c:pt>
                <c:pt idx="8">
                  <c:v>122.66000000000003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3-497E-BFC4-2F88F4051F9F}"/>
            </c:ext>
          </c:extLst>
        </c:ser>
        <c:ser>
          <c:idx val="1"/>
          <c:order val="1"/>
          <c:tx>
            <c:strRef>
              <c:f>'CO2'!$C$2</c:f>
              <c:strCache>
                <c:ptCount val="1"/>
                <c:pt idx="0">
                  <c:v>Green Stimulus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'CO2'!$A$3:$A$11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'CO2'!$C$3:$C$11</c:f>
              <c:numCache>
                <c:formatCode>General</c:formatCode>
                <c:ptCount val="9"/>
                <c:pt idx="0">
                  <c:v>137.4</c:v>
                </c:pt>
                <c:pt idx="1">
                  <c:v>128.82</c:v>
                </c:pt>
                <c:pt idx="2">
                  <c:v>120.24</c:v>
                </c:pt>
                <c:pt idx="3">
                  <c:v>111.66</c:v>
                </c:pt>
                <c:pt idx="4">
                  <c:v>103.08</c:v>
                </c:pt>
                <c:pt idx="5">
                  <c:v>94.5</c:v>
                </c:pt>
                <c:pt idx="6">
                  <c:v>91.88</c:v>
                </c:pt>
                <c:pt idx="7">
                  <c:v>89.259999999999991</c:v>
                </c:pt>
                <c:pt idx="8">
                  <c:v>86.639999999999986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3-497E-BFC4-2F88F4051F9F}"/>
            </c:ext>
          </c:extLst>
        </c:ser>
        <c:ser>
          <c:idx val="2"/>
          <c:order val="2"/>
          <c:tx>
            <c:strRef>
              <c:f>'CO2'!$D$2</c:f>
              <c:strCache>
                <c:ptCount val="1"/>
                <c:pt idx="0">
                  <c:v>Dash for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'CO2'!$A$3:$A$11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'CO2'!$D$3:$D$11</c:f>
              <c:numCache>
                <c:formatCode>General</c:formatCode>
                <c:ptCount val="9"/>
                <c:pt idx="0">
                  <c:v>165.8</c:v>
                </c:pt>
                <c:pt idx="1">
                  <c:v>165.5</c:v>
                </c:pt>
                <c:pt idx="2">
                  <c:v>165.2</c:v>
                </c:pt>
                <c:pt idx="3">
                  <c:v>164.89999999999998</c:v>
                </c:pt>
                <c:pt idx="4">
                  <c:v>164.59999999999997</c:v>
                </c:pt>
                <c:pt idx="5">
                  <c:v>164.3</c:v>
                </c:pt>
                <c:pt idx="6">
                  <c:v>161.06</c:v>
                </c:pt>
                <c:pt idx="7">
                  <c:v>157.82</c:v>
                </c:pt>
                <c:pt idx="8">
                  <c:v>154.57999999999998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3-497E-BFC4-2F88F4051F9F}"/>
            </c:ext>
          </c:extLst>
        </c:ser>
        <c:ser>
          <c:idx val="3"/>
          <c:order val="3"/>
          <c:tx>
            <c:strRef>
              <c:f>'CO2'!$E$2</c:f>
              <c:strCache>
                <c:ptCount val="1"/>
                <c:pt idx="0">
                  <c:v>Slow 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'CO2'!$A$3:$A$11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'CO2'!$E$3:$E$11</c:f>
              <c:numCache>
                <c:formatCode>General</c:formatCode>
                <c:ptCount val="9"/>
                <c:pt idx="0">
                  <c:v>160.5</c:v>
                </c:pt>
                <c:pt idx="1">
                  <c:v>157.58000000000001</c:v>
                </c:pt>
                <c:pt idx="2">
                  <c:v>154.66000000000003</c:v>
                </c:pt>
                <c:pt idx="3">
                  <c:v>151.74000000000004</c:v>
                </c:pt>
                <c:pt idx="4">
                  <c:v>148.82000000000005</c:v>
                </c:pt>
                <c:pt idx="5">
                  <c:v>145.9</c:v>
                </c:pt>
                <c:pt idx="6">
                  <c:v>145.46</c:v>
                </c:pt>
                <c:pt idx="7">
                  <c:v>145.02000000000001</c:v>
                </c:pt>
                <c:pt idx="8">
                  <c:v>144.58000000000001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3-497E-BFC4-2F88F4051F9F}"/>
            </c:ext>
          </c:extLst>
        </c:ser>
        <c:ser>
          <c:idx val="4"/>
          <c:order val="4"/>
          <c:tx>
            <c:strRef>
              <c:f>'CO2'!$F$2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'CO2'!$A$3:$A$11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'CO2'!$F$3:$F$11</c:f>
              <c:numCache>
                <c:formatCode>#,##0.0</c:formatCode>
                <c:ptCount val="9"/>
                <c:pt idx="0">
                  <c:v>158.08328849302825</c:v>
                </c:pt>
                <c:pt idx="1">
                  <c:v>145.38126331947277</c:v>
                </c:pt>
                <c:pt idx="2">
                  <c:v>159.37993616194802</c:v>
                </c:pt>
                <c:pt idx="3">
                  <c:v>148.40828898687212</c:v>
                </c:pt>
                <c:pt idx="4">
                  <c:v>125.20565855474966</c:v>
                </c:pt>
                <c:pt idx="5">
                  <c:v>104.99512670598135</c:v>
                </c:pt>
                <c:pt idx="6">
                  <c:v>82.972767327199747</c:v>
                </c:pt>
                <c:pt idx="7">
                  <c:v>73.065081617616229</c:v>
                </c:pt>
                <c:pt idx="8">
                  <c:v>66.819323493250423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3-497E-BFC4-2F88F4051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748880"/>
        <c:axId val="1710487744"/>
      </c:lineChart>
      <c:catAx>
        <c:axId val="14207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487744"/>
        <c:crosses val="autoZero"/>
        <c:auto val="1"/>
        <c:lblAlgn val="ctr"/>
        <c:lblOffset val="100"/>
        <c:noMultiLvlLbl val="0"/>
      </c:catAx>
      <c:valAx>
        <c:axId val="17104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4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Investment!$I$61</c:f>
              <c:strCache>
                <c:ptCount val="1"/>
                <c:pt idx="0">
                  <c:v>Green 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Investment!$A$62:$A$70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Investment!$I$62:$I$70</c:f>
              <c:numCache>
                <c:formatCode>General</c:formatCode>
                <c:ptCount val="9"/>
                <c:pt idx="0">
                  <c:v>14.805</c:v>
                </c:pt>
                <c:pt idx="1">
                  <c:v>29.502000000000002</c:v>
                </c:pt>
                <c:pt idx="2">
                  <c:v>45.075599999999994</c:v>
                </c:pt>
                <c:pt idx="3">
                  <c:v>61.144199999999991</c:v>
                </c:pt>
                <c:pt idx="4">
                  <c:v>77.975999999999999</c:v>
                </c:pt>
                <c:pt idx="5">
                  <c:v>94.016999999999996</c:v>
                </c:pt>
                <c:pt idx="6">
                  <c:v>125.41080000000001</c:v>
                </c:pt>
                <c:pt idx="7">
                  <c:v>161.5616</c:v>
                </c:pt>
                <c:pt idx="8">
                  <c:v>198.6336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D-402F-91FF-1435F1F961CC}"/>
            </c:ext>
          </c:extLst>
        </c:ser>
        <c:ser>
          <c:idx val="1"/>
          <c:order val="1"/>
          <c:tx>
            <c:strRef>
              <c:f>Investment!$J$61</c:f>
              <c:strCache>
                <c:ptCount val="1"/>
                <c:pt idx="0">
                  <c:v>Green Stimulus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Investment!$A$62:$A$70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Investment!$J$62:$J$70</c:f>
              <c:numCache>
                <c:formatCode>General</c:formatCode>
                <c:ptCount val="9"/>
                <c:pt idx="0">
                  <c:v>14.805</c:v>
                </c:pt>
                <c:pt idx="1">
                  <c:v>29.172000000000001</c:v>
                </c:pt>
                <c:pt idx="2">
                  <c:v>44.391599999999997</c:v>
                </c:pt>
                <c:pt idx="3">
                  <c:v>60.091199999999994</c:v>
                </c:pt>
                <c:pt idx="4">
                  <c:v>76.536000000000001</c:v>
                </c:pt>
                <c:pt idx="5">
                  <c:v>92.201999999999998</c:v>
                </c:pt>
                <c:pt idx="6">
                  <c:v>122.9508</c:v>
                </c:pt>
                <c:pt idx="7">
                  <c:v>158.36160000000001</c:v>
                </c:pt>
                <c:pt idx="8">
                  <c:v>194.67359999999999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D-402F-91FF-1435F1F961CC}"/>
            </c:ext>
          </c:extLst>
        </c:ser>
        <c:ser>
          <c:idx val="2"/>
          <c:order val="2"/>
          <c:tx>
            <c:strRef>
              <c:f>Investment!$K$61</c:f>
              <c:strCache>
                <c:ptCount val="1"/>
                <c:pt idx="0">
                  <c:v>Dash for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Investment!$A$62:$A$70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Investment!$K$62:$K$70</c:f>
              <c:numCache>
                <c:formatCode>General</c:formatCode>
                <c:ptCount val="9"/>
                <c:pt idx="0">
                  <c:v>13.23</c:v>
                </c:pt>
                <c:pt idx="1">
                  <c:v>23.43</c:v>
                </c:pt>
                <c:pt idx="2">
                  <c:v>34.199999999999996</c:v>
                </c:pt>
                <c:pt idx="3">
                  <c:v>45.278999999999989</c:v>
                </c:pt>
                <c:pt idx="4">
                  <c:v>56.879999999999988</c:v>
                </c:pt>
                <c:pt idx="5">
                  <c:v>67.881</c:v>
                </c:pt>
                <c:pt idx="6">
                  <c:v>82.164000000000001</c:v>
                </c:pt>
                <c:pt idx="7">
                  <c:v>99.2</c:v>
                </c:pt>
                <c:pt idx="8">
                  <c:v>116.42400000000001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D-402F-91FF-1435F1F961CC}"/>
            </c:ext>
          </c:extLst>
        </c:ser>
        <c:ser>
          <c:idx val="3"/>
          <c:order val="3"/>
          <c:tx>
            <c:strRef>
              <c:f>Investment!$L$61</c:f>
              <c:strCache>
                <c:ptCount val="1"/>
                <c:pt idx="0">
                  <c:v>Slow 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Investment!$A$62:$A$70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Investment!$L$62:$L$70</c:f>
              <c:numCache>
                <c:formatCode>General</c:formatCode>
                <c:ptCount val="9"/>
                <c:pt idx="0">
                  <c:v>13.23</c:v>
                </c:pt>
                <c:pt idx="1">
                  <c:v>21.78</c:v>
                </c:pt>
                <c:pt idx="2">
                  <c:v>30.779999999999998</c:v>
                </c:pt>
                <c:pt idx="3">
                  <c:v>40.014000000000003</c:v>
                </c:pt>
                <c:pt idx="4">
                  <c:v>49.680000000000007</c:v>
                </c:pt>
                <c:pt idx="5">
                  <c:v>58.805999999999997</c:v>
                </c:pt>
                <c:pt idx="6">
                  <c:v>71.34</c:v>
                </c:pt>
                <c:pt idx="7">
                  <c:v>86.272000000000006</c:v>
                </c:pt>
                <c:pt idx="8">
                  <c:v>101.37600000000002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D-402F-91FF-1435F1F961CC}"/>
            </c:ext>
          </c:extLst>
        </c:ser>
        <c:ser>
          <c:idx val="4"/>
          <c:order val="4"/>
          <c:tx>
            <c:strRef>
              <c:f>Investment!$M$61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Investment!$A$62:$A$70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Investment!$M$62:$M$70</c:f>
              <c:numCache>
                <c:formatCode>0.000</c:formatCode>
                <c:ptCount val="9"/>
                <c:pt idx="0">
                  <c:v>14.704000000000001</c:v>
                </c:pt>
                <c:pt idx="1">
                  <c:v>32.650000000000006</c:v>
                </c:pt>
                <c:pt idx="2">
                  <c:v>56.459000000000003</c:v>
                </c:pt>
                <c:pt idx="3">
                  <c:v>79.887</c:v>
                </c:pt>
                <c:pt idx="4">
                  <c:v>103.89999999999999</c:v>
                </c:pt>
                <c:pt idx="5">
                  <c:v>125.33999999999999</c:v>
                </c:pt>
                <c:pt idx="6">
                  <c:v>143.90099999999998</c:v>
                </c:pt>
                <c:pt idx="7">
                  <c:v>162.57999999999998</c:v>
                </c:pt>
                <c:pt idx="8">
                  <c:v>181.61399999999998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D-402F-91FF-1435F1F9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631904"/>
        <c:axId val="1710471520"/>
      </c:lineChart>
      <c:catAx>
        <c:axId val="190763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471520"/>
        <c:crosses val="autoZero"/>
        <c:auto val="1"/>
        <c:lblAlgn val="ctr"/>
        <c:lblOffset val="100"/>
        <c:noMultiLvlLbl val="0"/>
      </c:catAx>
      <c:valAx>
        <c:axId val="17104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2</xdr:row>
      <xdr:rowOff>36512</xdr:rowOff>
    </xdr:from>
    <xdr:to>
      <xdr:col>11</xdr:col>
      <xdr:colOff>452437</xdr:colOff>
      <xdr:row>16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6F9153-609F-4B11-B2EE-7DAA43D2F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39</xdr:row>
      <xdr:rowOff>12700</xdr:rowOff>
    </xdr:from>
    <xdr:to>
      <xdr:col>11</xdr:col>
      <xdr:colOff>95250</xdr:colOff>
      <xdr:row>53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5FC405-0923-4939-AB27-98DBF1941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19</xdr:row>
      <xdr:rowOff>31750</xdr:rowOff>
    </xdr:from>
    <xdr:to>
      <xdr:col>17</xdr:col>
      <xdr:colOff>520700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17E0B-F4A5-4A4E-B104-7ADA80569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382587</xdr:colOff>
      <xdr:row>1</xdr:row>
      <xdr:rowOff>150812</xdr:rowOff>
    </xdr:from>
    <xdr:to>
      <xdr:col>15</xdr:col>
      <xdr:colOff>77787</xdr:colOff>
      <xdr:row>16</xdr:row>
      <xdr:rowOff>84137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6C368-729A-4184-98CF-C4D5E0F48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10</xdr:row>
      <xdr:rowOff>171450</xdr:rowOff>
    </xdr:from>
    <xdr:to>
      <xdr:col>23</xdr:col>
      <xdr:colOff>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0E83B-3DA1-4EA2-A6D8-559D6D3D2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38</xdr:row>
      <xdr:rowOff>114300</xdr:rowOff>
    </xdr:from>
    <xdr:to>
      <xdr:col>14</xdr:col>
      <xdr:colOff>260350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B6CF92-8C46-4556-9788-3B0172DB9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53</xdr:row>
      <xdr:rowOff>127000</xdr:rowOff>
    </xdr:from>
    <xdr:to>
      <xdr:col>14</xdr:col>
      <xdr:colOff>330200</xdr:colOff>
      <xdr:row>68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6B9D80-A7AC-4D38-A7B0-C5CE8D33B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117336</xdr:colOff>
      <xdr:row>1</xdr:row>
      <xdr:rowOff>53009</xdr:rowOff>
    </xdr:from>
    <xdr:to>
      <xdr:col>14</xdr:col>
      <xdr:colOff>110434</xdr:colOff>
      <xdr:row>15</xdr:row>
      <xdr:rowOff>154609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453C0-F1C7-462A-B2CF-717A44F36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577850</xdr:colOff>
      <xdr:row>58</xdr:row>
      <xdr:rowOff>120650</xdr:rowOff>
    </xdr:from>
    <xdr:to>
      <xdr:col>21</xdr:col>
      <xdr:colOff>273050</xdr:colOff>
      <xdr:row>73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7D7A1-B5DA-4D6A-A4DC-782B34CA3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336550</xdr:colOff>
      <xdr:row>1</xdr:row>
      <xdr:rowOff>63500</xdr:rowOff>
    </xdr:from>
    <xdr:to>
      <xdr:col>14</xdr:col>
      <xdr:colOff>31750</xdr:colOff>
      <xdr:row>15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90BB6-6D22-40A3-AAC2-B3D00667D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107950</xdr:rowOff>
    </xdr:from>
    <xdr:to>
      <xdr:col>19</xdr:col>
      <xdr:colOff>304800</xdr:colOff>
      <xdr:row>23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CACC4-94C3-4F73-8BA3-34B4051CC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fgem.gov.uk/sites/default/files/docs/2009/10/discovery_scenarios_condoc_final_0.pdf" TargetMode="External"/><Relationship Id="rId1" Type="http://schemas.openxmlformats.org/officeDocument/2006/relationships/hyperlink" Target="https://www.ofgem.gov.uk/ofgem-publications/76390/ofgem-discovery-pr8-2pdf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s://www.bankofengland.co.uk/monetary-policy/inflation/inflation-calculator" TargetMode="External"/><Relationship Id="rId1" Type="http://schemas.openxmlformats.org/officeDocument/2006/relationships/hyperlink" Target="https://assets.publishing.service.gov.uk/government/uploads/system/uploads/attachment_data/file/857027/UK_Energy_in_Brief_2019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gov.uk/government/statistics/electricity-chapter-5-digest-of-united-kingdom-energy-statistics-duke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ssets.publishing.service.gov.uk/government/uploads/system/uploads/attachment_data/file/577712/DUKES_2016_FINAL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ov.uk/government/statistics/electricity-chapter-5-digest-of-united-kingdom-energy-statistics-duke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6"/>
  <sheetViews>
    <sheetView workbookViewId="0">
      <selection activeCell="A6" sqref="A6"/>
    </sheetView>
  </sheetViews>
  <sheetFormatPr defaultRowHeight="14.75" x14ac:dyDescent="0.75"/>
  <sheetData>
    <row r="2" spans="1:1" x14ac:dyDescent="0.75">
      <c r="A2" t="s">
        <v>0</v>
      </c>
    </row>
    <row r="4" spans="1:1" x14ac:dyDescent="0.75">
      <c r="A4" s="7" t="s">
        <v>54</v>
      </c>
    </row>
    <row r="6" spans="1:1" x14ac:dyDescent="0.75">
      <c r="A6" s="7" t="s">
        <v>55</v>
      </c>
    </row>
  </sheetData>
  <hyperlinks>
    <hyperlink ref="A4" r:id="rId1" xr:uid="{EEC994AE-ACA5-4F67-9A0D-E1F8FE2F7B47}"/>
    <hyperlink ref="A6" r:id="rId2" xr:uid="{A6879B97-A272-44A2-9E62-AEA055F6A12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59F8-8CE2-402E-83FD-E71C5F857681}">
  <dimension ref="A1:M91"/>
  <sheetViews>
    <sheetView topLeftCell="A70" workbookViewId="0">
      <selection activeCell="H74" sqref="H74"/>
    </sheetView>
  </sheetViews>
  <sheetFormatPr defaultRowHeight="14.75" x14ac:dyDescent="0.75"/>
  <sheetData>
    <row r="1" spans="1:13" x14ac:dyDescent="0.75">
      <c r="A1" s="1" t="s">
        <v>59</v>
      </c>
      <c r="H1" s="1" t="s">
        <v>78</v>
      </c>
    </row>
    <row r="2" spans="1:13" x14ac:dyDescent="0.75">
      <c r="H2" t="s">
        <v>79</v>
      </c>
      <c r="I2" t="s">
        <v>80</v>
      </c>
      <c r="M2" s="7" t="s">
        <v>112</v>
      </c>
    </row>
    <row r="3" spans="1:13" x14ac:dyDescent="0.75">
      <c r="A3" t="s">
        <v>60</v>
      </c>
      <c r="B3" t="s">
        <v>31</v>
      </c>
      <c r="C3" t="s">
        <v>8</v>
      </c>
      <c r="D3" t="s">
        <v>7</v>
      </c>
      <c r="E3" t="s">
        <v>12</v>
      </c>
      <c r="H3" t="s">
        <v>14</v>
      </c>
      <c r="I3" s="6">
        <v>600</v>
      </c>
    </row>
    <row r="4" spans="1:13" x14ac:dyDescent="0.75">
      <c r="B4" s="56" t="s">
        <v>18</v>
      </c>
      <c r="C4" s="56"/>
      <c r="D4" s="56"/>
      <c r="E4" s="56"/>
      <c r="H4" t="s">
        <v>81</v>
      </c>
      <c r="I4" s="6">
        <v>2200</v>
      </c>
      <c r="M4" s="7" t="s">
        <v>128</v>
      </c>
    </row>
    <row r="5" spans="1:13" x14ac:dyDescent="0.75">
      <c r="A5">
        <v>2010</v>
      </c>
      <c r="B5">
        <v>0</v>
      </c>
      <c r="C5">
        <v>0</v>
      </c>
      <c r="D5">
        <v>0</v>
      </c>
      <c r="E5">
        <v>0</v>
      </c>
      <c r="H5" t="s">
        <v>82</v>
      </c>
      <c r="I5" s="6">
        <v>2000</v>
      </c>
    </row>
    <row r="6" spans="1:13" x14ac:dyDescent="0.75">
      <c r="A6">
        <v>2015</v>
      </c>
      <c r="B6">
        <v>0</v>
      </c>
      <c r="C6">
        <v>0</v>
      </c>
      <c r="D6">
        <v>0</v>
      </c>
      <c r="E6">
        <v>0</v>
      </c>
      <c r="H6" t="s">
        <v>83</v>
      </c>
      <c r="I6" s="6">
        <v>1200</v>
      </c>
    </row>
    <row r="7" spans="1:13" x14ac:dyDescent="0.75">
      <c r="A7">
        <v>2020</v>
      </c>
      <c r="B7">
        <v>6.4</v>
      </c>
      <c r="C7">
        <v>6.4</v>
      </c>
      <c r="D7">
        <v>0</v>
      </c>
      <c r="E7">
        <v>0</v>
      </c>
      <c r="H7" t="s">
        <v>84</v>
      </c>
      <c r="I7" s="6">
        <v>2800</v>
      </c>
    </row>
    <row r="8" spans="1:13" x14ac:dyDescent="0.75">
      <c r="A8">
        <v>2025</v>
      </c>
      <c r="B8">
        <v>12.8</v>
      </c>
      <c r="C8">
        <v>12.8</v>
      </c>
      <c r="D8">
        <v>6.4</v>
      </c>
      <c r="E8">
        <v>3.2</v>
      </c>
      <c r="H8" t="s">
        <v>85</v>
      </c>
      <c r="I8" s="6">
        <v>2500</v>
      </c>
    </row>
    <row r="9" spans="1:13" x14ac:dyDescent="0.75">
      <c r="B9" s="56" t="s">
        <v>61</v>
      </c>
      <c r="C9" s="56"/>
      <c r="D9" s="56"/>
      <c r="E9" s="56"/>
      <c r="H9" t="s">
        <v>86</v>
      </c>
      <c r="I9" s="6">
        <v>2500</v>
      </c>
    </row>
    <row r="10" spans="1:13" x14ac:dyDescent="0.75">
      <c r="A10">
        <v>2010</v>
      </c>
      <c r="B10">
        <v>4.2</v>
      </c>
      <c r="C10">
        <v>4.2</v>
      </c>
      <c r="D10">
        <v>4.2</v>
      </c>
      <c r="E10">
        <v>4.2</v>
      </c>
      <c r="H10" t="s">
        <v>87</v>
      </c>
      <c r="I10" s="6">
        <v>3000</v>
      </c>
    </row>
    <row r="11" spans="1:13" x14ac:dyDescent="0.75">
      <c r="A11">
        <v>2015</v>
      </c>
      <c r="B11">
        <v>21.8</v>
      </c>
      <c r="C11">
        <v>20.399999999999999</v>
      </c>
      <c r="D11">
        <v>11.8</v>
      </c>
      <c r="E11">
        <v>10.199999999999999</v>
      </c>
      <c r="H11" t="s">
        <v>88</v>
      </c>
      <c r="I11" s="6">
        <v>4000</v>
      </c>
    </row>
    <row r="12" spans="1:13" x14ac:dyDescent="0.75">
      <c r="A12">
        <v>2020</v>
      </c>
      <c r="B12">
        <v>59.5</v>
      </c>
      <c r="C12">
        <v>56.3</v>
      </c>
      <c r="D12">
        <v>25.5</v>
      </c>
      <c r="E12">
        <v>22.5</v>
      </c>
      <c r="H12" t="s">
        <v>89</v>
      </c>
      <c r="I12" s="6">
        <v>4000</v>
      </c>
    </row>
    <row r="13" spans="1:13" x14ac:dyDescent="0.75">
      <c r="A13">
        <v>2025</v>
      </c>
      <c r="B13">
        <v>71.3</v>
      </c>
      <c r="C13">
        <v>67.599999999999994</v>
      </c>
      <c r="D13">
        <v>34.200000000000003</v>
      </c>
      <c r="E13">
        <v>30.3</v>
      </c>
      <c r="H13" t="s">
        <v>90</v>
      </c>
      <c r="I13" s="6">
        <v>3800</v>
      </c>
    </row>
    <row r="14" spans="1:13" x14ac:dyDescent="0.75">
      <c r="B14" s="56" t="s">
        <v>62</v>
      </c>
      <c r="C14" s="56"/>
      <c r="D14" s="56"/>
      <c r="E14" s="56"/>
      <c r="H14" t="s">
        <v>91</v>
      </c>
      <c r="I14" s="6">
        <v>3600</v>
      </c>
    </row>
    <row r="15" spans="1:13" x14ac:dyDescent="0.75">
      <c r="A15">
        <v>2010</v>
      </c>
      <c r="B15">
        <v>0</v>
      </c>
      <c r="C15">
        <v>0</v>
      </c>
      <c r="D15">
        <v>0</v>
      </c>
      <c r="E15">
        <v>0</v>
      </c>
      <c r="H15" t="s">
        <v>92</v>
      </c>
      <c r="I15" s="6">
        <v>6600</v>
      </c>
    </row>
    <row r="16" spans="1:13" x14ac:dyDescent="0.75">
      <c r="A16">
        <v>2015</v>
      </c>
      <c r="B16">
        <v>0.9</v>
      </c>
      <c r="C16">
        <v>1.8</v>
      </c>
      <c r="D16">
        <v>0</v>
      </c>
      <c r="E16">
        <v>0</v>
      </c>
      <c r="H16" t="s">
        <v>93</v>
      </c>
      <c r="I16" s="6">
        <v>350</v>
      </c>
    </row>
    <row r="17" spans="1:5" x14ac:dyDescent="0.75">
      <c r="A17">
        <v>2020</v>
      </c>
      <c r="B17">
        <v>6.6</v>
      </c>
      <c r="C17">
        <v>7.5</v>
      </c>
      <c r="D17">
        <v>0.9</v>
      </c>
      <c r="E17">
        <v>0</v>
      </c>
    </row>
    <row r="18" spans="1:5" x14ac:dyDescent="0.75">
      <c r="A18">
        <v>2025</v>
      </c>
      <c r="B18">
        <v>15.8</v>
      </c>
      <c r="C18">
        <v>16.7</v>
      </c>
      <c r="D18">
        <v>3.3</v>
      </c>
      <c r="E18">
        <v>0</v>
      </c>
    </row>
    <row r="19" spans="1:5" x14ac:dyDescent="0.75">
      <c r="B19" s="56" t="s">
        <v>14</v>
      </c>
      <c r="C19" s="56"/>
      <c r="D19" s="56"/>
      <c r="E19" s="56"/>
    </row>
    <row r="20" spans="1:5" x14ac:dyDescent="0.75">
      <c r="A20">
        <v>2010</v>
      </c>
      <c r="B20">
        <v>1.4</v>
      </c>
      <c r="C20">
        <v>1.4</v>
      </c>
      <c r="D20">
        <v>1.4</v>
      </c>
      <c r="E20">
        <v>1.4</v>
      </c>
    </row>
    <row r="21" spans="1:5" x14ac:dyDescent="0.75">
      <c r="A21">
        <v>2015</v>
      </c>
      <c r="B21">
        <v>4.4000000000000004</v>
      </c>
      <c r="C21">
        <v>4.4000000000000004</v>
      </c>
      <c r="D21">
        <v>9.9</v>
      </c>
      <c r="E21">
        <v>4.4000000000000004</v>
      </c>
    </row>
    <row r="22" spans="1:5" x14ac:dyDescent="0.75">
      <c r="A22">
        <v>2020</v>
      </c>
      <c r="B22">
        <v>4.4000000000000004</v>
      </c>
      <c r="C22">
        <v>4.4000000000000004</v>
      </c>
      <c r="D22">
        <v>14.7</v>
      </c>
      <c r="E22">
        <v>9.1999999999999993</v>
      </c>
    </row>
    <row r="23" spans="1:5" x14ac:dyDescent="0.75">
      <c r="A23">
        <v>2025</v>
      </c>
      <c r="B23">
        <v>4.4000000000000004</v>
      </c>
      <c r="C23">
        <v>4.4000000000000004</v>
      </c>
      <c r="D23">
        <v>20.9</v>
      </c>
      <c r="E23">
        <v>17.100000000000001</v>
      </c>
    </row>
    <row r="24" spans="1:5" x14ac:dyDescent="0.75">
      <c r="B24" s="56" t="s">
        <v>63</v>
      </c>
      <c r="C24" s="56"/>
      <c r="D24" s="56"/>
      <c r="E24" s="56"/>
    </row>
    <row r="25" spans="1:5" x14ac:dyDescent="0.75">
      <c r="A25">
        <v>2010</v>
      </c>
      <c r="B25">
        <v>5.9</v>
      </c>
      <c r="C25">
        <v>5.9</v>
      </c>
      <c r="D25">
        <v>5.7</v>
      </c>
      <c r="E25">
        <v>5.7</v>
      </c>
    </row>
    <row r="26" spans="1:5" x14ac:dyDescent="0.75">
      <c r="A26">
        <v>2015</v>
      </c>
      <c r="B26">
        <v>21.1</v>
      </c>
      <c r="C26">
        <v>21</v>
      </c>
      <c r="D26">
        <v>19.3</v>
      </c>
      <c r="E26">
        <v>19.100000000000001</v>
      </c>
    </row>
    <row r="27" spans="1:5" x14ac:dyDescent="0.75">
      <c r="A27">
        <v>2020</v>
      </c>
      <c r="B27">
        <v>39.5</v>
      </c>
      <c r="C27">
        <v>39</v>
      </c>
      <c r="D27">
        <v>33.9</v>
      </c>
      <c r="E27">
        <v>33.5</v>
      </c>
    </row>
    <row r="28" spans="1:5" x14ac:dyDescent="0.75">
      <c r="A28">
        <v>2025</v>
      </c>
      <c r="B28">
        <v>53.4</v>
      </c>
      <c r="C28">
        <v>53</v>
      </c>
      <c r="D28">
        <v>47.4</v>
      </c>
      <c r="E28">
        <v>47</v>
      </c>
    </row>
    <row r="29" spans="1:5" x14ac:dyDescent="0.75">
      <c r="B29" s="56" t="s">
        <v>22</v>
      </c>
      <c r="C29" s="56"/>
      <c r="D29" s="56"/>
      <c r="E29" s="56"/>
    </row>
    <row r="30" spans="1:5" x14ac:dyDescent="0.75">
      <c r="A30">
        <v>2010</v>
      </c>
      <c r="B30">
        <v>0</v>
      </c>
      <c r="C30">
        <v>0</v>
      </c>
      <c r="D30">
        <v>0</v>
      </c>
      <c r="E30">
        <v>0</v>
      </c>
    </row>
    <row r="31" spans="1:5" x14ac:dyDescent="0.75">
      <c r="A31">
        <v>2015</v>
      </c>
      <c r="B31">
        <v>0.4</v>
      </c>
      <c r="C31">
        <v>0.4</v>
      </c>
      <c r="D31">
        <v>0.4</v>
      </c>
      <c r="E31">
        <v>0.4</v>
      </c>
    </row>
    <row r="32" spans="1:5" x14ac:dyDescent="0.75">
      <c r="A32">
        <v>2020</v>
      </c>
      <c r="B32">
        <v>1</v>
      </c>
      <c r="C32">
        <v>1</v>
      </c>
      <c r="D32">
        <v>0.5</v>
      </c>
      <c r="E32">
        <v>0.5</v>
      </c>
    </row>
    <row r="33" spans="1:5" x14ac:dyDescent="0.75">
      <c r="A33">
        <v>2025</v>
      </c>
      <c r="B33">
        <v>1</v>
      </c>
      <c r="C33">
        <v>1</v>
      </c>
      <c r="D33">
        <v>0.5</v>
      </c>
      <c r="E33">
        <v>0.5</v>
      </c>
    </row>
    <row r="34" spans="1:5" x14ac:dyDescent="0.75">
      <c r="B34" s="56" t="s">
        <v>64</v>
      </c>
      <c r="C34" s="56"/>
      <c r="D34" s="56"/>
      <c r="E34" s="56"/>
    </row>
    <row r="35" spans="1:5" x14ac:dyDescent="0.75">
      <c r="A35">
        <v>2010</v>
      </c>
      <c r="B35">
        <v>2.7</v>
      </c>
      <c r="C35">
        <v>2.7</v>
      </c>
      <c r="D35">
        <v>1.3</v>
      </c>
      <c r="E35">
        <v>1.3</v>
      </c>
    </row>
    <row r="36" spans="1:5" x14ac:dyDescent="0.75">
      <c r="A36">
        <v>2015</v>
      </c>
      <c r="B36">
        <v>9.3000000000000007</v>
      </c>
      <c r="C36">
        <v>9.3000000000000007</v>
      </c>
      <c r="D36">
        <v>4.7</v>
      </c>
      <c r="E36">
        <v>4.7</v>
      </c>
    </row>
    <row r="37" spans="1:5" x14ac:dyDescent="0.75">
      <c r="A37">
        <v>2020</v>
      </c>
      <c r="B37">
        <v>16</v>
      </c>
      <c r="C37">
        <v>16</v>
      </c>
      <c r="D37">
        <v>8</v>
      </c>
      <c r="E37">
        <v>8</v>
      </c>
    </row>
    <row r="38" spans="1:5" x14ac:dyDescent="0.75">
      <c r="A38">
        <v>2025</v>
      </c>
      <c r="B38">
        <v>16</v>
      </c>
      <c r="C38">
        <v>16</v>
      </c>
      <c r="D38">
        <v>8</v>
      </c>
      <c r="E38">
        <v>8</v>
      </c>
    </row>
    <row r="39" spans="1:5" x14ac:dyDescent="0.75">
      <c r="B39" s="56" t="s">
        <v>65</v>
      </c>
      <c r="C39" s="56"/>
      <c r="D39" s="56"/>
      <c r="E39" s="56"/>
    </row>
    <row r="40" spans="1:5" x14ac:dyDescent="0.75">
      <c r="A40">
        <v>2010</v>
      </c>
      <c r="B40">
        <v>0</v>
      </c>
      <c r="C40">
        <v>0</v>
      </c>
      <c r="D40">
        <v>0</v>
      </c>
      <c r="E40">
        <v>0</v>
      </c>
    </row>
    <row r="41" spans="1:5" x14ac:dyDescent="0.75">
      <c r="A41">
        <v>2015</v>
      </c>
      <c r="B41">
        <v>13</v>
      </c>
      <c r="C41">
        <v>13</v>
      </c>
      <c r="D41">
        <v>3.2</v>
      </c>
      <c r="E41">
        <v>3.2</v>
      </c>
    </row>
    <row r="42" spans="1:5" x14ac:dyDescent="0.75">
      <c r="A42">
        <v>2020</v>
      </c>
      <c r="B42">
        <v>52.8</v>
      </c>
      <c r="C42">
        <v>52.8</v>
      </c>
      <c r="D42">
        <v>9.5</v>
      </c>
      <c r="E42">
        <v>9.5</v>
      </c>
    </row>
    <row r="43" spans="1:5" x14ac:dyDescent="0.75">
      <c r="A43">
        <v>2025</v>
      </c>
      <c r="B43">
        <v>52.8</v>
      </c>
      <c r="C43">
        <v>52.8</v>
      </c>
      <c r="D43">
        <v>9.5</v>
      </c>
      <c r="E43">
        <v>9.5</v>
      </c>
    </row>
    <row r="44" spans="1:5" x14ac:dyDescent="0.75">
      <c r="B44" s="56" t="s">
        <v>66</v>
      </c>
      <c r="C44" s="56"/>
      <c r="D44" s="56"/>
      <c r="E44" s="56"/>
    </row>
    <row r="45" spans="1:5" x14ac:dyDescent="0.75">
      <c r="A45">
        <v>2010</v>
      </c>
      <c r="B45">
        <v>0</v>
      </c>
      <c r="C45">
        <v>0</v>
      </c>
      <c r="D45">
        <v>0</v>
      </c>
      <c r="E45">
        <v>0</v>
      </c>
    </row>
    <row r="46" spans="1:5" x14ac:dyDescent="0.75">
      <c r="A46">
        <v>2015</v>
      </c>
      <c r="B46">
        <v>0.4</v>
      </c>
      <c r="C46">
        <v>0.4</v>
      </c>
      <c r="D46">
        <v>0.4</v>
      </c>
      <c r="E46">
        <v>0.4</v>
      </c>
    </row>
    <row r="47" spans="1:5" x14ac:dyDescent="0.75">
      <c r="A47">
        <v>2020</v>
      </c>
      <c r="B47">
        <v>0.7</v>
      </c>
      <c r="C47">
        <v>0.4</v>
      </c>
      <c r="D47">
        <v>1.3</v>
      </c>
      <c r="E47">
        <v>0.7</v>
      </c>
    </row>
    <row r="48" spans="1:5" x14ac:dyDescent="0.75">
      <c r="A48">
        <v>2025</v>
      </c>
      <c r="B48">
        <v>0.7</v>
      </c>
      <c r="C48">
        <v>0.4</v>
      </c>
      <c r="D48">
        <v>1.3</v>
      </c>
      <c r="E48">
        <v>0.7</v>
      </c>
    </row>
    <row r="49" spans="1:13" x14ac:dyDescent="0.75">
      <c r="B49" s="56" t="s">
        <v>67</v>
      </c>
      <c r="C49" s="56"/>
      <c r="D49" s="56"/>
      <c r="E49" s="56"/>
    </row>
    <row r="50" spans="1:13" x14ac:dyDescent="0.75">
      <c r="A50">
        <v>2010</v>
      </c>
      <c r="B50">
        <v>0</v>
      </c>
      <c r="C50">
        <v>0</v>
      </c>
      <c r="D50">
        <v>0</v>
      </c>
      <c r="E50">
        <v>0</v>
      </c>
    </row>
    <row r="51" spans="1:13" x14ac:dyDescent="0.75">
      <c r="A51">
        <v>2015</v>
      </c>
      <c r="B51">
        <v>0.9</v>
      </c>
      <c r="C51">
        <v>0.6</v>
      </c>
      <c r="D51">
        <v>0.9</v>
      </c>
      <c r="E51">
        <v>0.6</v>
      </c>
    </row>
    <row r="52" spans="1:13" x14ac:dyDescent="0.75">
      <c r="A52">
        <v>2020</v>
      </c>
      <c r="B52">
        <v>1</v>
      </c>
      <c r="C52">
        <v>0.6</v>
      </c>
      <c r="D52">
        <v>4.2</v>
      </c>
      <c r="E52">
        <v>0.6</v>
      </c>
    </row>
    <row r="53" spans="1:13" x14ac:dyDescent="0.75">
      <c r="A53">
        <v>2025</v>
      </c>
      <c r="B53">
        <v>1</v>
      </c>
      <c r="C53">
        <v>0.6</v>
      </c>
      <c r="D53">
        <v>4.2</v>
      </c>
      <c r="E53">
        <v>0.6</v>
      </c>
    </row>
    <row r="54" spans="1:13" x14ac:dyDescent="0.75">
      <c r="B54" s="56" t="s">
        <v>68</v>
      </c>
      <c r="C54" s="56"/>
      <c r="D54" s="56"/>
      <c r="E54" s="56"/>
    </row>
    <row r="55" spans="1:13" x14ac:dyDescent="0.75">
      <c r="A55">
        <v>2010</v>
      </c>
      <c r="B55">
        <v>0</v>
      </c>
      <c r="C55">
        <v>0</v>
      </c>
      <c r="D55">
        <v>0</v>
      </c>
      <c r="E55">
        <v>0</v>
      </c>
    </row>
    <row r="56" spans="1:13" x14ac:dyDescent="0.75">
      <c r="A56">
        <v>2015</v>
      </c>
      <c r="B56">
        <v>1.2</v>
      </c>
      <c r="C56">
        <v>0.6</v>
      </c>
      <c r="D56">
        <v>1.2</v>
      </c>
      <c r="E56">
        <v>1.2</v>
      </c>
    </row>
    <row r="57" spans="1:13" x14ac:dyDescent="0.75">
      <c r="A57">
        <v>2020</v>
      </c>
      <c r="B57">
        <v>1.2</v>
      </c>
      <c r="C57">
        <v>0.6</v>
      </c>
      <c r="D57">
        <v>1.2</v>
      </c>
      <c r="E57">
        <v>1.2</v>
      </c>
    </row>
    <row r="58" spans="1:13" x14ac:dyDescent="0.75">
      <c r="A58">
        <v>2025</v>
      </c>
      <c r="B58">
        <v>1.2</v>
      </c>
      <c r="C58">
        <v>0.6</v>
      </c>
      <c r="D58">
        <v>1.2</v>
      </c>
      <c r="E58">
        <v>1.2</v>
      </c>
    </row>
    <row r="59" spans="1:13" x14ac:dyDescent="0.75">
      <c r="B59" s="56" t="s">
        <v>69</v>
      </c>
      <c r="C59" s="56"/>
      <c r="D59" s="56"/>
      <c r="E59" s="56"/>
    </row>
    <row r="60" spans="1:13" x14ac:dyDescent="0.75">
      <c r="A60">
        <v>2020</v>
      </c>
      <c r="B60">
        <v>10</v>
      </c>
      <c r="C60">
        <v>10</v>
      </c>
      <c r="D60">
        <v>10</v>
      </c>
      <c r="E60">
        <v>10</v>
      </c>
    </row>
    <row r="61" spans="1:13" x14ac:dyDescent="0.75">
      <c r="B61" s="56" t="s">
        <v>70</v>
      </c>
      <c r="C61" s="56"/>
      <c r="D61" s="56"/>
      <c r="E61" s="56"/>
      <c r="G61" s="5" t="s">
        <v>127</v>
      </c>
      <c r="H61" s="5"/>
      <c r="I61" t="s">
        <v>31</v>
      </c>
      <c r="J61" t="s">
        <v>8</v>
      </c>
      <c r="K61" t="s">
        <v>7</v>
      </c>
      <c r="L61" t="s">
        <v>12</v>
      </c>
      <c r="M61" s="9" t="s">
        <v>118</v>
      </c>
    </row>
    <row r="62" spans="1:13" x14ac:dyDescent="0.75">
      <c r="A62">
        <v>2010</v>
      </c>
      <c r="B62">
        <v>14.1</v>
      </c>
      <c r="C62">
        <v>14.1</v>
      </c>
      <c r="D62">
        <v>12.6</v>
      </c>
      <c r="E62">
        <v>12.6</v>
      </c>
      <c r="G62">
        <v>1.05</v>
      </c>
      <c r="I62">
        <f>B62*$G62</f>
        <v>14.805</v>
      </c>
      <c r="J62">
        <f t="shared" ref="J62:L70" si="0">C62*$G62</f>
        <v>14.805</v>
      </c>
      <c r="K62">
        <f t="shared" si="0"/>
        <v>13.23</v>
      </c>
      <c r="L62">
        <f t="shared" si="0"/>
        <v>13.23</v>
      </c>
      <c r="M62" s="28">
        <f>D83</f>
        <v>14.704000000000001</v>
      </c>
    </row>
    <row r="63" spans="1:13" x14ac:dyDescent="0.75">
      <c r="A63" s="9">
        <v>2011</v>
      </c>
      <c r="B63" s="9">
        <f>(($B$67-$B$62)/5)+B62</f>
        <v>26.82</v>
      </c>
      <c r="C63" s="9">
        <f>(($C$67-$C$62)/5)+C62</f>
        <v>26.52</v>
      </c>
      <c r="D63" s="9">
        <f>(($D$67-$D$62)/5)+D62</f>
        <v>21.299999999999997</v>
      </c>
      <c r="E63" s="9">
        <f>(($E$67-$E$62)/5)+E62</f>
        <v>19.8</v>
      </c>
      <c r="G63">
        <v>1.1000000000000001</v>
      </c>
      <c r="I63">
        <f t="shared" ref="I63:I69" si="1">B63*$G63</f>
        <v>29.502000000000002</v>
      </c>
      <c r="J63">
        <f t="shared" si="0"/>
        <v>29.172000000000001</v>
      </c>
      <c r="K63">
        <f t="shared" si="0"/>
        <v>23.43</v>
      </c>
      <c r="L63">
        <f t="shared" si="0"/>
        <v>21.78</v>
      </c>
      <c r="M63" s="28">
        <f t="shared" ref="M63:M70" si="2">D84</f>
        <v>32.650000000000006</v>
      </c>
    </row>
    <row r="64" spans="1:13" x14ac:dyDescent="0.75">
      <c r="A64" s="9">
        <v>2012</v>
      </c>
      <c r="B64" s="9">
        <f t="shared" ref="B64:B66" si="3">(($B$67-$B$62)/5)+B63</f>
        <v>39.54</v>
      </c>
      <c r="C64" s="9">
        <f t="shared" ref="C64:C66" si="4">(($C$67-$C$62)/5)+C63</f>
        <v>38.94</v>
      </c>
      <c r="D64" s="9">
        <f t="shared" ref="D64:D66" si="5">(($D$67-$D$62)/5)+D63</f>
        <v>29.999999999999996</v>
      </c>
      <c r="E64" s="9">
        <f t="shared" ref="E64:E66" si="6">(($E$67-$E$62)/5)+E63</f>
        <v>27</v>
      </c>
      <c r="G64">
        <v>1.1399999999999999</v>
      </c>
      <c r="I64">
        <f t="shared" si="1"/>
        <v>45.075599999999994</v>
      </c>
      <c r="J64">
        <f t="shared" si="0"/>
        <v>44.391599999999997</v>
      </c>
      <c r="K64">
        <f t="shared" si="0"/>
        <v>34.199999999999996</v>
      </c>
      <c r="L64">
        <f t="shared" si="0"/>
        <v>30.779999999999998</v>
      </c>
      <c r="M64" s="28">
        <f t="shared" si="2"/>
        <v>56.459000000000003</v>
      </c>
    </row>
    <row r="65" spans="1:13" x14ac:dyDescent="0.75">
      <c r="A65" s="9">
        <v>2013</v>
      </c>
      <c r="B65" s="9">
        <f t="shared" si="3"/>
        <v>52.26</v>
      </c>
      <c r="C65" s="9">
        <f t="shared" si="4"/>
        <v>51.36</v>
      </c>
      <c r="D65" s="9">
        <f t="shared" si="5"/>
        <v>38.699999999999996</v>
      </c>
      <c r="E65" s="9">
        <f t="shared" si="6"/>
        <v>34.200000000000003</v>
      </c>
      <c r="G65">
        <v>1.17</v>
      </c>
      <c r="I65">
        <f t="shared" si="1"/>
        <v>61.144199999999991</v>
      </c>
      <c r="J65">
        <f t="shared" si="0"/>
        <v>60.091199999999994</v>
      </c>
      <c r="K65">
        <f t="shared" si="0"/>
        <v>45.278999999999989</v>
      </c>
      <c r="L65">
        <f t="shared" si="0"/>
        <v>40.014000000000003</v>
      </c>
      <c r="M65" s="28">
        <f t="shared" si="2"/>
        <v>79.887</v>
      </c>
    </row>
    <row r="66" spans="1:13" x14ac:dyDescent="0.75">
      <c r="A66" s="9">
        <v>2014</v>
      </c>
      <c r="B66" s="9">
        <f t="shared" si="3"/>
        <v>64.98</v>
      </c>
      <c r="C66" s="9">
        <f t="shared" si="4"/>
        <v>63.78</v>
      </c>
      <c r="D66" s="9">
        <f t="shared" si="5"/>
        <v>47.399999999999991</v>
      </c>
      <c r="E66" s="9">
        <f t="shared" si="6"/>
        <v>41.400000000000006</v>
      </c>
      <c r="G66">
        <v>1.2</v>
      </c>
      <c r="I66">
        <f t="shared" si="1"/>
        <v>77.975999999999999</v>
      </c>
      <c r="J66">
        <f t="shared" si="0"/>
        <v>76.536000000000001</v>
      </c>
      <c r="K66">
        <f t="shared" si="0"/>
        <v>56.879999999999988</v>
      </c>
      <c r="L66">
        <f t="shared" si="0"/>
        <v>49.680000000000007</v>
      </c>
      <c r="M66" s="28">
        <f t="shared" si="2"/>
        <v>103.89999999999999</v>
      </c>
    </row>
    <row r="67" spans="1:13" x14ac:dyDescent="0.75">
      <c r="A67">
        <v>2015</v>
      </c>
      <c r="B67">
        <v>77.7</v>
      </c>
      <c r="C67">
        <v>76.2</v>
      </c>
      <c r="D67">
        <v>56.1</v>
      </c>
      <c r="E67">
        <v>48.6</v>
      </c>
      <c r="G67">
        <v>1.21</v>
      </c>
      <c r="I67">
        <f t="shared" si="1"/>
        <v>94.016999999999996</v>
      </c>
      <c r="J67">
        <f t="shared" si="0"/>
        <v>92.201999999999998</v>
      </c>
      <c r="K67">
        <f t="shared" si="0"/>
        <v>67.881</v>
      </c>
      <c r="L67">
        <f t="shared" si="0"/>
        <v>58.805999999999997</v>
      </c>
      <c r="M67" s="28">
        <f t="shared" si="2"/>
        <v>125.33999999999999</v>
      </c>
    </row>
    <row r="68" spans="1:13" x14ac:dyDescent="0.75">
      <c r="A68" s="9">
        <v>2016</v>
      </c>
      <c r="B68" s="9">
        <f>(($B$72-$B$67)/5)+B67</f>
        <v>101.96000000000001</v>
      </c>
      <c r="C68" s="9">
        <f>(($C$72-$C$67)/5)+C67</f>
        <v>99.960000000000008</v>
      </c>
      <c r="D68" s="9">
        <f>(($D$72-$D$67)/5)+D67</f>
        <v>66.8</v>
      </c>
      <c r="E68" s="9">
        <f>(($E$72-$E$67)/5)+E67</f>
        <v>58</v>
      </c>
      <c r="G68">
        <v>1.23</v>
      </c>
      <c r="I68">
        <f t="shared" si="1"/>
        <v>125.41080000000001</v>
      </c>
      <c r="J68">
        <f t="shared" si="0"/>
        <v>122.9508</v>
      </c>
      <c r="K68">
        <f t="shared" si="0"/>
        <v>82.164000000000001</v>
      </c>
      <c r="L68">
        <f t="shared" si="0"/>
        <v>71.34</v>
      </c>
      <c r="M68" s="28">
        <f t="shared" si="2"/>
        <v>143.90099999999998</v>
      </c>
    </row>
    <row r="69" spans="1:13" x14ac:dyDescent="0.75">
      <c r="A69" s="9">
        <v>2017</v>
      </c>
      <c r="B69" s="9">
        <f t="shared" ref="B69:B71" si="7">(($B$72-$B$67)/5)+B68</f>
        <v>126.22</v>
      </c>
      <c r="C69" s="9">
        <f t="shared" ref="C69:C71" si="8">(($C$72-$C$67)/5)+C68</f>
        <v>123.72</v>
      </c>
      <c r="D69" s="9">
        <f t="shared" ref="D69:D71" si="9">(($D$72-$D$67)/5)+D68</f>
        <v>77.5</v>
      </c>
      <c r="E69" s="9">
        <f t="shared" ref="E69:E71" si="10">(($E$72-$E$67)/5)+E68</f>
        <v>67.400000000000006</v>
      </c>
      <c r="G69">
        <v>1.28</v>
      </c>
      <c r="I69">
        <f t="shared" si="1"/>
        <v>161.5616</v>
      </c>
      <c r="J69">
        <f t="shared" si="0"/>
        <v>158.36160000000001</v>
      </c>
      <c r="K69">
        <f t="shared" si="0"/>
        <v>99.2</v>
      </c>
      <c r="L69">
        <f t="shared" si="0"/>
        <v>86.272000000000006</v>
      </c>
      <c r="M69" s="28">
        <f t="shared" si="2"/>
        <v>162.57999999999998</v>
      </c>
    </row>
    <row r="70" spans="1:13" x14ac:dyDescent="0.75">
      <c r="A70" s="9">
        <v>2018</v>
      </c>
      <c r="B70" s="9">
        <f t="shared" si="7"/>
        <v>150.47999999999999</v>
      </c>
      <c r="C70" s="9">
        <f t="shared" si="8"/>
        <v>147.47999999999999</v>
      </c>
      <c r="D70" s="9">
        <f t="shared" si="9"/>
        <v>88.2</v>
      </c>
      <c r="E70" s="9">
        <f t="shared" si="10"/>
        <v>76.800000000000011</v>
      </c>
      <c r="G70">
        <v>1.32</v>
      </c>
      <c r="I70">
        <f>B70*$G70</f>
        <v>198.6336</v>
      </c>
      <c r="J70">
        <f t="shared" si="0"/>
        <v>194.67359999999999</v>
      </c>
      <c r="K70">
        <f t="shared" si="0"/>
        <v>116.42400000000001</v>
      </c>
      <c r="L70">
        <f t="shared" si="0"/>
        <v>101.37600000000002</v>
      </c>
      <c r="M70" s="28">
        <f t="shared" si="2"/>
        <v>181.61399999999998</v>
      </c>
    </row>
    <row r="71" spans="1:13" x14ac:dyDescent="0.75">
      <c r="A71" s="9">
        <v>2019</v>
      </c>
      <c r="B71" s="9">
        <f t="shared" si="7"/>
        <v>174.73999999999998</v>
      </c>
      <c r="C71" s="9">
        <f t="shared" si="8"/>
        <v>171.23999999999998</v>
      </c>
      <c r="D71" s="9">
        <f t="shared" si="9"/>
        <v>98.9</v>
      </c>
      <c r="E71" s="9">
        <f t="shared" si="10"/>
        <v>86.200000000000017</v>
      </c>
      <c r="G71">
        <v>1.35</v>
      </c>
      <c r="M71" s="28"/>
    </row>
    <row r="72" spans="1:13" x14ac:dyDescent="0.75">
      <c r="A72">
        <v>2020</v>
      </c>
      <c r="B72">
        <v>199</v>
      </c>
      <c r="C72">
        <v>195</v>
      </c>
      <c r="D72">
        <v>109.6</v>
      </c>
      <c r="E72">
        <v>95.6</v>
      </c>
    </row>
    <row r="73" spans="1:13" x14ac:dyDescent="0.75">
      <c r="A73">
        <v>2025</v>
      </c>
      <c r="B73">
        <v>240.4</v>
      </c>
      <c r="C73">
        <v>235.8</v>
      </c>
      <c r="D73">
        <v>146.80000000000001</v>
      </c>
      <c r="E73">
        <v>127.9</v>
      </c>
    </row>
    <row r="74" spans="1:13" x14ac:dyDescent="0.75">
      <c r="H74" s="11" t="s">
        <v>172</v>
      </c>
    </row>
    <row r="75" spans="1:13" x14ac:dyDescent="0.75">
      <c r="A75" s="1" t="s">
        <v>125</v>
      </c>
    </row>
    <row r="76" spans="1:13" x14ac:dyDescent="0.75">
      <c r="B76" s="30" t="s">
        <v>126</v>
      </c>
      <c r="D76" t="s">
        <v>129</v>
      </c>
    </row>
    <row r="77" spans="1:13" x14ac:dyDescent="0.75">
      <c r="A77" s="27">
        <v>2004</v>
      </c>
      <c r="B77" s="31">
        <v>5.9859999999999989</v>
      </c>
      <c r="D77" s="29"/>
    </row>
    <row r="78" spans="1:13" x14ac:dyDescent="0.75">
      <c r="A78" s="27">
        <v>2005</v>
      </c>
      <c r="B78" s="31">
        <v>8.2940000000000005</v>
      </c>
      <c r="D78" s="29"/>
    </row>
    <row r="79" spans="1:13" x14ac:dyDescent="0.75">
      <c r="A79" s="27">
        <v>2006</v>
      </c>
      <c r="B79" s="31">
        <v>10.708</v>
      </c>
      <c r="D79" s="29"/>
    </row>
    <row r="80" spans="1:13" x14ac:dyDescent="0.75">
      <c r="A80" s="27">
        <v>2007</v>
      </c>
      <c r="B80" s="31">
        <v>12.983999999999998</v>
      </c>
      <c r="D80" s="29"/>
    </row>
    <row r="81" spans="1:4" x14ac:dyDescent="0.75">
      <c r="A81" s="27">
        <v>2008</v>
      </c>
      <c r="B81" s="31">
        <v>13.467000000000001</v>
      </c>
      <c r="D81" s="29"/>
    </row>
    <row r="82" spans="1:4" x14ac:dyDescent="0.75">
      <c r="A82" s="27">
        <v>2009</v>
      </c>
      <c r="B82" s="31">
        <v>14.472</v>
      </c>
      <c r="D82" s="29"/>
    </row>
    <row r="83" spans="1:4" x14ac:dyDescent="0.75">
      <c r="A83" s="27">
        <v>2010</v>
      </c>
      <c r="B83" s="31">
        <v>14.704000000000001</v>
      </c>
      <c r="D83" s="29">
        <f>B83</f>
        <v>14.704000000000001</v>
      </c>
    </row>
    <row r="84" spans="1:4" x14ac:dyDescent="0.75">
      <c r="A84" s="27">
        <v>2011</v>
      </c>
      <c r="B84" s="31">
        <v>17.946000000000002</v>
      </c>
      <c r="D84" s="29">
        <f>B84+D83</f>
        <v>32.650000000000006</v>
      </c>
    </row>
    <row r="85" spans="1:4" x14ac:dyDescent="0.75">
      <c r="A85" s="27">
        <v>2012</v>
      </c>
      <c r="B85" s="31">
        <v>23.809000000000001</v>
      </c>
      <c r="D85" s="29">
        <f t="shared" ref="D85:D91" si="11">B85+D84</f>
        <v>56.459000000000003</v>
      </c>
    </row>
    <row r="86" spans="1:4" x14ac:dyDescent="0.75">
      <c r="A86" s="27">
        <v>2013</v>
      </c>
      <c r="B86" s="31">
        <v>23.427999999999997</v>
      </c>
      <c r="D86" s="29">
        <f t="shared" si="11"/>
        <v>79.887</v>
      </c>
    </row>
    <row r="87" spans="1:4" x14ac:dyDescent="0.75">
      <c r="A87" s="27">
        <v>2014</v>
      </c>
      <c r="B87" s="31">
        <v>24.012999999999995</v>
      </c>
      <c r="D87" s="29">
        <f t="shared" si="11"/>
        <v>103.89999999999999</v>
      </c>
    </row>
    <row r="88" spans="1:4" x14ac:dyDescent="0.75">
      <c r="A88" s="27">
        <v>2015</v>
      </c>
      <c r="B88" s="31">
        <v>21.439999999999998</v>
      </c>
      <c r="D88" s="29">
        <f t="shared" si="11"/>
        <v>125.33999999999999</v>
      </c>
    </row>
    <row r="89" spans="1:4" x14ac:dyDescent="0.75">
      <c r="A89" s="27">
        <v>2016</v>
      </c>
      <c r="B89" s="31">
        <v>18.560999999999996</v>
      </c>
      <c r="D89" s="29">
        <f t="shared" si="11"/>
        <v>143.90099999999998</v>
      </c>
    </row>
    <row r="90" spans="1:4" x14ac:dyDescent="0.75">
      <c r="A90" s="27">
        <v>2017</v>
      </c>
      <c r="B90" s="31">
        <v>18.679000000000002</v>
      </c>
      <c r="D90" s="29">
        <f t="shared" si="11"/>
        <v>162.57999999999998</v>
      </c>
    </row>
    <row r="91" spans="1:4" x14ac:dyDescent="0.75">
      <c r="A91" s="27">
        <v>2018</v>
      </c>
      <c r="B91" s="31">
        <v>19.033999999999999</v>
      </c>
      <c r="D91" s="29">
        <f t="shared" si="11"/>
        <v>181.61399999999998</v>
      </c>
    </row>
  </sheetData>
  <mergeCells count="13">
    <mergeCell ref="B59:E59"/>
    <mergeCell ref="B61:E61"/>
    <mergeCell ref="B34:E34"/>
    <mergeCell ref="B39:E39"/>
    <mergeCell ref="B44:E44"/>
    <mergeCell ref="B49:E49"/>
    <mergeCell ref="B54:E54"/>
    <mergeCell ref="B29:E29"/>
    <mergeCell ref="B4:E4"/>
    <mergeCell ref="B9:E9"/>
    <mergeCell ref="B14:E14"/>
    <mergeCell ref="B19:E19"/>
    <mergeCell ref="B24:E24"/>
  </mergeCells>
  <hyperlinks>
    <hyperlink ref="M2" r:id="rId1" xr:uid="{39C401DC-7E43-43C3-8753-73712CFE0BCD}"/>
    <hyperlink ref="M4" r:id="rId2" xr:uid="{97945116-02EE-4E68-8507-93BC1985959F}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1F50-BCC9-4553-A80B-BD1F61F5A30E}">
  <dimension ref="A1:M31"/>
  <sheetViews>
    <sheetView workbookViewId="0">
      <selection activeCell="E12" sqref="E12"/>
    </sheetView>
  </sheetViews>
  <sheetFormatPr defaultRowHeight="14.75" x14ac:dyDescent="0.75"/>
  <sheetData>
    <row r="1" spans="1:6" x14ac:dyDescent="0.75">
      <c r="A1" s="1" t="s">
        <v>57</v>
      </c>
    </row>
    <row r="2" spans="1:6" x14ac:dyDescent="0.75">
      <c r="A2" s="1"/>
    </row>
    <row r="3" spans="1:6" x14ac:dyDescent="0.75">
      <c r="A3" s="8" t="s">
        <v>58</v>
      </c>
      <c r="B3" t="s">
        <v>31</v>
      </c>
      <c r="C3" t="s">
        <v>53</v>
      </c>
      <c r="D3" t="s">
        <v>7</v>
      </c>
      <c r="E3" t="s">
        <v>5</v>
      </c>
      <c r="F3" s="9" t="s">
        <v>118</v>
      </c>
    </row>
    <row r="4" spans="1:6" x14ac:dyDescent="0.75">
      <c r="A4">
        <v>2010</v>
      </c>
      <c r="B4">
        <v>344</v>
      </c>
      <c r="C4">
        <v>340</v>
      </c>
      <c r="D4">
        <v>353</v>
      </c>
      <c r="E4">
        <v>348</v>
      </c>
      <c r="F4" s="55">
        <f>E22</f>
        <v>329.25817931374661</v>
      </c>
    </row>
    <row r="5" spans="1:6" x14ac:dyDescent="0.75">
      <c r="A5" s="9">
        <v>2011</v>
      </c>
      <c r="B5" s="9">
        <f>(($B$9-$B$4)/5)+B4</f>
        <v>342.6</v>
      </c>
      <c r="C5" s="9">
        <f>(($C$9-$C$4)/5)+C4</f>
        <v>336.4</v>
      </c>
      <c r="D5" s="9">
        <f>(($D$9-$D$4)/5)+D4</f>
        <v>356.4</v>
      </c>
      <c r="E5" s="9">
        <f>(($E$9-$E$4)/5)+E4</f>
        <v>347.2</v>
      </c>
      <c r="F5" s="55">
        <f t="shared" ref="F5:F12" si="0">E23</f>
        <v>318.25317492789662</v>
      </c>
    </row>
    <row r="6" spans="1:6" x14ac:dyDescent="0.75">
      <c r="A6" s="9">
        <v>2012</v>
      </c>
      <c r="B6" s="9">
        <f t="shared" ref="B6:B8" si="1">(($B$9-$B$4)/5)+B5</f>
        <v>341.20000000000005</v>
      </c>
      <c r="C6" s="9">
        <f t="shared" ref="C6:C8" si="2">(($C$9-$C$4)/5)+C5</f>
        <v>332.79999999999995</v>
      </c>
      <c r="D6" s="9">
        <f t="shared" ref="D6:D8" si="3">(($D$9-$D$4)/5)+D5</f>
        <v>359.79999999999995</v>
      </c>
      <c r="E6" s="9">
        <f t="shared" ref="E6:E8" si="4">(($E$9-$E$4)/5)+E5</f>
        <v>346.4</v>
      </c>
      <c r="F6" s="55">
        <f t="shared" si="0"/>
        <v>318.75686080854473</v>
      </c>
    </row>
    <row r="7" spans="1:6" x14ac:dyDescent="0.75">
      <c r="A7" s="9">
        <v>2013</v>
      </c>
      <c r="B7" s="9">
        <f t="shared" si="1"/>
        <v>339.80000000000007</v>
      </c>
      <c r="C7" s="9">
        <f t="shared" si="2"/>
        <v>329.19999999999993</v>
      </c>
      <c r="D7" s="9">
        <f t="shared" si="3"/>
        <v>363.19999999999993</v>
      </c>
      <c r="E7" s="9">
        <f t="shared" si="4"/>
        <v>345.59999999999997</v>
      </c>
      <c r="F7" s="55">
        <f t="shared" si="0"/>
        <v>316.8437244423942</v>
      </c>
    </row>
    <row r="8" spans="1:6" x14ac:dyDescent="0.75">
      <c r="A8" s="9">
        <v>2014</v>
      </c>
      <c r="B8" s="9">
        <f t="shared" si="1"/>
        <v>338.40000000000009</v>
      </c>
      <c r="C8" s="9">
        <f t="shared" si="2"/>
        <v>325.59999999999991</v>
      </c>
      <c r="D8" s="9">
        <f t="shared" si="3"/>
        <v>366.59999999999991</v>
      </c>
      <c r="E8" s="9">
        <f t="shared" si="4"/>
        <v>344.79999999999995</v>
      </c>
      <c r="F8" s="55">
        <f t="shared" si="0"/>
        <v>303.34678704200445</v>
      </c>
    </row>
    <row r="9" spans="1:6" x14ac:dyDescent="0.75">
      <c r="A9">
        <v>2015</v>
      </c>
      <c r="B9">
        <v>337</v>
      </c>
      <c r="C9">
        <v>322</v>
      </c>
      <c r="D9">
        <v>370</v>
      </c>
      <c r="E9">
        <v>344</v>
      </c>
      <c r="F9" s="55">
        <f t="shared" si="0"/>
        <v>303.89</v>
      </c>
    </row>
    <row r="10" spans="1:6" x14ac:dyDescent="0.75">
      <c r="A10" s="9">
        <v>2016</v>
      </c>
      <c r="B10" s="9">
        <f>(($B$14-$B$9)/5)+B9</f>
        <v>341</v>
      </c>
      <c r="C10" s="9">
        <f>(($C$14-$C$9)/5)+C9</f>
        <v>326</v>
      </c>
      <c r="D10" s="9">
        <f>(($D$14-$D$9)/5)+D9</f>
        <v>373</v>
      </c>
      <c r="E10" s="9">
        <f>(($E$14-$E$9)/5)+E9</f>
        <v>346.2</v>
      </c>
      <c r="F10" s="55">
        <f t="shared" si="0"/>
        <v>304.27999999999997</v>
      </c>
    </row>
    <row r="11" spans="1:6" x14ac:dyDescent="0.75">
      <c r="A11" s="9">
        <v>2017</v>
      </c>
      <c r="B11" s="9">
        <f t="shared" ref="B11:B13" si="5">(($B$14-$B$9)/5)+B10</f>
        <v>345</v>
      </c>
      <c r="C11" s="9">
        <f t="shared" ref="C11:C13" si="6">(($C$14-$C$9)/5)+C10</f>
        <v>330</v>
      </c>
      <c r="D11" s="9">
        <f t="shared" ref="D11:D13" si="7">(($D$14-$D$9)/5)+D10</f>
        <v>376</v>
      </c>
      <c r="E11" s="9">
        <f t="shared" ref="E11:E13" si="8">(($E$14-$E$9)/5)+E10</f>
        <v>348.4</v>
      </c>
      <c r="F11" s="55">
        <f t="shared" si="0"/>
        <v>299.87</v>
      </c>
    </row>
    <row r="12" spans="1:6" x14ac:dyDescent="0.75">
      <c r="A12" s="9">
        <v>2018</v>
      </c>
      <c r="B12" s="9">
        <f t="shared" si="5"/>
        <v>349</v>
      </c>
      <c r="C12" s="9">
        <f t="shared" si="6"/>
        <v>334</v>
      </c>
      <c r="D12" s="9">
        <f t="shared" si="7"/>
        <v>379</v>
      </c>
      <c r="E12" s="9">
        <f t="shared" si="8"/>
        <v>350.59999999999997</v>
      </c>
      <c r="F12" s="55">
        <f t="shared" si="0"/>
        <v>299.86</v>
      </c>
    </row>
    <row r="13" spans="1:6" x14ac:dyDescent="0.75">
      <c r="A13" s="9">
        <v>2019</v>
      </c>
      <c r="B13" s="9">
        <f t="shared" si="5"/>
        <v>353</v>
      </c>
      <c r="C13" s="9">
        <f t="shared" si="6"/>
        <v>338</v>
      </c>
      <c r="D13" s="9">
        <f t="shared" si="7"/>
        <v>382</v>
      </c>
      <c r="E13" s="9">
        <f t="shared" si="8"/>
        <v>352.79999999999995</v>
      </c>
      <c r="F13" s="9"/>
    </row>
    <row r="14" spans="1:6" x14ac:dyDescent="0.75">
      <c r="A14">
        <v>2020</v>
      </c>
      <c r="B14">
        <v>357</v>
      </c>
      <c r="C14">
        <v>342</v>
      </c>
      <c r="D14">
        <v>385</v>
      </c>
      <c r="E14">
        <v>355</v>
      </c>
      <c r="F14" s="9"/>
    </row>
    <row r="15" spans="1:6" x14ac:dyDescent="0.75">
      <c r="A15">
        <v>2025</v>
      </c>
      <c r="B15">
        <v>372</v>
      </c>
      <c r="C15">
        <v>355</v>
      </c>
      <c r="D15">
        <v>401</v>
      </c>
      <c r="E15">
        <v>358</v>
      </c>
      <c r="F15" s="9"/>
    </row>
    <row r="17" spans="1:13" x14ac:dyDescent="0.75">
      <c r="A17" s="1" t="s">
        <v>118</v>
      </c>
    </row>
    <row r="18" spans="1:13" x14ac:dyDescent="0.75">
      <c r="A18" s="7" t="s">
        <v>145</v>
      </c>
    </row>
    <row r="19" spans="1:13" x14ac:dyDescent="0.75">
      <c r="A19" s="7" t="s">
        <v>165</v>
      </c>
    </row>
    <row r="20" spans="1:13" x14ac:dyDescent="0.75">
      <c r="A20" s="7"/>
    </row>
    <row r="21" spans="1:13" x14ac:dyDescent="0.75">
      <c r="B21" s="52" t="s">
        <v>166</v>
      </c>
      <c r="C21" s="52" t="s">
        <v>167</v>
      </c>
      <c r="D21" s="52" t="s">
        <v>168</v>
      </c>
      <c r="E21" s="52" t="s">
        <v>70</v>
      </c>
      <c r="F21" s="52"/>
      <c r="G21" s="52"/>
    </row>
    <row r="22" spans="1:13" x14ac:dyDescent="0.75">
      <c r="A22" s="41">
        <v>2010</v>
      </c>
      <c r="B22" s="43">
        <v>104.95839178283407</v>
      </c>
      <c r="C22" s="43">
        <v>118.83195263410775</v>
      </c>
      <c r="D22" s="43">
        <v>105.46783489680477</v>
      </c>
      <c r="E22" s="43">
        <v>329.25817931374661</v>
      </c>
    </row>
    <row r="23" spans="1:13" x14ac:dyDescent="0.75">
      <c r="A23" s="41">
        <v>2011</v>
      </c>
      <c r="B23" s="43">
        <v>102.79588669814831</v>
      </c>
      <c r="C23" s="43">
        <v>111.58641761428098</v>
      </c>
      <c r="D23" s="43">
        <v>103.87087061546734</v>
      </c>
      <c r="E23" s="43">
        <v>318.25317492789662</v>
      </c>
    </row>
    <row r="24" spans="1:13" x14ac:dyDescent="0.75">
      <c r="A24" s="41">
        <v>2012</v>
      </c>
      <c r="B24" s="43">
        <v>98.941135807560087</v>
      </c>
      <c r="C24" s="43">
        <v>114.66262542679949</v>
      </c>
      <c r="D24" s="43">
        <v>105.15309957418515</v>
      </c>
      <c r="E24" s="43">
        <v>318.75686080854473</v>
      </c>
    </row>
    <row r="25" spans="1:13" x14ac:dyDescent="0.75">
      <c r="A25" s="41">
        <v>2013</v>
      </c>
      <c r="B25" s="43">
        <v>97.553173513596107</v>
      </c>
      <c r="C25" s="43">
        <v>113.41247237181817</v>
      </c>
      <c r="D25" s="43">
        <v>105.8780785569799</v>
      </c>
      <c r="E25" s="43">
        <v>316.8437244423942</v>
      </c>
    </row>
    <row r="26" spans="1:13" x14ac:dyDescent="0.75">
      <c r="A26" s="41">
        <v>2014</v>
      </c>
      <c r="B26" s="43">
        <v>93.565807256448807</v>
      </c>
      <c r="C26" s="43">
        <v>108.07609974809642</v>
      </c>
      <c r="D26" s="43">
        <v>101.7048800374592</v>
      </c>
      <c r="E26" s="43">
        <v>303.34678704200445</v>
      </c>
    </row>
    <row r="27" spans="1:13" x14ac:dyDescent="0.75">
      <c r="A27" s="41">
        <v>2015</v>
      </c>
      <c r="B27" s="43">
        <v>93.35</v>
      </c>
      <c r="C27" s="43">
        <v>107.76</v>
      </c>
      <c r="D27" s="43">
        <v>102.78</v>
      </c>
      <c r="E27" s="43">
        <v>303.89</v>
      </c>
    </row>
    <row r="28" spans="1:13" x14ac:dyDescent="0.75">
      <c r="A28" s="41">
        <v>2016</v>
      </c>
      <c r="B28" s="43">
        <v>93.56</v>
      </c>
      <c r="C28" s="43">
        <v>108.03</v>
      </c>
      <c r="D28" s="43">
        <v>102.69</v>
      </c>
      <c r="E28" s="43">
        <v>304.27999999999997</v>
      </c>
      <c r="J28" s="53"/>
      <c r="K28" s="53"/>
      <c r="L28" s="54"/>
      <c r="M28" s="53"/>
    </row>
    <row r="29" spans="1:13" x14ac:dyDescent="0.75">
      <c r="A29" s="41">
        <v>2017</v>
      </c>
      <c r="B29" s="43">
        <v>92.53</v>
      </c>
      <c r="C29" s="43">
        <v>105.37</v>
      </c>
      <c r="D29" s="43">
        <v>101.97</v>
      </c>
      <c r="E29" s="43">
        <v>299.87</v>
      </c>
    </row>
    <row r="30" spans="1:13" ht="15.5" thickBot="1" x14ac:dyDescent="0.9">
      <c r="A30" s="42">
        <v>2018</v>
      </c>
      <c r="B30" s="51">
        <v>93.24</v>
      </c>
      <c r="C30" s="51">
        <v>105.06</v>
      </c>
      <c r="D30" s="51">
        <v>101.56</v>
      </c>
      <c r="E30" s="51">
        <v>299.86</v>
      </c>
    </row>
    <row r="31" spans="1:13" ht="15.5" thickTop="1" x14ac:dyDescent="0.75"/>
  </sheetData>
  <hyperlinks>
    <hyperlink ref="A18" r:id="rId1" xr:uid="{CBE9D202-D08E-4195-BB45-2549D3A94D49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C462-5354-47C2-8B55-D14B56E49D2B}">
  <dimension ref="A1:M38"/>
  <sheetViews>
    <sheetView workbookViewId="0">
      <selection activeCell="H6" sqref="H6"/>
    </sheetView>
  </sheetViews>
  <sheetFormatPr defaultRowHeight="14.75" x14ac:dyDescent="0.75"/>
  <sheetData>
    <row r="1" spans="1:11" x14ac:dyDescent="0.75">
      <c r="A1" s="5" t="s">
        <v>47</v>
      </c>
    </row>
    <row r="2" spans="1:11" x14ac:dyDescent="0.75">
      <c r="A2" t="s">
        <v>48</v>
      </c>
    </row>
    <row r="3" spans="1:11" x14ac:dyDescent="0.75">
      <c r="A3" t="s">
        <v>49</v>
      </c>
    </row>
    <row r="5" spans="1:11" x14ac:dyDescent="0.75">
      <c r="A5">
        <f>9.1+47.9+30</f>
        <v>87</v>
      </c>
    </row>
    <row r="7" spans="1:11" x14ac:dyDescent="0.75">
      <c r="A7">
        <f>17.1+12.9+24.9</f>
        <v>54.9</v>
      </c>
    </row>
    <row r="11" spans="1:11" x14ac:dyDescent="0.75">
      <c r="A11" s="1" t="s">
        <v>50</v>
      </c>
      <c r="G11" s="1" t="s">
        <v>52</v>
      </c>
    </row>
    <row r="13" spans="1:11" x14ac:dyDescent="0.75">
      <c r="A13" t="s">
        <v>51</v>
      </c>
      <c r="B13" t="s">
        <v>31</v>
      </c>
      <c r="C13" t="s">
        <v>53</v>
      </c>
      <c r="D13" t="s">
        <v>7</v>
      </c>
      <c r="E13" t="s">
        <v>12</v>
      </c>
      <c r="G13" t="s">
        <v>31</v>
      </c>
      <c r="H13" t="s">
        <v>53</v>
      </c>
      <c r="I13" t="s">
        <v>7</v>
      </c>
      <c r="J13" t="s">
        <v>12</v>
      </c>
      <c r="K13" s="25" t="s">
        <v>118</v>
      </c>
    </row>
    <row r="14" spans="1:11" x14ac:dyDescent="0.75">
      <c r="A14">
        <v>2010</v>
      </c>
      <c r="B14">
        <v>95.1</v>
      </c>
      <c r="C14">
        <v>95.8</v>
      </c>
      <c r="D14">
        <v>93.7</v>
      </c>
      <c r="E14">
        <v>89.9</v>
      </c>
      <c r="G14">
        <f>-3.4+11.8+28.4</f>
        <v>36.799999999999997</v>
      </c>
      <c r="H14">
        <f>-0.1+13.6+24</f>
        <v>37.5</v>
      </c>
      <c r="I14">
        <f>-3.4+10.4+28.4</f>
        <v>35.4</v>
      </c>
      <c r="J14">
        <f>-0.1+8.2+24</f>
        <v>32.1</v>
      </c>
      <c r="K14" s="26">
        <f>C30</f>
        <v>40.066932078943587</v>
      </c>
    </row>
    <row r="15" spans="1:11" x14ac:dyDescent="0.75">
      <c r="A15" s="9">
        <v>2011</v>
      </c>
      <c r="B15" s="9">
        <f>((B$19-B$14)/5)+B14</f>
        <v>93.72</v>
      </c>
      <c r="C15" s="9">
        <f>((C$19-C$14)/5)+C14</f>
        <v>95.44</v>
      </c>
      <c r="D15" s="9">
        <f t="shared" ref="D15:J18" si="0">((D$19-D$14)/5)+D14</f>
        <v>94.54</v>
      </c>
      <c r="E15" s="9">
        <f t="shared" si="0"/>
        <v>90.36</v>
      </c>
      <c r="F15" s="9"/>
      <c r="G15" s="9">
        <f t="shared" si="0"/>
        <v>38.699999999999996</v>
      </c>
      <c r="H15" s="9">
        <f t="shared" si="0"/>
        <v>40.42</v>
      </c>
      <c r="I15" s="9">
        <f t="shared" si="0"/>
        <v>39.54</v>
      </c>
      <c r="J15" s="9">
        <f>((J$19-J$14)/5)+J14</f>
        <v>35.74</v>
      </c>
      <c r="K15" s="26">
        <f t="shared" ref="K15:K22" si="1">C31</f>
        <v>38.659782768614882</v>
      </c>
    </row>
    <row r="16" spans="1:11" x14ac:dyDescent="0.75">
      <c r="A16" s="9">
        <v>2012</v>
      </c>
      <c r="B16" s="9">
        <f>((B$19-B$14)/5)+B15</f>
        <v>92.34</v>
      </c>
      <c r="C16" s="9">
        <f t="shared" ref="C16:C18" si="2">((C$19-C$14)/5)+C15</f>
        <v>95.08</v>
      </c>
      <c r="D16" s="9">
        <f t="shared" si="0"/>
        <v>95.38000000000001</v>
      </c>
      <c r="E16" s="9">
        <f t="shared" si="0"/>
        <v>90.82</v>
      </c>
      <c r="F16" s="9"/>
      <c r="G16" s="9">
        <f t="shared" si="0"/>
        <v>40.599999999999994</v>
      </c>
      <c r="H16" s="9">
        <f t="shared" si="0"/>
        <v>43.34</v>
      </c>
      <c r="I16" s="9">
        <f t="shared" si="0"/>
        <v>43.68</v>
      </c>
      <c r="J16" s="9">
        <f t="shared" si="0"/>
        <v>39.380000000000003</v>
      </c>
      <c r="K16" s="26">
        <f t="shared" si="1"/>
        <v>38.75096294535264</v>
      </c>
    </row>
    <row r="17" spans="1:13" x14ac:dyDescent="0.75">
      <c r="A17" s="9">
        <v>2013</v>
      </c>
      <c r="B17" s="9">
        <f t="shared" ref="B17:B18" si="3">((B$19-B$14)/5)+B16</f>
        <v>90.960000000000008</v>
      </c>
      <c r="C17" s="9">
        <f t="shared" si="2"/>
        <v>94.72</v>
      </c>
      <c r="D17" s="9">
        <f t="shared" si="0"/>
        <v>96.220000000000013</v>
      </c>
      <c r="E17" s="9">
        <f t="shared" si="0"/>
        <v>91.279999999999987</v>
      </c>
      <c r="F17" s="9"/>
      <c r="G17" s="9">
        <f t="shared" si="0"/>
        <v>42.499999999999993</v>
      </c>
      <c r="H17" s="9">
        <f t="shared" si="0"/>
        <v>46.260000000000005</v>
      </c>
      <c r="I17" s="9">
        <f t="shared" si="0"/>
        <v>47.82</v>
      </c>
      <c r="J17" s="9">
        <f t="shared" si="0"/>
        <v>43.02</v>
      </c>
      <c r="K17" s="26">
        <f t="shared" si="1"/>
        <v>40.323286661086918</v>
      </c>
    </row>
    <row r="18" spans="1:13" x14ac:dyDescent="0.75">
      <c r="A18" s="9">
        <v>2014</v>
      </c>
      <c r="B18" s="9">
        <f t="shared" si="3"/>
        <v>89.580000000000013</v>
      </c>
      <c r="C18" s="9">
        <f t="shared" si="2"/>
        <v>94.36</v>
      </c>
      <c r="D18" s="9">
        <f t="shared" si="0"/>
        <v>97.060000000000016</v>
      </c>
      <c r="E18" s="9">
        <f t="shared" si="0"/>
        <v>91.739999999999981</v>
      </c>
      <c r="F18" s="9"/>
      <c r="G18" s="9">
        <f t="shared" si="0"/>
        <v>44.399999999999991</v>
      </c>
      <c r="H18" s="9">
        <f t="shared" si="0"/>
        <v>49.180000000000007</v>
      </c>
      <c r="I18" s="9">
        <f t="shared" si="0"/>
        <v>51.96</v>
      </c>
      <c r="J18" s="9">
        <f t="shared" si="0"/>
        <v>46.660000000000004</v>
      </c>
      <c r="K18" s="26">
        <f t="shared" si="1"/>
        <v>33.260066675537601</v>
      </c>
    </row>
    <row r="19" spans="1:13" x14ac:dyDescent="0.75">
      <c r="A19">
        <v>2015</v>
      </c>
      <c r="B19">
        <v>88.2</v>
      </c>
      <c r="C19">
        <v>94</v>
      </c>
      <c r="D19">
        <v>97.9</v>
      </c>
      <c r="E19">
        <v>92.2</v>
      </c>
      <c r="G19">
        <f>0.6+15.7+30</f>
        <v>46.3</v>
      </c>
      <c r="H19">
        <f>7.3+19.9+24.9</f>
        <v>52.099999999999994</v>
      </c>
      <c r="I19">
        <f>0.6+25.5+30</f>
        <v>56.1</v>
      </c>
      <c r="J19">
        <f>7.3+18.1+24.9</f>
        <v>50.3</v>
      </c>
      <c r="K19" s="26">
        <f t="shared" si="1"/>
        <v>31.333455423878323</v>
      </c>
    </row>
    <row r="20" spans="1:13" x14ac:dyDescent="0.75">
      <c r="A20" s="9">
        <v>2016</v>
      </c>
      <c r="B20" s="9">
        <f>((B$24-B$19)/5)+B19</f>
        <v>85.94</v>
      </c>
      <c r="C20" s="9">
        <f t="shared" ref="C20:J23" si="4">((C$24-C$19)/5)+C19</f>
        <v>91.42</v>
      </c>
      <c r="D20" s="9">
        <f t="shared" si="4"/>
        <v>100.92</v>
      </c>
      <c r="E20" s="9">
        <f t="shared" si="4"/>
        <v>94.34</v>
      </c>
      <c r="F20" s="9"/>
      <c r="G20" s="9">
        <f t="shared" si="4"/>
        <v>47.22</v>
      </c>
      <c r="H20" s="9">
        <f t="shared" si="4"/>
        <v>52.66</v>
      </c>
      <c r="I20" s="9">
        <f t="shared" si="4"/>
        <v>62.28</v>
      </c>
      <c r="J20" s="9">
        <f t="shared" si="4"/>
        <v>55.58</v>
      </c>
      <c r="K20" s="26">
        <f t="shared" si="1"/>
        <v>37.944787326060116</v>
      </c>
    </row>
    <row r="21" spans="1:13" x14ac:dyDescent="0.75">
      <c r="A21" s="9">
        <v>2017</v>
      </c>
      <c r="B21" s="9">
        <f t="shared" ref="B21:B23" si="5">((B$24-B$19)/5)+B20</f>
        <v>83.679999999999993</v>
      </c>
      <c r="C21" s="9">
        <f t="shared" si="4"/>
        <v>88.84</v>
      </c>
      <c r="D21" s="9">
        <f t="shared" si="4"/>
        <v>103.94</v>
      </c>
      <c r="E21" s="9">
        <f t="shared" si="4"/>
        <v>96.48</v>
      </c>
      <c r="F21" s="9"/>
      <c r="G21" s="9">
        <f t="shared" si="4"/>
        <v>48.14</v>
      </c>
      <c r="H21" s="9">
        <f t="shared" si="4"/>
        <v>53.22</v>
      </c>
      <c r="I21" s="9">
        <f t="shared" si="4"/>
        <v>68.460000000000008</v>
      </c>
      <c r="J21" s="9">
        <f t="shared" si="4"/>
        <v>60.86</v>
      </c>
      <c r="K21" s="26">
        <f t="shared" si="1"/>
        <v>35.82006616302219</v>
      </c>
    </row>
    <row r="22" spans="1:13" x14ac:dyDescent="0.75">
      <c r="A22" s="9">
        <v>2018</v>
      </c>
      <c r="B22" s="9">
        <f t="shared" si="5"/>
        <v>81.419999999999987</v>
      </c>
      <c r="C22" s="9">
        <f t="shared" si="4"/>
        <v>86.26</v>
      </c>
      <c r="D22" s="9">
        <f t="shared" si="4"/>
        <v>106.96</v>
      </c>
      <c r="E22" s="9">
        <f t="shared" si="4"/>
        <v>98.62</v>
      </c>
      <c r="F22" s="9"/>
      <c r="G22" s="9">
        <f t="shared" si="4"/>
        <v>49.06</v>
      </c>
      <c r="H22" s="9">
        <f t="shared" si="4"/>
        <v>53.78</v>
      </c>
      <c r="I22" s="9">
        <f t="shared" si="4"/>
        <v>74.640000000000015</v>
      </c>
      <c r="J22" s="9">
        <f t="shared" si="4"/>
        <v>66.14</v>
      </c>
      <c r="K22" s="26">
        <f t="shared" si="1"/>
        <v>39.529594870238597</v>
      </c>
    </row>
    <row r="23" spans="1:13" x14ac:dyDescent="0.75">
      <c r="A23" s="9">
        <v>2019</v>
      </c>
      <c r="B23" s="9">
        <f t="shared" si="5"/>
        <v>79.159999999999982</v>
      </c>
      <c r="C23" s="9">
        <f t="shared" si="4"/>
        <v>83.68</v>
      </c>
      <c r="D23" s="9">
        <f t="shared" si="4"/>
        <v>109.97999999999999</v>
      </c>
      <c r="E23" s="9">
        <f t="shared" si="4"/>
        <v>100.76</v>
      </c>
      <c r="F23" s="9"/>
      <c r="G23" s="9">
        <f t="shared" si="4"/>
        <v>49.980000000000004</v>
      </c>
      <c r="H23" s="9">
        <f t="shared" si="4"/>
        <v>54.34</v>
      </c>
      <c r="I23" s="9">
        <f t="shared" si="4"/>
        <v>80.820000000000022</v>
      </c>
      <c r="J23" s="9">
        <f t="shared" si="4"/>
        <v>71.42</v>
      </c>
      <c r="K23" s="26"/>
    </row>
    <row r="24" spans="1:13" x14ac:dyDescent="0.75">
      <c r="A24">
        <v>2020</v>
      </c>
      <c r="B24">
        <v>76.900000000000006</v>
      </c>
      <c r="C24">
        <v>81.099999999999994</v>
      </c>
      <c r="D24">
        <v>113</v>
      </c>
      <c r="E24">
        <v>102.9</v>
      </c>
      <c r="G24">
        <f>9.1+11.8+30</f>
        <v>50.9</v>
      </c>
      <c r="H24">
        <f>17.1+12.9+24.9</f>
        <v>54.9</v>
      </c>
      <c r="I24">
        <f>9.1+47.9+30</f>
        <v>87</v>
      </c>
      <c r="J24">
        <f>17.1+34.7+24.9</f>
        <v>76.7</v>
      </c>
      <c r="K24" s="26"/>
    </row>
    <row r="26" spans="1:13" x14ac:dyDescent="0.75">
      <c r="A26" t="s">
        <v>116</v>
      </c>
    </row>
    <row r="28" spans="1:13" x14ac:dyDescent="0.75">
      <c r="A28" s="1" t="s">
        <v>117</v>
      </c>
    </row>
    <row r="30" spans="1:13" x14ac:dyDescent="0.75">
      <c r="A30" s="16">
        <v>2010</v>
      </c>
      <c r="B30" s="20">
        <v>40066.932078943588</v>
      </c>
      <c r="C30" s="17">
        <f>B30/1000</f>
        <v>40.066932078943587</v>
      </c>
      <c r="D30" s="17"/>
      <c r="E30" s="17"/>
      <c r="F30" s="17"/>
      <c r="G30" s="18"/>
      <c r="H30" s="17"/>
      <c r="I30" s="17"/>
      <c r="J30" s="17"/>
      <c r="K30" s="17"/>
      <c r="L30" s="17"/>
      <c r="M30" s="17"/>
    </row>
    <row r="31" spans="1:13" x14ac:dyDescent="0.75">
      <c r="A31" s="16">
        <v>2011</v>
      </c>
      <c r="B31" s="20">
        <v>38659.782768614881</v>
      </c>
      <c r="C31" s="17">
        <f t="shared" ref="C31:C38" si="6">B31/1000</f>
        <v>38.659782768614882</v>
      </c>
      <c r="D31" s="17"/>
      <c r="E31" s="17"/>
      <c r="F31" s="17"/>
      <c r="G31" s="18"/>
      <c r="H31" s="17"/>
      <c r="I31" s="17"/>
      <c r="J31" s="17"/>
      <c r="K31" s="17"/>
      <c r="L31" s="17"/>
      <c r="M31" s="17"/>
    </row>
    <row r="32" spans="1:13" x14ac:dyDescent="0.75">
      <c r="A32" s="16">
        <v>2012</v>
      </c>
      <c r="B32" s="20">
        <v>38750.962945352643</v>
      </c>
      <c r="C32" s="17">
        <f t="shared" si="6"/>
        <v>38.75096294535264</v>
      </c>
      <c r="D32" s="19"/>
      <c r="E32" s="19"/>
      <c r="F32" s="19"/>
      <c r="G32" s="21"/>
      <c r="H32" s="19"/>
      <c r="I32" s="19"/>
      <c r="J32" s="19"/>
      <c r="K32" s="19"/>
      <c r="L32" s="19"/>
      <c r="M32" s="19"/>
    </row>
    <row r="33" spans="1:13" x14ac:dyDescent="0.75">
      <c r="A33" s="16">
        <v>2013</v>
      </c>
      <c r="B33" s="20">
        <v>40323.286661086917</v>
      </c>
      <c r="C33" s="17">
        <f t="shared" si="6"/>
        <v>40.323286661086918</v>
      </c>
      <c r="D33" s="19"/>
      <c r="E33" s="19"/>
      <c r="F33" s="23"/>
      <c r="G33" s="19"/>
      <c r="H33" s="19"/>
      <c r="I33" s="19"/>
      <c r="J33" s="19"/>
      <c r="K33" s="19"/>
      <c r="L33" s="19"/>
      <c r="M33" s="19"/>
    </row>
    <row r="34" spans="1:13" x14ac:dyDescent="0.75">
      <c r="A34" s="16">
        <v>2014</v>
      </c>
      <c r="B34" s="20">
        <v>33260.066675537601</v>
      </c>
      <c r="C34" s="17">
        <f t="shared" si="6"/>
        <v>33.260066675537601</v>
      </c>
      <c r="D34" s="19"/>
      <c r="E34" s="19"/>
      <c r="F34" s="23"/>
      <c r="G34" s="19"/>
      <c r="H34" s="19"/>
      <c r="I34" s="19"/>
      <c r="J34" s="19"/>
      <c r="K34" s="19"/>
      <c r="L34" s="19"/>
      <c r="M34" s="19"/>
    </row>
    <row r="35" spans="1:13" x14ac:dyDescent="0.75">
      <c r="A35" s="16">
        <v>2015</v>
      </c>
      <c r="B35" s="20">
        <v>31333.455423878324</v>
      </c>
      <c r="C35" s="17">
        <f t="shared" si="6"/>
        <v>31.333455423878323</v>
      </c>
      <c r="D35" s="19"/>
      <c r="E35" s="19"/>
      <c r="F35" s="23"/>
      <c r="G35" s="19"/>
      <c r="H35" s="19"/>
      <c r="I35" s="19"/>
      <c r="J35" s="19"/>
      <c r="K35" s="19"/>
      <c r="L35" s="19"/>
      <c r="M35" s="19"/>
    </row>
    <row r="36" spans="1:13" x14ac:dyDescent="0.75">
      <c r="A36" s="16">
        <v>2016</v>
      </c>
      <c r="B36" s="20">
        <v>37944.787326060119</v>
      </c>
      <c r="C36" s="17">
        <f t="shared" si="6"/>
        <v>37.944787326060116</v>
      </c>
      <c r="D36" s="19"/>
      <c r="E36" s="19"/>
      <c r="F36" s="23"/>
      <c r="G36" s="19"/>
      <c r="H36" s="19"/>
      <c r="I36" s="19"/>
      <c r="J36" s="19"/>
      <c r="K36" s="19"/>
      <c r="L36" s="19"/>
      <c r="M36" s="19"/>
    </row>
    <row r="37" spans="1:13" x14ac:dyDescent="0.75">
      <c r="A37" s="22">
        <v>2017</v>
      </c>
      <c r="B37" s="20">
        <v>35820.066163022188</v>
      </c>
      <c r="C37" s="17">
        <f t="shared" si="6"/>
        <v>35.82006616302219</v>
      </c>
      <c r="D37" s="19"/>
      <c r="E37" s="19"/>
      <c r="F37" s="23"/>
      <c r="G37" s="19"/>
      <c r="H37" s="19"/>
      <c r="I37" s="19"/>
      <c r="J37" s="19"/>
      <c r="K37" s="19"/>
      <c r="L37" s="19"/>
      <c r="M37" s="19"/>
    </row>
    <row r="38" spans="1:13" x14ac:dyDescent="0.75">
      <c r="A38" s="22">
        <v>2018</v>
      </c>
      <c r="B38" s="20">
        <v>39529.594870238594</v>
      </c>
      <c r="C38" s="17">
        <f t="shared" si="6"/>
        <v>39.529594870238597</v>
      </c>
      <c r="D38" s="19"/>
      <c r="E38" s="19"/>
      <c r="F38" s="23"/>
      <c r="G38" s="19"/>
      <c r="H38" s="19"/>
      <c r="I38" s="19"/>
      <c r="J38" s="19"/>
      <c r="K38" s="19"/>
      <c r="L38" s="19"/>
      <c r="M38" s="19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3EC90-653F-4B0A-B6D1-4F350E7E1339}">
  <dimension ref="A1:E22"/>
  <sheetViews>
    <sheetView workbookViewId="0">
      <selection activeCell="K21" sqref="K21"/>
    </sheetView>
  </sheetViews>
  <sheetFormatPr defaultRowHeight="14.75" x14ac:dyDescent="0.75"/>
  <sheetData>
    <row r="1" spans="1:5" x14ac:dyDescent="0.75">
      <c r="A1" s="4" t="s">
        <v>23</v>
      </c>
    </row>
    <row r="2" spans="1:5" x14ac:dyDescent="0.75">
      <c r="B2" t="s">
        <v>6</v>
      </c>
      <c r="C2" t="s">
        <v>8</v>
      </c>
      <c r="D2" t="s">
        <v>7</v>
      </c>
      <c r="E2" t="s">
        <v>12</v>
      </c>
    </row>
    <row r="3" spans="1:5" x14ac:dyDescent="0.75">
      <c r="A3" t="s">
        <v>24</v>
      </c>
      <c r="B3" s="56" t="s">
        <v>15</v>
      </c>
      <c r="C3" s="56"/>
      <c r="D3" s="56"/>
      <c r="E3" s="56"/>
    </row>
    <row r="4" spans="1:5" x14ac:dyDescent="0.75">
      <c r="A4">
        <v>2010</v>
      </c>
      <c r="B4">
        <v>60</v>
      </c>
      <c r="C4">
        <v>57</v>
      </c>
      <c r="D4">
        <v>80</v>
      </c>
      <c r="E4">
        <v>57</v>
      </c>
    </row>
    <row r="5" spans="1:5" x14ac:dyDescent="0.75">
      <c r="A5">
        <v>2015</v>
      </c>
      <c r="B5">
        <v>75</v>
      </c>
      <c r="C5">
        <v>60</v>
      </c>
      <c r="D5">
        <v>130</v>
      </c>
      <c r="E5">
        <v>60</v>
      </c>
    </row>
    <row r="6" spans="1:5" x14ac:dyDescent="0.75">
      <c r="A6">
        <v>2020</v>
      </c>
      <c r="B6">
        <v>90</v>
      </c>
      <c r="C6">
        <v>75</v>
      </c>
      <c r="D6">
        <v>90</v>
      </c>
      <c r="E6">
        <v>75</v>
      </c>
    </row>
    <row r="7" spans="1:5" x14ac:dyDescent="0.75">
      <c r="A7">
        <v>2025</v>
      </c>
      <c r="B7">
        <v>90</v>
      </c>
      <c r="C7">
        <v>90</v>
      </c>
      <c r="D7">
        <v>110</v>
      </c>
      <c r="E7">
        <v>90</v>
      </c>
    </row>
    <row r="8" spans="1:5" x14ac:dyDescent="0.75">
      <c r="A8" t="s">
        <v>27</v>
      </c>
      <c r="B8" s="56" t="s">
        <v>17</v>
      </c>
      <c r="C8" s="56"/>
      <c r="D8" s="56"/>
      <c r="E8" s="56"/>
    </row>
    <row r="9" spans="1:5" x14ac:dyDescent="0.75">
      <c r="A9">
        <v>2010</v>
      </c>
      <c r="B9">
        <v>80</v>
      </c>
      <c r="C9">
        <v>80</v>
      </c>
      <c r="D9">
        <v>121</v>
      </c>
      <c r="E9">
        <v>70</v>
      </c>
    </row>
    <row r="10" spans="1:5" x14ac:dyDescent="0.75">
      <c r="A10">
        <v>2015</v>
      </c>
      <c r="B10">
        <v>80</v>
      </c>
      <c r="C10">
        <v>80</v>
      </c>
      <c r="D10">
        <v>196</v>
      </c>
      <c r="E10">
        <v>71</v>
      </c>
    </row>
    <row r="11" spans="1:5" x14ac:dyDescent="0.75">
      <c r="A11">
        <v>2020</v>
      </c>
      <c r="B11">
        <v>80</v>
      </c>
      <c r="C11">
        <v>80</v>
      </c>
      <c r="D11">
        <v>110</v>
      </c>
      <c r="E11">
        <v>97</v>
      </c>
    </row>
    <row r="12" spans="1:5" x14ac:dyDescent="0.75">
      <c r="A12">
        <v>2025</v>
      </c>
      <c r="B12">
        <v>80</v>
      </c>
      <c r="C12">
        <v>80</v>
      </c>
      <c r="D12">
        <v>149</v>
      </c>
      <c r="E12">
        <v>112</v>
      </c>
    </row>
    <row r="13" spans="1:5" x14ac:dyDescent="0.75">
      <c r="A13" t="s">
        <v>28</v>
      </c>
      <c r="B13" s="56" t="s">
        <v>25</v>
      </c>
      <c r="C13" s="56"/>
      <c r="D13" s="56"/>
      <c r="E13" s="56"/>
    </row>
    <row r="14" spans="1:5" x14ac:dyDescent="0.75">
      <c r="A14">
        <v>2010</v>
      </c>
      <c r="B14">
        <v>45</v>
      </c>
      <c r="C14">
        <v>42</v>
      </c>
      <c r="D14">
        <v>63</v>
      </c>
      <c r="E14">
        <v>42</v>
      </c>
    </row>
    <row r="15" spans="1:5" x14ac:dyDescent="0.75">
      <c r="A15">
        <v>2015</v>
      </c>
      <c r="B15">
        <v>59</v>
      </c>
      <c r="C15">
        <v>45</v>
      </c>
      <c r="D15">
        <v>108</v>
      </c>
      <c r="E15">
        <v>45</v>
      </c>
    </row>
    <row r="16" spans="1:5" x14ac:dyDescent="0.75">
      <c r="A16">
        <v>2020</v>
      </c>
      <c r="B16">
        <v>72</v>
      </c>
      <c r="C16">
        <v>59</v>
      </c>
      <c r="D16">
        <v>72</v>
      </c>
      <c r="E16">
        <v>59</v>
      </c>
    </row>
    <row r="17" spans="1:5" x14ac:dyDescent="0.75">
      <c r="A17">
        <v>2025</v>
      </c>
      <c r="B17">
        <v>72</v>
      </c>
      <c r="C17">
        <v>72</v>
      </c>
      <c r="D17">
        <v>90</v>
      </c>
      <c r="E17">
        <v>72</v>
      </c>
    </row>
    <row r="18" spans="1:5" x14ac:dyDescent="0.75">
      <c r="A18" t="s">
        <v>29</v>
      </c>
      <c r="B18" s="56" t="s">
        <v>26</v>
      </c>
      <c r="C18" s="56"/>
      <c r="D18" s="56"/>
      <c r="E18" s="56"/>
    </row>
    <row r="19" spans="1:5" x14ac:dyDescent="0.75">
      <c r="A19">
        <v>2010</v>
      </c>
      <c r="B19">
        <v>17</v>
      </c>
      <c r="C19">
        <v>16</v>
      </c>
      <c r="D19">
        <v>16</v>
      </c>
      <c r="E19">
        <v>14</v>
      </c>
    </row>
    <row r="20" spans="1:5" x14ac:dyDescent="0.75">
      <c r="A20">
        <v>2015</v>
      </c>
      <c r="B20">
        <v>31</v>
      </c>
      <c r="C20">
        <v>24</v>
      </c>
      <c r="D20">
        <v>24</v>
      </c>
      <c r="E20">
        <v>18</v>
      </c>
    </row>
    <row r="21" spans="1:5" x14ac:dyDescent="0.75">
      <c r="A21">
        <v>2020</v>
      </c>
      <c r="B21">
        <v>43</v>
      </c>
      <c r="C21">
        <v>38</v>
      </c>
      <c r="D21">
        <v>31</v>
      </c>
      <c r="E21">
        <v>22</v>
      </c>
    </row>
    <row r="22" spans="1:5" x14ac:dyDescent="0.75">
      <c r="A22">
        <v>2025</v>
      </c>
      <c r="B22">
        <v>50</v>
      </c>
      <c r="C22">
        <v>50</v>
      </c>
      <c r="D22">
        <v>34</v>
      </c>
      <c r="E22">
        <v>30</v>
      </c>
    </row>
  </sheetData>
  <mergeCells count="4">
    <mergeCell ref="B8:E8"/>
    <mergeCell ref="B3:E3"/>
    <mergeCell ref="B13:E13"/>
    <mergeCell ref="B18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AE72E-CDC4-4ABD-83C6-AB789435A222}">
  <dimension ref="A1:M54"/>
  <sheetViews>
    <sheetView topLeftCell="A25" workbookViewId="0">
      <selection activeCell="C41" sqref="C41"/>
    </sheetView>
  </sheetViews>
  <sheetFormatPr defaultRowHeight="14.75" x14ac:dyDescent="0.75"/>
  <cols>
    <col min="1" max="1" width="26.31640625" bestFit="1" customWidth="1"/>
  </cols>
  <sheetData>
    <row r="1" spans="1:3" x14ac:dyDescent="0.75">
      <c r="B1" t="s">
        <v>105</v>
      </c>
      <c r="C1" t="s">
        <v>106</v>
      </c>
    </row>
    <row r="2" spans="1:3" x14ac:dyDescent="0.75">
      <c r="A2" t="s">
        <v>104</v>
      </c>
      <c r="B2" s="2">
        <v>0</v>
      </c>
      <c r="C2" s="3">
        <v>1.32E-2</v>
      </c>
    </row>
    <row r="3" spans="1:3" x14ac:dyDescent="0.75">
      <c r="A3" t="s">
        <v>110</v>
      </c>
      <c r="B3" s="3">
        <f>(B4+B5)/2</f>
        <v>0.08</v>
      </c>
      <c r="C3" s="3">
        <f>(C4+C5)/2</f>
        <v>0.21500000000000002</v>
      </c>
    </row>
    <row r="4" spans="1:3" x14ac:dyDescent="0.75">
      <c r="A4" t="s">
        <v>108</v>
      </c>
      <c r="B4" s="2">
        <v>0.13</v>
      </c>
      <c r="C4" s="2">
        <v>0.33</v>
      </c>
    </row>
    <row r="5" spans="1:3" x14ac:dyDescent="0.75">
      <c r="A5" t="s">
        <v>109</v>
      </c>
      <c r="B5" s="2">
        <v>0.03</v>
      </c>
      <c r="C5" s="2">
        <v>0.1</v>
      </c>
    </row>
    <row r="7" spans="1:3" x14ac:dyDescent="0.75">
      <c r="A7" t="s">
        <v>2</v>
      </c>
      <c r="B7" t="s">
        <v>104</v>
      </c>
      <c r="C7" t="s">
        <v>107</v>
      </c>
    </row>
    <row r="8" spans="1:3" x14ac:dyDescent="0.75">
      <c r="A8" t="s">
        <v>11</v>
      </c>
      <c r="B8" s="3">
        <v>1.315E-2</v>
      </c>
      <c r="C8" s="3">
        <v>0.16999999999999998</v>
      </c>
    </row>
    <row r="9" spans="1:3" x14ac:dyDescent="0.75">
      <c r="A9" t="s">
        <v>8</v>
      </c>
      <c r="B9" s="3">
        <v>6.8000000000000005E-3</v>
      </c>
      <c r="C9" s="3">
        <v>0.16999999999999998</v>
      </c>
    </row>
    <row r="10" spans="1:3" x14ac:dyDescent="0.75">
      <c r="A10" t="s">
        <v>7</v>
      </c>
      <c r="B10" s="3">
        <v>1.315E-2</v>
      </c>
      <c r="C10" s="3">
        <v>0.08</v>
      </c>
    </row>
    <row r="11" spans="1:3" x14ac:dyDescent="0.75">
      <c r="A11" t="s">
        <v>12</v>
      </c>
      <c r="B11" s="3">
        <v>4.0000000000000246E-4</v>
      </c>
      <c r="C11" s="3">
        <v>0.08</v>
      </c>
    </row>
    <row r="12" spans="1:3" x14ac:dyDescent="0.75">
      <c r="A12" t="s">
        <v>95</v>
      </c>
      <c r="B12" s="3">
        <v>1.303E-2</v>
      </c>
      <c r="C12" s="3">
        <v>0.20150000000000001</v>
      </c>
    </row>
    <row r="13" spans="1:3" x14ac:dyDescent="0.75">
      <c r="B13" s="3"/>
      <c r="C13" s="3"/>
    </row>
    <row r="21" spans="1:13" x14ac:dyDescent="0.75">
      <c r="A21" s="1" t="s">
        <v>130</v>
      </c>
      <c r="B21" t="s">
        <v>171</v>
      </c>
    </row>
    <row r="23" spans="1:13" x14ac:dyDescent="0.75">
      <c r="B23" t="s">
        <v>131</v>
      </c>
      <c r="C23" t="s">
        <v>132</v>
      </c>
      <c r="D23" t="s">
        <v>133</v>
      </c>
      <c r="E23" t="s">
        <v>170</v>
      </c>
    </row>
    <row r="24" spans="1:13" x14ac:dyDescent="0.75">
      <c r="A24" t="s">
        <v>6</v>
      </c>
      <c r="B24" s="32">
        <v>198.6336</v>
      </c>
      <c r="C24" s="32">
        <v>49.06</v>
      </c>
      <c r="D24" s="32">
        <v>122.66000000000003</v>
      </c>
      <c r="E24">
        <f>ConsumerBills!K17</f>
        <v>561.75</v>
      </c>
    </row>
    <row r="25" spans="1:13" x14ac:dyDescent="0.75">
      <c r="A25" t="s">
        <v>8</v>
      </c>
      <c r="B25" s="32">
        <v>194.67359999999999</v>
      </c>
      <c r="C25" s="32">
        <v>53.78</v>
      </c>
      <c r="D25" s="32">
        <v>86.639999999999986</v>
      </c>
      <c r="E25">
        <f>ConsumerBills!L17</f>
        <v>499.8</v>
      </c>
    </row>
    <row r="26" spans="1:13" x14ac:dyDescent="0.75">
      <c r="A26" t="s">
        <v>7</v>
      </c>
      <c r="B26" s="32">
        <v>116.42400000000001</v>
      </c>
      <c r="C26" s="32">
        <v>74.640000000000015</v>
      </c>
      <c r="D26" s="32">
        <v>154.57999999999998</v>
      </c>
      <c r="E26">
        <f>ConsumerBills!M17</f>
        <v>619.07999999999993</v>
      </c>
    </row>
    <row r="27" spans="1:13" x14ac:dyDescent="0.75">
      <c r="A27" t="s">
        <v>12</v>
      </c>
      <c r="B27" s="32">
        <v>101.37600000000002</v>
      </c>
      <c r="C27" s="32">
        <v>66.14</v>
      </c>
      <c r="D27" s="32">
        <v>144.58000000000001</v>
      </c>
      <c r="E27">
        <f>ConsumerBills!N17</f>
        <v>602.28</v>
      </c>
      <c r="M27" s="1"/>
    </row>
    <row r="28" spans="1:13" x14ac:dyDescent="0.75">
      <c r="A28" t="s">
        <v>95</v>
      </c>
      <c r="B28" s="32">
        <v>181.61399999999998</v>
      </c>
      <c r="C28" s="32">
        <v>39.529594870238597</v>
      </c>
      <c r="D28" s="32">
        <v>66.819323493250423</v>
      </c>
      <c r="E28">
        <f>ConsumerBills!O17</f>
        <v>634.66893737120131</v>
      </c>
      <c r="M28" s="9"/>
    </row>
    <row r="29" spans="1:13" x14ac:dyDescent="0.75">
      <c r="M29" s="28"/>
    </row>
    <row r="30" spans="1:13" x14ac:dyDescent="0.75">
      <c r="A30" s="1" t="s">
        <v>134</v>
      </c>
    </row>
    <row r="31" spans="1:13" x14ac:dyDescent="0.75">
      <c r="G31" s="32"/>
    </row>
    <row r="32" spans="1:13" x14ac:dyDescent="0.75">
      <c r="B32" t="s">
        <v>131</v>
      </c>
      <c r="C32" t="s">
        <v>132</v>
      </c>
      <c r="D32" t="s">
        <v>133</v>
      </c>
      <c r="G32" s="32"/>
    </row>
    <row r="33" spans="1:7" x14ac:dyDescent="0.75">
      <c r="A33" t="s">
        <v>6</v>
      </c>
      <c r="B33">
        <f>B24/MAX(B$24:B$28)</f>
        <v>1</v>
      </c>
      <c r="C33">
        <f>C24/MAX(C$24:C$28)</f>
        <v>0.65728831725616277</v>
      </c>
      <c r="D33">
        <f>D24/MAX(D$24:D$28)</f>
        <v>0.79350498123948787</v>
      </c>
      <c r="G33" s="32"/>
    </row>
    <row r="34" spans="1:7" x14ac:dyDescent="0.75">
      <c r="A34" t="s">
        <v>8</v>
      </c>
      <c r="B34">
        <f t="shared" ref="B34:D34" si="0">B25/MAX(B$24:B$28)</f>
        <v>0.98006379585326953</v>
      </c>
      <c r="C34">
        <f t="shared" si="0"/>
        <v>0.72052518756698813</v>
      </c>
      <c r="D34">
        <f t="shared" si="0"/>
        <v>0.56048647949281927</v>
      </c>
      <c r="G34" s="32"/>
    </row>
    <row r="35" spans="1:7" x14ac:dyDescent="0.75">
      <c r="A35" t="s">
        <v>7</v>
      </c>
      <c r="B35">
        <f t="shared" ref="B35:D35" si="1">B26/MAX(B$24:B$28)</f>
        <v>0.5861244019138756</v>
      </c>
      <c r="C35">
        <f t="shared" si="1"/>
        <v>1</v>
      </c>
      <c r="D35">
        <f t="shared" si="1"/>
        <v>1</v>
      </c>
      <c r="G35" s="32"/>
    </row>
    <row r="36" spans="1:7" x14ac:dyDescent="0.75">
      <c r="A36" t="s">
        <v>12</v>
      </c>
      <c r="B36">
        <f t="shared" ref="B36:D36" si="2">B27/MAX(B$24:B$28)</f>
        <v>0.51036682615629991</v>
      </c>
      <c r="C36">
        <f t="shared" si="2"/>
        <v>0.88612004287245427</v>
      </c>
      <c r="D36">
        <f t="shared" si="2"/>
        <v>0.93530857808254642</v>
      </c>
      <c r="G36" s="32"/>
    </row>
    <row r="37" spans="1:7" x14ac:dyDescent="0.75">
      <c r="A37" t="s">
        <v>95</v>
      </c>
      <c r="B37">
        <f t="shared" ref="B37:D37" si="3">B28/MAX(B$24:B$28)</f>
        <v>0.91431661108694584</v>
      </c>
      <c r="C37">
        <f t="shared" si="3"/>
        <v>0.52960336106964889</v>
      </c>
      <c r="D37">
        <f t="shared" si="3"/>
        <v>0.43226370483406928</v>
      </c>
      <c r="G37" s="32"/>
    </row>
    <row r="38" spans="1:7" x14ac:dyDescent="0.75">
      <c r="G38" s="32"/>
    </row>
    <row r="39" spans="1:7" x14ac:dyDescent="0.75">
      <c r="A39" s="1" t="s">
        <v>135</v>
      </c>
      <c r="G39" s="32"/>
    </row>
    <row r="40" spans="1:7" x14ac:dyDescent="0.75">
      <c r="A40">
        <v>1</v>
      </c>
      <c r="B40">
        <v>1</v>
      </c>
      <c r="C40">
        <v>1</v>
      </c>
      <c r="G40" s="32"/>
    </row>
    <row r="41" spans="1:7" x14ac:dyDescent="0.75">
      <c r="A41">
        <v>1</v>
      </c>
      <c r="B41">
        <v>0.98006379585326953</v>
      </c>
      <c r="C41">
        <v>1</v>
      </c>
      <c r="G41" s="32"/>
    </row>
    <row r="42" spans="1:7" x14ac:dyDescent="0.75">
      <c r="A42">
        <v>1</v>
      </c>
      <c r="B42">
        <v>0.5861244019138756</v>
      </c>
      <c r="C42">
        <v>1</v>
      </c>
      <c r="G42" s="32"/>
    </row>
    <row r="43" spans="1:7" x14ac:dyDescent="0.75">
      <c r="A43">
        <v>1</v>
      </c>
      <c r="B43">
        <v>0.51036682615629991</v>
      </c>
      <c r="C43">
        <v>1</v>
      </c>
      <c r="G43" s="32"/>
    </row>
    <row r="44" spans="1:7" x14ac:dyDescent="0.75">
      <c r="A44">
        <v>1</v>
      </c>
      <c r="B44">
        <v>0.91431661108694584</v>
      </c>
      <c r="C44">
        <v>1</v>
      </c>
      <c r="G44" s="32"/>
    </row>
    <row r="45" spans="1:7" x14ac:dyDescent="0.75">
      <c r="A45">
        <v>2</v>
      </c>
      <c r="B45">
        <v>0.65728831725616277</v>
      </c>
      <c r="C45">
        <v>2</v>
      </c>
      <c r="G45" s="32"/>
    </row>
    <row r="46" spans="1:7" x14ac:dyDescent="0.75">
      <c r="A46">
        <v>2</v>
      </c>
      <c r="B46">
        <v>0.72052518756698813</v>
      </c>
      <c r="C46">
        <v>2</v>
      </c>
    </row>
    <row r="47" spans="1:7" x14ac:dyDescent="0.75">
      <c r="A47">
        <v>2</v>
      </c>
      <c r="B47">
        <v>1</v>
      </c>
      <c r="C47">
        <v>2</v>
      </c>
    </row>
    <row r="48" spans="1:7" x14ac:dyDescent="0.75">
      <c r="A48">
        <v>2</v>
      </c>
      <c r="B48">
        <v>0.88612004287245427</v>
      </c>
      <c r="C48">
        <v>2</v>
      </c>
    </row>
    <row r="49" spans="1:3" x14ac:dyDescent="0.75">
      <c r="A49">
        <v>2</v>
      </c>
      <c r="B49">
        <v>0.52960336106964889</v>
      </c>
      <c r="C49">
        <v>2</v>
      </c>
    </row>
    <row r="50" spans="1:3" x14ac:dyDescent="0.75">
      <c r="A50">
        <v>3</v>
      </c>
      <c r="B50">
        <v>0.79350498123948787</v>
      </c>
      <c r="C50">
        <v>3</v>
      </c>
    </row>
    <row r="51" spans="1:3" x14ac:dyDescent="0.75">
      <c r="A51">
        <v>3</v>
      </c>
      <c r="B51">
        <v>0.56048647949281927</v>
      </c>
      <c r="C51">
        <v>3</v>
      </c>
    </row>
    <row r="52" spans="1:3" x14ac:dyDescent="0.75">
      <c r="A52">
        <v>3</v>
      </c>
      <c r="B52">
        <v>1</v>
      </c>
      <c r="C52">
        <v>3</v>
      </c>
    </row>
    <row r="53" spans="1:3" x14ac:dyDescent="0.75">
      <c r="A53">
        <v>3</v>
      </c>
      <c r="B53">
        <v>0.93530857808254642</v>
      </c>
      <c r="C53">
        <v>3</v>
      </c>
    </row>
    <row r="54" spans="1:3" x14ac:dyDescent="0.75">
      <c r="A54">
        <v>3</v>
      </c>
      <c r="B54">
        <v>0.43226370483406928</v>
      </c>
      <c r="C54">
        <v>3</v>
      </c>
    </row>
  </sheetData>
  <conditionalFormatting sqref="B33:B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C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D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09C8-A336-40AC-8877-AA32E90C11BB}">
  <dimension ref="A1:O51"/>
  <sheetViews>
    <sheetView topLeftCell="A4" workbookViewId="0">
      <selection activeCell="G7" sqref="G7"/>
    </sheetView>
  </sheetViews>
  <sheetFormatPr defaultRowHeight="14.75" x14ac:dyDescent="0.75"/>
  <sheetData>
    <row r="1" spans="1:15" x14ac:dyDescent="0.75">
      <c r="A1" s="1" t="s">
        <v>71</v>
      </c>
      <c r="I1" t="s">
        <v>136</v>
      </c>
    </row>
    <row r="3" spans="1:15" x14ac:dyDescent="0.75">
      <c r="A3" t="s">
        <v>72</v>
      </c>
    </row>
    <row r="4" spans="1:15" x14ac:dyDescent="0.75">
      <c r="A4" t="s">
        <v>73</v>
      </c>
    </row>
    <row r="5" spans="1:15" x14ac:dyDescent="0.75">
      <c r="A5" t="s">
        <v>74</v>
      </c>
    </row>
    <row r="7" spans="1:15" x14ac:dyDescent="0.75">
      <c r="A7" t="s">
        <v>75</v>
      </c>
      <c r="B7" t="s">
        <v>6</v>
      </c>
      <c r="C7" t="s">
        <v>8</v>
      </c>
      <c r="D7" t="s">
        <v>7</v>
      </c>
      <c r="E7" t="s">
        <v>12</v>
      </c>
      <c r="G7" s="5" t="s">
        <v>127</v>
      </c>
      <c r="J7" t="s">
        <v>75</v>
      </c>
      <c r="K7" t="s">
        <v>6</v>
      </c>
      <c r="L7" t="s">
        <v>8</v>
      </c>
      <c r="M7" t="s">
        <v>7</v>
      </c>
      <c r="N7" t="s">
        <v>12</v>
      </c>
      <c r="O7" t="s">
        <v>118</v>
      </c>
    </row>
    <row r="8" spans="1:15" x14ac:dyDescent="0.75">
      <c r="A8">
        <v>2010</v>
      </c>
      <c r="B8">
        <v>404</v>
      </c>
      <c r="C8">
        <v>346</v>
      </c>
      <c r="D8">
        <v>437</v>
      </c>
      <c r="E8">
        <v>394</v>
      </c>
      <c r="G8">
        <v>1.05</v>
      </c>
      <c r="J8">
        <v>2010</v>
      </c>
      <c r="K8">
        <f>B8*$G$8</f>
        <v>424.20000000000005</v>
      </c>
      <c r="L8">
        <f t="shared" ref="L8:N17" si="0">C8*$G$8</f>
        <v>363.3</v>
      </c>
      <c r="M8">
        <f t="shared" si="0"/>
        <v>458.85</v>
      </c>
      <c r="N8">
        <f t="shared" si="0"/>
        <v>413.70000000000005</v>
      </c>
      <c r="O8" s="35">
        <f>B42*$D$37</f>
        <v>436.81578947368422</v>
      </c>
    </row>
    <row r="9" spans="1:15" x14ac:dyDescent="0.75">
      <c r="A9" s="9">
        <v>2011</v>
      </c>
      <c r="B9" s="9">
        <f>(($B$13-$B$8)/5)+B8</f>
        <v>418.2</v>
      </c>
      <c r="C9" s="9">
        <f>(($C$13-$C$8)/5)+C8</f>
        <v>356.8</v>
      </c>
      <c r="D9" s="9">
        <f>(($D$13-$D$8)/5)+D8</f>
        <v>477.6</v>
      </c>
      <c r="E9" s="9">
        <f>(($E$13-$E$8)/5)+E8</f>
        <v>407.2</v>
      </c>
      <c r="G9">
        <v>1.1000000000000001</v>
      </c>
      <c r="J9" s="9">
        <v>2011</v>
      </c>
      <c r="K9">
        <f t="shared" ref="K9:K17" si="1">B9*$G$8</f>
        <v>439.11</v>
      </c>
      <c r="L9">
        <f t="shared" si="0"/>
        <v>374.64000000000004</v>
      </c>
      <c r="M9">
        <f t="shared" si="0"/>
        <v>501.48</v>
      </c>
      <c r="N9">
        <f t="shared" si="0"/>
        <v>427.56</v>
      </c>
      <c r="O9" s="35">
        <f t="shared" ref="O9:O17" si="2">B43*$D$37</f>
        <v>466.34210526315792</v>
      </c>
    </row>
    <row r="10" spans="1:15" x14ac:dyDescent="0.75">
      <c r="A10" s="9">
        <v>2012</v>
      </c>
      <c r="B10" s="9">
        <f t="shared" ref="B10:B12" si="3">(($B$13-$B$8)/5)+B9</f>
        <v>432.4</v>
      </c>
      <c r="C10" s="9">
        <f t="shared" ref="C10:C12" si="4">(($C$13-$C$8)/5)+C9</f>
        <v>367.6</v>
      </c>
      <c r="D10" s="9">
        <f t="shared" ref="D10:D12" si="5">(($D$13-$D$8)/5)+D9</f>
        <v>518.20000000000005</v>
      </c>
      <c r="E10" s="9">
        <f t="shared" ref="E10:E12" si="6">(($E$13-$E$8)/5)+E9</f>
        <v>420.4</v>
      </c>
      <c r="G10">
        <v>1.1399999999999999</v>
      </c>
      <c r="J10" s="9">
        <v>2012</v>
      </c>
      <c r="K10">
        <f t="shared" si="1"/>
        <v>454.02</v>
      </c>
      <c r="L10">
        <f t="shared" si="0"/>
        <v>385.98</v>
      </c>
      <c r="M10">
        <f t="shared" si="0"/>
        <v>544.11000000000013</v>
      </c>
      <c r="N10">
        <f t="shared" si="0"/>
        <v>441.42</v>
      </c>
      <c r="O10" s="35">
        <f t="shared" si="2"/>
        <v>490.65789473684214</v>
      </c>
    </row>
    <row r="11" spans="1:15" x14ac:dyDescent="0.75">
      <c r="A11" s="9">
        <v>2013</v>
      </c>
      <c r="B11" s="9">
        <f t="shared" si="3"/>
        <v>446.59999999999997</v>
      </c>
      <c r="C11" s="9">
        <f t="shared" si="4"/>
        <v>378.40000000000003</v>
      </c>
      <c r="D11" s="9">
        <f t="shared" si="5"/>
        <v>558.80000000000007</v>
      </c>
      <c r="E11" s="9">
        <f t="shared" si="6"/>
        <v>433.59999999999997</v>
      </c>
      <c r="G11">
        <v>1.17</v>
      </c>
      <c r="J11" s="9">
        <v>2013</v>
      </c>
      <c r="K11">
        <f t="shared" si="1"/>
        <v>468.93</v>
      </c>
      <c r="L11">
        <f t="shared" si="0"/>
        <v>397.32000000000005</v>
      </c>
      <c r="M11">
        <f t="shared" si="0"/>
        <v>586.74000000000012</v>
      </c>
      <c r="N11">
        <f t="shared" si="0"/>
        <v>455.28</v>
      </c>
      <c r="O11" s="35">
        <f t="shared" si="2"/>
        <v>521.92105263157896</v>
      </c>
    </row>
    <row r="12" spans="1:15" x14ac:dyDescent="0.75">
      <c r="A12" s="9">
        <v>2014</v>
      </c>
      <c r="B12" s="9">
        <f t="shared" si="3"/>
        <v>460.79999999999995</v>
      </c>
      <c r="C12" s="9">
        <f t="shared" si="4"/>
        <v>389.20000000000005</v>
      </c>
      <c r="D12" s="9">
        <f t="shared" si="5"/>
        <v>599.40000000000009</v>
      </c>
      <c r="E12" s="9">
        <f t="shared" si="6"/>
        <v>446.79999999999995</v>
      </c>
      <c r="G12">
        <v>1.2</v>
      </c>
      <c r="J12" s="9">
        <v>2014</v>
      </c>
      <c r="K12">
        <f t="shared" si="1"/>
        <v>483.84</v>
      </c>
      <c r="L12">
        <f t="shared" si="0"/>
        <v>408.66000000000008</v>
      </c>
      <c r="M12">
        <f t="shared" si="0"/>
        <v>629.37000000000012</v>
      </c>
      <c r="N12">
        <f t="shared" si="0"/>
        <v>469.14</v>
      </c>
      <c r="O12" s="35">
        <f t="shared" si="2"/>
        <v>535.81578947368428</v>
      </c>
    </row>
    <row r="13" spans="1:15" x14ac:dyDescent="0.75">
      <c r="A13">
        <v>2015</v>
      </c>
      <c r="B13">
        <v>475</v>
      </c>
      <c r="C13">
        <v>400</v>
      </c>
      <c r="D13">
        <v>640</v>
      </c>
      <c r="E13">
        <v>460</v>
      </c>
      <c r="G13">
        <v>1.21</v>
      </c>
      <c r="J13">
        <v>2015</v>
      </c>
      <c r="K13">
        <f t="shared" si="1"/>
        <v>498.75</v>
      </c>
      <c r="L13">
        <f t="shared" si="0"/>
        <v>420</v>
      </c>
      <c r="M13">
        <f t="shared" si="0"/>
        <v>672</v>
      </c>
      <c r="N13">
        <f t="shared" si="0"/>
        <v>483</v>
      </c>
      <c r="O13" s="35">
        <f t="shared" si="2"/>
        <v>526.26315789473688</v>
      </c>
    </row>
    <row r="14" spans="1:15" x14ac:dyDescent="0.75">
      <c r="A14" s="9">
        <v>2016</v>
      </c>
      <c r="B14" s="9">
        <f>(($B$18-$B$13)/5)+B13</f>
        <v>490</v>
      </c>
      <c r="C14" s="9">
        <f>(($C$18-$C$13)/5)+C13</f>
        <v>419</v>
      </c>
      <c r="D14" s="9">
        <f>(($D$18-$D$13)/5)+D13</f>
        <v>627.4</v>
      </c>
      <c r="E14" s="9">
        <f>(($E$18-$E$13)/5)+E13</f>
        <v>488.4</v>
      </c>
      <c r="G14">
        <v>1.23</v>
      </c>
      <c r="J14" s="9">
        <v>2016</v>
      </c>
      <c r="K14">
        <f t="shared" si="1"/>
        <v>514.5</v>
      </c>
      <c r="L14">
        <f t="shared" si="0"/>
        <v>439.95000000000005</v>
      </c>
      <c r="M14">
        <f t="shared" si="0"/>
        <v>658.77</v>
      </c>
      <c r="N14">
        <f t="shared" si="0"/>
        <v>512.82000000000005</v>
      </c>
      <c r="O14" s="35">
        <f t="shared" si="2"/>
        <v>529.73684210526324</v>
      </c>
    </row>
    <row r="15" spans="1:15" x14ac:dyDescent="0.75">
      <c r="A15" s="9">
        <v>2017</v>
      </c>
      <c r="B15" s="9">
        <f t="shared" ref="B15:B17" si="7">(($B$18-$B$13)/5)+B14</f>
        <v>505</v>
      </c>
      <c r="C15" s="9">
        <f t="shared" ref="C15:C17" si="8">(($C$18-$C$13)/5)+C14</f>
        <v>438</v>
      </c>
      <c r="D15" s="9">
        <f t="shared" ref="D15:D17" si="9">(($D$18-$D$13)/5)+D14</f>
        <v>614.79999999999995</v>
      </c>
      <c r="E15" s="9">
        <f t="shared" ref="E15:E17" si="10">(($E$18-$E$13)/5)+E14</f>
        <v>516.79999999999995</v>
      </c>
      <c r="G15">
        <v>1.28</v>
      </c>
      <c r="J15" s="9">
        <v>2017</v>
      </c>
      <c r="K15">
        <f t="shared" si="1"/>
        <v>530.25</v>
      </c>
      <c r="L15">
        <f t="shared" si="0"/>
        <v>459.90000000000003</v>
      </c>
      <c r="M15">
        <f t="shared" si="0"/>
        <v>645.54</v>
      </c>
      <c r="N15">
        <f t="shared" si="0"/>
        <v>542.64</v>
      </c>
      <c r="O15" s="35">
        <f t="shared" si="2"/>
        <v>566.21052631578948</v>
      </c>
    </row>
    <row r="16" spans="1:15" x14ac:dyDescent="0.75">
      <c r="A16" s="9">
        <v>2018</v>
      </c>
      <c r="B16" s="9">
        <f t="shared" si="7"/>
        <v>520</v>
      </c>
      <c r="C16" s="9">
        <f t="shared" si="8"/>
        <v>457</v>
      </c>
      <c r="D16" s="9">
        <f t="shared" si="9"/>
        <v>602.19999999999993</v>
      </c>
      <c r="E16" s="9">
        <f t="shared" si="10"/>
        <v>545.19999999999993</v>
      </c>
      <c r="G16">
        <v>1.32</v>
      </c>
      <c r="J16" s="9">
        <v>2018</v>
      </c>
      <c r="K16">
        <f t="shared" si="1"/>
        <v>546</v>
      </c>
      <c r="L16">
        <f t="shared" si="0"/>
        <v>479.85</v>
      </c>
      <c r="M16">
        <f t="shared" si="0"/>
        <v>632.30999999999995</v>
      </c>
      <c r="N16">
        <f t="shared" si="0"/>
        <v>572.45999999999992</v>
      </c>
      <c r="O16" s="35">
        <f t="shared" si="2"/>
        <v>607.02631578947376</v>
      </c>
    </row>
    <row r="17" spans="1:15" x14ac:dyDescent="0.75">
      <c r="A17" s="9">
        <v>2019</v>
      </c>
      <c r="B17" s="9">
        <f t="shared" si="7"/>
        <v>535</v>
      </c>
      <c r="C17" s="9">
        <f t="shared" si="8"/>
        <v>476</v>
      </c>
      <c r="D17" s="9">
        <f t="shared" si="9"/>
        <v>589.59999999999991</v>
      </c>
      <c r="E17" s="9">
        <f t="shared" si="10"/>
        <v>573.59999999999991</v>
      </c>
      <c r="G17">
        <v>1.35</v>
      </c>
      <c r="J17" s="9">
        <v>2019</v>
      </c>
      <c r="K17">
        <f t="shared" si="1"/>
        <v>561.75</v>
      </c>
      <c r="L17">
        <f t="shared" si="0"/>
        <v>499.8</v>
      </c>
      <c r="M17">
        <f t="shared" si="0"/>
        <v>619.07999999999993</v>
      </c>
      <c r="N17">
        <f t="shared" si="0"/>
        <v>602.28</v>
      </c>
      <c r="O17" s="35">
        <f t="shared" si="2"/>
        <v>634.66893737120131</v>
      </c>
    </row>
    <row r="18" spans="1:15" x14ac:dyDescent="0.75">
      <c r="A18">
        <v>2020</v>
      </c>
      <c r="B18">
        <v>550</v>
      </c>
      <c r="C18">
        <v>495</v>
      </c>
      <c r="D18">
        <v>577</v>
      </c>
      <c r="E18">
        <v>602</v>
      </c>
      <c r="J18">
        <v>2020</v>
      </c>
    </row>
    <row r="20" spans="1:15" x14ac:dyDescent="0.75">
      <c r="A20" s="1" t="s">
        <v>56</v>
      </c>
    </row>
    <row r="22" spans="1:15" x14ac:dyDescent="0.75">
      <c r="A22" t="s">
        <v>75</v>
      </c>
      <c r="B22" t="s">
        <v>6</v>
      </c>
      <c r="C22" t="s">
        <v>8</v>
      </c>
      <c r="D22" t="s">
        <v>7</v>
      </c>
      <c r="E22" t="s">
        <v>12</v>
      </c>
    </row>
    <row r="23" spans="1:15" x14ac:dyDescent="0.75">
      <c r="A23">
        <v>2010</v>
      </c>
      <c r="B23">
        <v>670</v>
      </c>
      <c r="C23">
        <v>660</v>
      </c>
      <c r="D23">
        <v>764</v>
      </c>
      <c r="E23">
        <v>651</v>
      </c>
    </row>
    <row r="24" spans="1:15" x14ac:dyDescent="0.75">
      <c r="A24" s="9">
        <v>2011</v>
      </c>
      <c r="B24" s="9">
        <f>(($B$28-$B$23)/5)+B23</f>
        <v>686.2</v>
      </c>
      <c r="C24" s="9">
        <f>(($C$28-$C$23)/5)+C23</f>
        <v>660.2</v>
      </c>
      <c r="D24" s="9">
        <f>(($D$28-$D$23)/5)+D23</f>
        <v>846.6</v>
      </c>
      <c r="E24" s="9">
        <f>(($E$28-$E$23)/5)+E23</f>
        <v>655</v>
      </c>
    </row>
    <row r="25" spans="1:15" x14ac:dyDescent="0.75">
      <c r="A25" s="9">
        <v>2012</v>
      </c>
      <c r="B25" s="9">
        <f t="shared" ref="B25:B27" si="11">(($B$28-$B$23)/5)+B24</f>
        <v>702.40000000000009</v>
      </c>
      <c r="C25" s="9">
        <f t="shared" ref="C25:C27" si="12">(($C$28-$C$23)/5)+C24</f>
        <v>660.40000000000009</v>
      </c>
      <c r="D25" s="9">
        <f t="shared" ref="D25:D27" si="13">(($D$28-$D$23)/5)+D24</f>
        <v>929.2</v>
      </c>
      <c r="E25" s="9">
        <f t="shared" ref="E25:E27" si="14">(($E$28-$E$23)/5)+E24</f>
        <v>659</v>
      </c>
    </row>
    <row r="26" spans="1:15" x14ac:dyDescent="0.75">
      <c r="A26" s="9">
        <v>2013</v>
      </c>
      <c r="B26" s="9">
        <f t="shared" si="11"/>
        <v>718.60000000000014</v>
      </c>
      <c r="C26" s="9">
        <f t="shared" si="12"/>
        <v>660.60000000000014</v>
      </c>
      <c r="D26" s="9">
        <f t="shared" si="13"/>
        <v>1011.8000000000001</v>
      </c>
      <c r="E26" s="9">
        <f t="shared" si="14"/>
        <v>663</v>
      </c>
    </row>
    <row r="27" spans="1:15" x14ac:dyDescent="0.75">
      <c r="A27" s="9">
        <v>2014</v>
      </c>
      <c r="B27" s="9">
        <f t="shared" si="11"/>
        <v>734.80000000000018</v>
      </c>
      <c r="C27" s="9">
        <f t="shared" si="12"/>
        <v>660.80000000000018</v>
      </c>
      <c r="D27" s="9">
        <f t="shared" si="13"/>
        <v>1094.4000000000001</v>
      </c>
      <c r="E27" s="9">
        <f t="shared" si="14"/>
        <v>667</v>
      </c>
    </row>
    <row r="28" spans="1:15" x14ac:dyDescent="0.75">
      <c r="A28">
        <v>2015</v>
      </c>
      <c r="B28">
        <v>751</v>
      </c>
      <c r="C28">
        <v>661</v>
      </c>
      <c r="D28">
        <v>1177</v>
      </c>
      <c r="E28">
        <v>671</v>
      </c>
    </row>
    <row r="29" spans="1:15" x14ac:dyDescent="0.75">
      <c r="A29" s="9">
        <v>2016</v>
      </c>
      <c r="B29" s="9">
        <f>(($B$33-$B$28)/5)+B28</f>
        <v>780.8</v>
      </c>
      <c r="C29" s="9">
        <f>(($C$33-$C$28)/5)+C28</f>
        <v>690.4</v>
      </c>
      <c r="D29" s="9">
        <f>(($D$33-$D$28)/5)+D28</f>
        <v>1120.5999999999999</v>
      </c>
      <c r="E29" s="9">
        <f>(($E$33-$E$28)/5)+E28</f>
        <v>705.4</v>
      </c>
    </row>
    <row r="30" spans="1:15" x14ac:dyDescent="0.75">
      <c r="A30" s="9">
        <v>2017</v>
      </c>
      <c r="B30" s="9">
        <f t="shared" ref="B30:B31" si="15">(($B$33-$B$28)/5)+B29</f>
        <v>810.59999999999991</v>
      </c>
      <c r="C30" s="9">
        <f t="shared" ref="C30:C31" si="16">(($C$33-$C$28)/5)+C29</f>
        <v>719.8</v>
      </c>
      <c r="D30" s="9">
        <f t="shared" ref="D30:D31" si="17">(($D$33-$D$28)/5)+D29</f>
        <v>1064.1999999999998</v>
      </c>
      <c r="E30" s="9">
        <f t="shared" ref="E30:E31" si="18">(($E$33-$E$28)/5)+E29</f>
        <v>739.8</v>
      </c>
    </row>
    <row r="31" spans="1:15" x14ac:dyDescent="0.75">
      <c r="A31" s="9">
        <v>2018</v>
      </c>
      <c r="B31" s="9">
        <f t="shared" si="15"/>
        <v>840.39999999999986</v>
      </c>
      <c r="C31" s="9">
        <f t="shared" si="16"/>
        <v>749.19999999999993</v>
      </c>
      <c r="D31" s="9">
        <f t="shared" si="17"/>
        <v>1007.7999999999998</v>
      </c>
      <c r="E31" s="9">
        <f t="shared" si="18"/>
        <v>774.19999999999993</v>
      </c>
    </row>
    <row r="32" spans="1:15" x14ac:dyDescent="0.75">
      <c r="A32" s="9">
        <v>2019</v>
      </c>
      <c r="B32" s="9">
        <f t="shared" ref="B32" si="19">(($B$33-$B$28)/5)+B31</f>
        <v>870.19999999999982</v>
      </c>
      <c r="C32" s="9">
        <f t="shared" ref="C32" si="20">(($C$33-$C$28)/5)+C31</f>
        <v>778.59999999999991</v>
      </c>
      <c r="D32" s="9">
        <f t="shared" ref="D32" si="21">(($D$33-$D$28)/5)+D31</f>
        <v>951.39999999999986</v>
      </c>
      <c r="E32" s="9">
        <f t="shared" ref="E32" si="22">(($E$33-$E$28)/5)+E31</f>
        <v>808.59999999999991</v>
      </c>
    </row>
    <row r="33" spans="1:5" x14ac:dyDescent="0.75">
      <c r="A33">
        <v>2020</v>
      </c>
      <c r="B33">
        <v>900</v>
      </c>
      <c r="C33">
        <v>808</v>
      </c>
      <c r="D33">
        <v>895</v>
      </c>
      <c r="E33">
        <v>843</v>
      </c>
    </row>
    <row r="35" spans="1:5" x14ac:dyDescent="0.75">
      <c r="A35" t="s">
        <v>137</v>
      </c>
    </row>
    <row r="37" spans="1:5" x14ac:dyDescent="0.75">
      <c r="A37" t="s">
        <v>138</v>
      </c>
      <c r="B37" t="s">
        <v>139</v>
      </c>
      <c r="D37">
        <f>3300/3800</f>
        <v>0.86842105263157898</v>
      </c>
      <c r="E37" t="s">
        <v>144</v>
      </c>
    </row>
    <row r="38" spans="1:5" x14ac:dyDescent="0.75">
      <c r="B38" t="s">
        <v>140</v>
      </c>
    </row>
    <row r="40" spans="1:5" x14ac:dyDescent="0.75">
      <c r="A40" s="1" t="s">
        <v>108</v>
      </c>
    </row>
    <row r="41" spans="1:5" x14ac:dyDescent="0.75">
      <c r="B41" t="s">
        <v>143</v>
      </c>
    </row>
    <row r="42" spans="1:5" x14ac:dyDescent="0.75">
      <c r="A42" s="37">
        <v>2010</v>
      </c>
      <c r="B42" s="36">
        <v>503</v>
      </c>
    </row>
    <row r="43" spans="1:5" x14ac:dyDescent="0.75">
      <c r="A43" s="37">
        <v>2011</v>
      </c>
      <c r="B43" s="36">
        <v>537</v>
      </c>
    </row>
    <row r="44" spans="1:5" x14ac:dyDescent="0.75">
      <c r="A44" s="37">
        <v>2012</v>
      </c>
      <c r="B44" s="36">
        <v>565</v>
      </c>
    </row>
    <row r="45" spans="1:5" x14ac:dyDescent="0.75">
      <c r="A45" s="37">
        <v>2013</v>
      </c>
      <c r="B45" s="36">
        <v>601</v>
      </c>
    </row>
    <row r="46" spans="1:5" x14ac:dyDescent="0.75">
      <c r="A46" s="37" t="s">
        <v>141</v>
      </c>
      <c r="B46" s="36">
        <v>617</v>
      </c>
    </row>
    <row r="47" spans="1:5" x14ac:dyDescent="0.75">
      <c r="A47" s="37" t="s">
        <v>142</v>
      </c>
      <c r="B47" s="36">
        <v>606</v>
      </c>
    </row>
    <row r="48" spans="1:5" x14ac:dyDescent="0.75">
      <c r="A48" s="37">
        <v>2016</v>
      </c>
      <c r="B48" s="36">
        <v>610</v>
      </c>
    </row>
    <row r="49" spans="1:2" x14ac:dyDescent="0.75">
      <c r="A49" s="37">
        <v>2017</v>
      </c>
      <c r="B49" s="36">
        <v>652</v>
      </c>
    </row>
    <row r="50" spans="1:2" x14ac:dyDescent="0.75">
      <c r="A50" s="37">
        <v>2018</v>
      </c>
      <c r="B50" s="36">
        <v>699</v>
      </c>
    </row>
    <row r="51" spans="1:2" x14ac:dyDescent="0.75">
      <c r="A51" s="37">
        <v>2019</v>
      </c>
      <c r="B51" s="36">
        <v>730.83089757895902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33CCE-E23F-45AA-90B7-11906B04D2DB}">
  <dimension ref="A1:G23"/>
  <sheetViews>
    <sheetView workbookViewId="0">
      <selection activeCell="F16" sqref="F16"/>
    </sheetView>
  </sheetViews>
  <sheetFormatPr defaultRowHeight="14.75" x14ac:dyDescent="0.75"/>
  <sheetData>
    <row r="1" spans="1:7" x14ac:dyDescent="0.75">
      <c r="A1" t="s">
        <v>3</v>
      </c>
      <c r="B1" t="s">
        <v>4</v>
      </c>
    </row>
    <row r="3" spans="1:7" x14ac:dyDescent="0.75">
      <c r="A3" t="s">
        <v>1</v>
      </c>
      <c r="B3" t="s">
        <v>5</v>
      </c>
      <c r="C3" t="s">
        <v>6</v>
      </c>
      <c r="D3" t="s">
        <v>7</v>
      </c>
      <c r="E3" t="s">
        <v>8</v>
      </c>
      <c r="G3" s="9" t="s">
        <v>95</v>
      </c>
    </row>
    <row r="4" spans="1:7" x14ac:dyDescent="0.75">
      <c r="A4">
        <v>2009</v>
      </c>
      <c r="B4" s="3">
        <v>-3.7999999999999999E-2</v>
      </c>
      <c r="C4" s="3">
        <v>-3.7999999999999999E-2</v>
      </c>
      <c r="D4" s="3">
        <v>-3.7999999999999999E-2</v>
      </c>
      <c r="E4" s="3">
        <v>-3.7999999999999999E-2</v>
      </c>
      <c r="G4" s="10">
        <v>-4.2500000000000003E-2</v>
      </c>
    </row>
    <row r="5" spans="1:7" x14ac:dyDescent="0.75">
      <c r="A5">
        <v>2010</v>
      </c>
      <c r="B5" s="3">
        <f>($B$7-$B$4)/3+B4</f>
        <v>-2.5333333333333333E-2</v>
      </c>
      <c r="C5" s="3">
        <f t="shared" ref="C5:D5" si="0">(C6+C4)/2</f>
        <v>-8.4999999999999989E-3</v>
      </c>
      <c r="D5" s="3">
        <f t="shared" si="0"/>
        <v>-8.4999999999999989E-3</v>
      </c>
      <c r="E5" s="3">
        <f>(E6+E4)/2</f>
        <v>-1.6500000000000001E-2</v>
      </c>
      <c r="G5" s="10">
        <v>1.95E-2</v>
      </c>
    </row>
    <row r="6" spans="1:7" x14ac:dyDescent="0.75">
      <c r="A6">
        <v>2011</v>
      </c>
      <c r="B6" s="3">
        <f>($B$7-$B$4)/3+B5</f>
        <v>-1.2666666666666666E-2</v>
      </c>
      <c r="C6" s="3">
        <v>2.1000000000000001E-2</v>
      </c>
      <c r="D6" s="3">
        <v>2.1000000000000001E-2</v>
      </c>
      <c r="E6" s="3">
        <v>5.0000000000000001E-3</v>
      </c>
      <c r="G6" s="10">
        <v>1.54E-2</v>
      </c>
    </row>
    <row r="7" spans="1:7" x14ac:dyDescent="0.75">
      <c r="A7">
        <v>2012</v>
      </c>
      <c r="B7" s="3">
        <v>0</v>
      </c>
      <c r="C7" s="3">
        <v>2.5000000000000001E-2</v>
      </c>
      <c r="D7" s="3">
        <v>2.5000000000000001E-2</v>
      </c>
      <c r="E7" s="10">
        <f>(($E$10-$E$6)/4)+E6</f>
        <v>8.7500000000000008E-3</v>
      </c>
      <c r="G7" s="10">
        <v>1.4800000000000001E-2</v>
      </c>
    </row>
    <row r="8" spans="1:7" x14ac:dyDescent="0.75">
      <c r="A8">
        <v>2013</v>
      </c>
      <c r="B8" s="10">
        <f>(($B$12-$B$7)/5)+B7</f>
        <v>4.0000000000000001E-3</v>
      </c>
      <c r="C8" s="3">
        <v>2.5000000000000001E-2</v>
      </c>
      <c r="D8" s="3">
        <v>2.5000000000000001E-2</v>
      </c>
      <c r="E8" s="10">
        <f t="shared" ref="E8:E9" si="1">(($E$10-$E$6)/4)+E7</f>
        <v>1.2500000000000001E-2</v>
      </c>
      <c r="G8" s="10">
        <v>2.1399999999999999E-2</v>
      </c>
    </row>
    <row r="9" spans="1:7" x14ac:dyDescent="0.75">
      <c r="A9">
        <v>2014</v>
      </c>
      <c r="B9" s="10">
        <f t="shared" ref="B9:B11" si="2">(($B$12-$B$7)/5)+B8</f>
        <v>8.0000000000000002E-3</v>
      </c>
      <c r="C9" s="10">
        <f>(C8+C10)/2</f>
        <v>2.3E-2</v>
      </c>
      <c r="D9" s="3">
        <f>(D8+D10)/2</f>
        <v>2.3E-2</v>
      </c>
      <c r="E9" s="10">
        <f t="shared" si="1"/>
        <v>1.6250000000000001E-2</v>
      </c>
      <c r="G9" s="10">
        <v>2.6100000000000002E-2</v>
      </c>
    </row>
    <row r="10" spans="1:7" x14ac:dyDescent="0.75">
      <c r="A10">
        <v>2015</v>
      </c>
      <c r="B10" s="10">
        <f t="shared" si="2"/>
        <v>1.2E-2</v>
      </c>
      <c r="C10" s="3">
        <v>2.1000000000000001E-2</v>
      </c>
      <c r="D10" s="3">
        <v>2.1000000000000001E-2</v>
      </c>
      <c r="E10" s="3">
        <v>0.02</v>
      </c>
      <c r="G10" s="10">
        <v>2.3599999999999999E-2</v>
      </c>
    </row>
    <row r="11" spans="1:7" x14ac:dyDescent="0.75">
      <c r="A11">
        <v>2016</v>
      </c>
      <c r="B11" s="10">
        <f t="shared" si="2"/>
        <v>1.6E-2</v>
      </c>
      <c r="C11" s="10">
        <v>2.1000000000000001E-2</v>
      </c>
      <c r="D11" s="10">
        <v>2.1000000000000001E-2</v>
      </c>
      <c r="E11" s="10">
        <v>0.02</v>
      </c>
      <c r="G11" s="10">
        <v>1.9199999999999998E-2</v>
      </c>
    </row>
    <row r="12" spans="1:7" x14ac:dyDescent="0.75">
      <c r="A12">
        <v>2017</v>
      </c>
      <c r="B12" s="3">
        <v>0.02</v>
      </c>
      <c r="C12" s="10">
        <v>2.1000000000000001E-2</v>
      </c>
      <c r="D12" s="10">
        <v>2.1000000000000001E-2</v>
      </c>
      <c r="E12" s="10">
        <v>0.02</v>
      </c>
      <c r="G12" s="10">
        <v>1.89E-2</v>
      </c>
    </row>
    <row r="13" spans="1:7" x14ac:dyDescent="0.75">
      <c r="A13">
        <v>2018</v>
      </c>
      <c r="B13" s="10">
        <v>0.02</v>
      </c>
      <c r="C13" s="10">
        <v>2.1000000000000001E-2</v>
      </c>
      <c r="D13" s="10">
        <v>2.1000000000000001E-2</v>
      </c>
      <c r="E13" s="10">
        <v>0.02</v>
      </c>
      <c r="G13" s="10">
        <v>1.3899999999999999E-2</v>
      </c>
    </row>
    <row r="14" spans="1:7" x14ac:dyDescent="0.75">
      <c r="A14">
        <v>2019</v>
      </c>
      <c r="B14" s="10">
        <v>0.02</v>
      </c>
      <c r="C14" s="10">
        <v>2.1000000000000001E-2</v>
      </c>
      <c r="D14" s="10">
        <v>2.1000000000000001E-2</v>
      </c>
      <c r="E14" s="10">
        <v>0.02</v>
      </c>
      <c r="G14" s="9"/>
    </row>
    <row r="15" spans="1:7" x14ac:dyDescent="0.75">
      <c r="A15">
        <v>2020</v>
      </c>
      <c r="B15" s="3">
        <v>0.02</v>
      </c>
      <c r="C15" s="3">
        <v>2.1000000000000001E-2</v>
      </c>
      <c r="D15" s="3">
        <v>2.1000000000000001E-2</v>
      </c>
      <c r="E15" s="3">
        <v>0.02</v>
      </c>
      <c r="G15" s="9"/>
    </row>
    <row r="17" spans="1:7" x14ac:dyDescent="0.75">
      <c r="A17" s="9" t="s">
        <v>96</v>
      </c>
      <c r="B17" s="10">
        <f t="shared" ref="B17:E17" si="3">AVERAGE(B4:B13)</f>
        <v>4.0000000000000246E-4</v>
      </c>
      <c r="C17" s="10">
        <f t="shared" si="3"/>
        <v>1.315E-2</v>
      </c>
      <c r="D17" s="10">
        <f t="shared" si="3"/>
        <v>1.315E-2</v>
      </c>
      <c r="E17" s="10">
        <f t="shared" si="3"/>
        <v>6.8000000000000005E-3</v>
      </c>
      <c r="F17" s="9"/>
      <c r="G17" s="10">
        <f>AVERAGE(G4:G13)</f>
        <v>1.303E-2</v>
      </c>
    </row>
    <row r="19" spans="1:7" x14ac:dyDescent="0.75">
      <c r="A19" s="11" t="s">
        <v>97</v>
      </c>
    </row>
    <row r="21" spans="1:7" x14ac:dyDescent="0.75">
      <c r="A21" s="11" t="s">
        <v>98</v>
      </c>
    </row>
    <row r="23" spans="1:7" x14ac:dyDescent="0.75">
      <c r="A2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F0668-FEBE-4E32-A2FF-B5EC05F0E913}">
  <dimension ref="A1:I48"/>
  <sheetViews>
    <sheetView topLeftCell="A37" workbookViewId="0">
      <selection activeCell="I30" sqref="I30"/>
    </sheetView>
  </sheetViews>
  <sheetFormatPr defaultRowHeight="14.75" x14ac:dyDescent="0.75"/>
  <sheetData>
    <row r="1" spans="1:7" x14ac:dyDescent="0.75">
      <c r="A1" s="1" t="s">
        <v>9</v>
      </c>
    </row>
    <row r="2" spans="1:7" x14ac:dyDescent="0.75">
      <c r="G2" t="s">
        <v>95</v>
      </c>
    </row>
    <row r="3" spans="1:7" x14ac:dyDescent="0.75">
      <c r="B3" t="s">
        <v>6</v>
      </c>
      <c r="C3" t="s">
        <v>8</v>
      </c>
      <c r="D3" t="s">
        <v>7</v>
      </c>
      <c r="E3" t="s">
        <v>12</v>
      </c>
      <c r="G3" s="9"/>
    </row>
    <row r="4" spans="1:7" x14ac:dyDescent="0.75">
      <c r="A4">
        <v>2009</v>
      </c>
      <c r="B4" s="2">
        <v>7.0000000000000007E-2</v>
      </c>
      <c r="C4" s="2">
        <v>7.0000000000000007E-2</v>
      </c>
      <c r="D4" s="2">
        <v>7.0000000000000007E-2</v>
      </c>
      <c r="E4" s="2">
        <v>7.0000000000000007E-2</v>
      </c>
      <c r="G4" s="10">
        <v>6.7000000000000004E-2</v>
      </c>
    </row>
    <row r="5" spans="1:7" x14ac:dyDescent="0.75">
      <c r="A5">
        <v>2010</v>
      </c>
      <c r="B5" s="12">
        <f>(($B$11-$B$4)/7)+B4</f>
        <v>8.5714285714285715E-2</v>
      </c>
      <c r="C5" s="12">
        <f>(($C$11-$C$4)/7)+C4</f>
        <v>8.5714285714285715E-2</v>
      </c>
      <c r="D5" s="12">
        <f>(($D$11-$D$4)/7)+D4</f>
        <v>7.571428571428572E-2</v>
      </c>
      <c r="E5" s="12">
        <f>(($E$11-$E$4)/7)+E4</f>
        <v>7.571428571428572E-2</v>
      </c>
      <c r="G5" s="10">
        <v>6.9000000000000006E-2</v>
      </c>
    </row>
    <row r="6" spans="1:7" x14ac:dyDescent="0.75">
      <c r="A6">
        <v>2011</v>
      </c>
      <c r="B6" s="12">
        <f t="shared" ref="B6:B10" si="0">(($B$11-$B$4)/7)+B5</f>
        <v>0.10142857142857142</v>
      </c>
      <c r="C6" s="12">
        <f t="shared" ref="C6:C10" si="1">(($C$11-$C$4)/7)+C5</f>
        <v>0.10142857142857142</v>
      </c>
      <c r="D6" s="12">
        <f t="shared" ref="D6:D10" si="2">(($D$11-$D$4)/7)+D5</f>
        <v>8.1428571428571433E-2</v>
      </c>
      <c r="E6" s="12">
        <f t="shared" ref="E6:E10" si="3">(($E$11-$E$4)/7)+E5</f>
        <v>8.1428571428571433E-2</v>
      </c>
      <c r="G6" s="10">
        <v>9.4E-2</v>
      </c>
    </row>
    <row r="7" spans="1:7" x14ac:dyDescent="0.75">
      <c r="A7">
        <v>2012</v>
      </c>
      <c r="B7" s="12">
        <f t="shared" si="0"/>
        <v>0.11714285714285713</v>
      </c>
      <c r="C7" s="12">
        <f t="shared" si="1"/>
        <v>0.11714285714285713</v>
      </c>
      <c r="D7" s="12">
        <f t="shared" si="2"/>
        <v>8.7142857142857147E-2</v>
      </c>
      <c r="E7" s="12">
        <f t="shared" si="3"/>
        <v>8.7142857142857147E-2</v>
      </c>
      <c r="G7" s="10">
        <v>0.112</v>
      </c>
    </row>
    <row r="8" spans="1:7" x14ac:dyDescent="0.75">
      <c r="A8">
        <v>2013</v>
      </c>
      <c r="B8" s="12">
        <f t="shared" si="0"/>
        <v>0.13285714285714284</v>
      </c>
      <c r="C8" s="12">
        <f t="shared" si="1"/>
        <v>0.13285714285714284</v>
      </c>
      <c r="D8" s="12">
        <f t="shared" si="2"/>
        <v>9.285714285714286E-2</v>
      </c>
      <c r="E8" s="12">
        <f t="shared" si="3"/>
        <v>9.285714285714286E-2</v>
      </c>
      <c r="G8" s="10">
        <v>0.14899999999999999</v>
      </c>
    </row>
    <row r="9" spans="1:7" x14ac:dyDescent="0.75">
      <c r="A9">
        <v>2014</v>
      </c>
      <c r="B9" s="12">
        <f t="shared" si="0"/>
        <v>0.14857142857142855</v>
      </c>
      <c r="C9" s="12">
        <f t="shared" si="1"/>
        <v>0.14857142857142855</v>
      </c>
      <c r="D9" s="12">
        <f t="shared" si="2"/>
        <v>9.8571428571428574E-2</v>
      </c>
      <c r="E9" s="12">
        <f t="shared" si="3"/>
        <v>9.8571428571428574E-2</v>
      </c>
      <c r="G9" s="10">
        <v>0.191</v>
      </c>
    </row>
    <row r="10" spans="1:7" x14ac:dyDescent="0.75">
      <c r="A10">
        <v>2015</v>
      </c>
      <c r="B10" s="12">
        <f t="shared" si="0"/>
        <v>0.16428571428571426</v>
      </c>
      <c r="C10" s="12">
        <f t="shared" si="1"/>
        <v>0.16428571428571426</v>
      </c>
      <c r="D10" s="12">
        <f t="shared" si="2"/>
        <v>0.10428571428571429</v>
      </c>
      <c r="E10" s="12">
        <f t="shared" si="3"/>
        <v>0.10428571428571429</v>
      </c>
      <c r="G10" s="10">
        <v>0.246</v>
      </c>
    </row>
    <row r="11" spans="1:7" x14ac:dyDescent="0.75">
      <c r="A11">
        <v>2016</v>
      </c>
      <c r="B11" s="2">
        <v>0.18</v>
      </c>
      <c r="C11" s="2">
        <v>0.18</v>
      </c>
      <c r="D11" s="2">
        <v>0.11</v>
      </c>
      <c r="E11" s="2">
        <v>0.11</v>
      </c>
      <c r="G11" s="10">
        <v>0.245</v>
      </c>
    </row>
    <row r="12" spans="1:7" x14ac:dyDescent="0.75">
      <c r="A12">
        <v>2017</v>
      </c>
      <c r="B12" s="12">
        <f>(($B$15-$B$11)/4)+B11</f>
        <v>0.21</v>
      </c>
      <c r="C12" s="12">
        <f>(($C$15-$C$11)/4)+C11</f>
        <v>0.21</v>
      </c>
      <c r="D12" s="12">
        <f>(($D$15-$D$11)/4)+D11</f>
        <v>0.12</v>
      </c>
      <c r="E12" s="12">
        <f>(($E$15-$E$11)/4)+E11</f>
        <v>0.12</v>
      </c>
      <c r="G12" s="13">
        <v>0.29199999999999998</v>
      </c>
    </row>
    <row r="13" spans="1:7" x14ac:dyDescent="0.75">
      <c r="A13">
        <v>2018</v>
      </c>
      <c r="B13" s="12">
        <f t="shared" ref="B13:B14" si="4">(($B$15-$B$11)/4)+B12</f>
        <v>0.24</v>
      </c>
      <c r="C13" s="12">
        <f t="shared" ref="C13:C14" si="5">(($C$15-$C$11)/4)+C12</f>
        <v>0.24</v>
      </c>
      <c r="D13" s="12">
        <f t="shared" ref="D13:D14" si="6">(($D$15-$D$11)/4)+D12</f>
        <v>0.13</v>
      </c>
      <c r="E13" s="12">
        <f t="shared" ref="E13:E14" si="7">(($E$15-$E$11)/4)+E12</f>
        <v>0.13</v>
      </c>
      <c r="G13" s="12">
        <v>0.33</v>
      </c>
    </row>
    <row r="14" spans="1:7" x14ac:dyDescent="0.75">
      <c r="A14">
        <v>2019</v>
      </c>
      <c r="B14" s="12">
        <f t="shared" si="4"/>
        <v>0.27</v>
      </c>
      <c r="C14" s="12">
        <f t="shared" si="5"/>
        <v>0.27</v>
      </c>
      <c r="D14" s="12">
        <f t="shared" si="6"/>
        <v>0.14000000000000001</v>
      </c>
      <c r="E14" s="12">
        <f t="shared" si="7"/>
        <v>0.14000000000000001</v>
      </c>
      <c r="G14" s="9"/>
    </row>
    <row r="15" spans="1:7" x14ac:dyDescent="0.75">
      <c r="A15">
        <v>2020</v>
      </c>
      <c r="B15" s="2">
        <v>0.3</v>
      </c>
      <c r="C15" s="2">
        <v>0.3</v>
      </c>
      <c r="D15" s="2">
        <v>0.15</v>
      </c>
      <c r="E15" s="2">
        <v>0.15</v>
      </c>
      <c r="G15" s="9"/>
    </row>
    <row r="16" spans="1:7" x14ac:dyDescent="0.75">
      <c r="A16">
        <v>2025</v>
      </c>
      <c r="B16" s="2">
        <v>0.35</v>
      </c>
      <c r="C16" s="2">
        <v>0.35</v>
      </c>
      <c r="D16" s="2">
        <v>0.18</v>
      </c>
      <c r="E16" s="2">
        <v>0.18</v>
      </c>
      <c r="G16" s="9"/>
    </row>
    <row r="17" spans="1:9" x14ac:dyDescent="0.75">
      <c r="B17" s="2"/>
      <c r="C17" s="2"/>
      <c r="D17" s="2"/>
      <c r="E17" s="2"/>
      <c r="G17" s="9"/>
    </row>
    <row r="18" spans="1:9" x14ac:dyDescent="0.75">
      <c r="A18" t="s">
        <v>96</v>
      </c>
      <c r="B18" s="12"/>
      <c r="C18" s="12"/>
      <c r="D18" s="12"/>
      <c r="E18" s="12"/>
      <c r="F18" s="9"/>
      <c r="G18" s="9"/>
    </row>
    <row r="20" spans="1:9" x14ac:dyDescent="0.75">
      <c r="A20" s="1" t="s">
        <v>10</v>
      </c>
    </row>
    <row r="22" spans="1:9" x14ac:dyDescent="0.75">
      <c r="B22" t="s">
        <v>6</v>
      </c>
      <c r="C22" t="s">
        <v>8</v>
      </c>
      <c r="D22" t="s">
        <v>7</v>
      </c>
      <c r="E22" t="s">
        <v>12</v>
      </c>
    </row>
    <row r="23" spans="1:9" x14ac:dyDescent="0.75">
      <c r="A23">
        <v>2009</v>
      </c>
      <c r="B23" s="2">
        <v>0</v>
      </c>
      <c r="C23" s="2">
        <v>0</v>
      </c>
      <c r="D23" s="2">
        <v>0</v>
      </c>
      <c r="E23" s="2">
        <v>0</v>
      </c>
      <c r="G23" s="10">
        <v>1.7000000000000001E-2</v>
      </c>
    </row>
    <row r="24" spans="1:9" x14ac:dyDescent="0.75">
      <c r="A24">
        <v>2010</v>
      </c>
      <c r="B24" s="12">
        <f>(($B$30-$B$23)/7)+B23</f>
        <v>1.1428571428571429E-2</v>
      </c>
      <c r="C24" s="12">
        <f>(($C$30-$C$23)/7)+C23</f>
        <v>1.1428571428571429E-2</v>
      </c>
      <c r="D24" s="12">
        <f>(($D$30-$D$23)/7)+D23</f>
        <v>2.8571428571428571E-3</v>
      </c>
      <c r="E24" s="12">
        <f>(($E$30-$E$23)/7)+E23</f>
        <v>2.8571428571428571E-3</v>
      </c>
      <c r="G24" s="10">
        <v>1.7999999999999999E-2</v>
      </c>
    </row>
    <row r="25" spans="1:9" x14ac:dyDescent="0.75">
      <c r="A25">
        <v>2011</v>
      </c>
      <c r="B25" s="12">
        <f t="shared" ref="B25:B29" si="8">(($B$30-$B$23)/7)+B24</f>
        <v>2.2857142857142857E-2</v>
      </c>
      <c r="C25" s="12">
        <f t="shared" ref="C25:C29" si="9">(($C$30-$C$23)/7)+C24</f>
        <v>2.2857142857142857E-2</v>
      </c>
      <c r="D25" s="12">
        <f t="shared" ref="D25:D28" si="10">(($D$30-$D$23)/7)+D24</f>
        <v>5.7142857142857143E-3</v>
      </c>
      <c r="E25" s="12">
        <f t="shared" ref="E25:E29" si="11">(($E$30-$E$23)/7)+E24</f>
        <v>5.7142857142857143E-3</v>
      </c>
      <c r="G25" s="10">
        <v>3.1E-2</v>
      </c>
      <c r="I25" s="7" t="s">
        <v>103</v>
      </c>
    </row>
    <row r="26" spans="1:9" x14ac:dyDescent="0.75">
      <c r="A26">
        <v>2012</v>
      </c>
      <c r="B26" s="12">
        <f t="shared" si="8"/>
        <v>3.4285714285714287E-2</v>
      </c>
      <c r="C26" s="12">
        <f t="shared" si="9"/>
        <v>3.4285714285714287E-2</v>
      </c>
      <c r="D26" s="12">
        <f t="shared" si="10"/>
        <v>8.5714285714285719E-3</v>
      </c>
      <c r="E26" s="12">
        <f t="shared" si="11"/>
        <v>8.5714285714285719E-3</v>
      </c>
      <c r="G26" s="10">
        <v>3.3000000000000002E-2</v>
      </c>
    </row>
    <row r="27" spans="1:9" x14ac:dyDescent="0.75">
      <c r="A27">
        <v>2013</v>
      </c>
      <c r="B27" s="12">
        <f t="shared" si="8"/>
        <v>4.5714285714285714E-2</v>
      </c>
      <c r="C27" s="12">
        <f t="shared" si="9"/>
        <v>4.5714285714285714E-2</v>
      </c>
      <c r="D27" s="12">
        <f t="shared" si="10"/>
        <v>1.1428571428571429E-2</v>
      </c>
      <c r="E27" s="12">
        <f t="shared" si="11"/>
        <v>1.1428571428571429E-2</v>
      </c>
      <c r="G27" s="10">
        <v>4.1000000000000002E-2</v>
      </c>
    </row>
    <row r="28" spans="1:9" x14ac:dyDescent="0.75">
      <c r="A28">
        <v>2014</v>
      </c>
      <c r="B28" s="12">
        <f t="shared" si="8"/>
        <v>5.7142857142857141E-2</v>
      </c>
      <c r="C28" s="12">
        <f t="shared" si="9"/>
        <v>5.7142857142857141E-2</v>
      </c>
      <c r="D28" s="12">
        <f t="shared" si="10"/>
        <v>1.4285714285714285E-2</v>
      </c>
      <c r="E28" s="12">
        <f t="shared" si="11"/>
        <v>1.4285714285714285E-2</v>
      </c>
      <c r="G28" s="10">
        <v>4.8000000000000001E-2</v>
      </c>
    </row>
    <row r="29" spans="1:9" x14ac:dyDescent="0.75">
      <c r="A29">
        <v>2015</v>
      </c>
      <c r="B29" s="12">
        <f t="shared" si="8"/>
        <v>6.8571428571428575E-2</v>
      </c>
      <c r="C29" s="12">
        <f t="shared" si="9"/>
        <v>6.8571428571428575E-2</v>
      </c>
      <c r="D29" s="12">
        <f>(($D$30-$D$23)/7)+D28</f>
        <v>1.7142857142857144E-2</v>
      </c>
      <c r="E29" s="12">
        <f t="shared" si="11"/>
        <v>1.7142857142857144E-2</v>
      </c>
      <c r="G29" s="10">
        <v>5.6000000000000001E-2</v>
      </c>
    </row>
    <row r="30" spans="1:9" x14ac:dyDescent="0.75">
      <c r="A30">
        <v>2016</v>
      </c>
      <c r="B30" s="2">
        <v>0.08</v>
      </c>
      <c r="C30" s="2">
        <v>0.08</v>
      </c>
      <c r="D30" s="2">
        <v>0.02</v>
      </c>
      <c r="E30" s="2">
        <v>0.02</v>
      </c>
      <c r="G30" s="10">
        <v>6.2E-2</v>
      </c>
    </row>
    <row r="31" spans="1:9" x14ac:dyDescent="0.75">
      <c r="A31">
        <v>2017</v>
      </c>
      <c r="B31" s="12">
        <f>(($B$34-$B$30)/4)+B30</f>
        <v>0.09</v>
      </c>
      <c r="C31" s="12">
        <f>(($C$34-$C$30)/4)+C30</f>
        <v>0.09</v>
      </c>
      <c r="D31" s="12">
        <f>(($D$34-$D$30)/4)+D30</f>
        <v>2.5000000000000001E-2</v>
      </c>
      <c r="E31" s="12">
        <f>(($E$34-$E$30)/4)+E30</f>
        <v>2.5000000000000001E-2</v>
      </c>
      <c r="G31" s="10">
        <f>(G32+G30)/2</f>
        <v>6.7500000000000004E-2</v>
      </c>
    </row>
    <row r="32" spans="1:9" x14ac:dyDescent="0.75">
      <c r="A32">
        <v>2018</v>
      </c>
      <c r="B32" s="12">
        <f t="shared" ref="B32:B33" si="12">(($B$34-$B$30)/4)+B31</f>
        <v>9.9999999999999992E-2</v>
      </c>
      <c r="C32" s="12">
        <f t="shared" ref="C32:C33" si="13">(($C$34-$C$30)/4)+C31</f>
        <v>9.9999999999999992E-2</v>
      </c>
      <c r="D32" s="12">
        <f t="shared" ref="D32:D33" si="14">(($D$34-$D$30)/4)+D31</f>
        <v>3.0000000000000002E-2</v>
      </c>
      <c r="E32" s="12">
        <f t="shared" ref="E32:E33" si="15">(($E$34-$E$30)/4)+E31</f>
        <v>3.0000000000000002E-2</v>
      </c>
      <c r="G32" s="10">
        <v>7.2999999999999995E-2</v>
      </c>
    </row>
    <row r="33" spans="1:7" x14ac:dyDescent="0.75">
      <c r="A33">
        <v>2019</v>
      </c>
      <c r="B33" s="12">
        <f t="shared" si="12"/>
        <v>0.10999999999999999</v>
      </c>
      <c r="C33" s="12">
        <f t="shared" si="13"/>
        <v>0.10999999999999999</v>
      </c>
      <c r="D33" s="12">
        <f t="shared" si="14"/>
        <v>3.5000000000000003E-2</v>
      </c>
      <c r="E33" s="12">
        <f t="shared" si="15"/>
        <v>3.5000000000000003E-2</v>
      </c>
      <c r="G33" s="9"/>
    </row>
    <row r="34" spans="1:7" x14ac:dyDescent="0.75">
      <c r="A34">
        <v>2020</v>
      </c>
      <c r="B34" s="2">
        <v>0.12</v>
      </c>
      <c r="C34" s="2">
        <v>0.12</v>
      </c>
      <c r="D34" s="2">
        <v>0.04</v>
      </c>
      <c r="E34" s="2">
        <v>0.04</v>
      </c>
      <c r="G34" s="9"/>
    </row>
    <row r="35" spans="1:7" x14ac:dyDescent="0.75">
      <c r="A35">
        <v>2025</v>
      </c>
      <c r="B35" s="2">
        <v>0.18</v>
      </c>
      <c r="C35" s="2">
        <v>0.18</v>
      </c>
      <c r="D35" s="2">
        <v>0.18</v>
      </c>
      <c r="E35" s="2">
        <v>0.18</v>
      </c>
      <c r="G35" s="9"/>
    </row>
    <row r="36" spans="1:7" x14ac:dyDescent="0.75">
      <c r="B36" s="2"/>
      <c r="C36" s="2"/>
      <c r="D36" s="2"/>
      <c r="E36" s="2"/>
      <c r="G36" s="9"/>
    </row>
    <row r="37" spans="1:7" x14ac:dyDescent="0.75">
      <c r="A37" t="s">
        <v>96</v>
      </c>
      <c r="B37" s="12"/>
      <c r="C37" s="12"/>
      <c r="D37" s="12"/>
      <c r="E37" s="12"/>
      <c r="F37" s="9"/>
      <c r="G37" s="9"/>
    </row>
    <row r="39" spans="1:7" x14ac:dyDescent="0.75">
      <c r="A39" s="11" t="s">
        <v>99</v>
      </c>
    </row>
    <row r="41" spans="1:7" x14ac:dyDescent="0.75">
      <c r="A41" t="s">
        <v>100</v>
      </c>
    </row>
    <row r="42" spans="1:7" x14ac:dyDescent="0.75">
      <c r="A42" s="11" t="s">
        <v>101</v>
      </c>
    </row>
    <row r="43" spans="1:7" x14ac:dyDescent="0.75">
      <c r="A43" s="11" t="s">
        <v>102</v>
      </c>
    </row>
    <row r="45" spans="1:7" x14ac:dyDescent="0.75">
      <c r="A45" s="1" t="s">
        <v>111</v>
      </c>
    </row>
    <row r="47" spans="1:7" x14ac:dyDescent="0.75">
      <c r="B47" t="s">
        <v>11</v>
      </c>
      <c r="C47" t="s">
        <v>8</v>
      </c>
      <c r="D47" t="s">
        <v>7</v>
      </c>
      <c r="E47" t="s">
        <v>12</v>
      </c>
      <c r="G47" t="s">
        <v>95</v>
      </c>
    </row>
    <row r="48" spans="1:7" x14ac:dyDescent="0.75">
      <c r="A48">
        <v>2018</v>
      </c>
      <c r="B48" s="3">
        <f>(B13+B32)/2</f>
        <v>0.16999999999999998</v>
      </c>
      <c r="C48" s="3">
        <f t="shared" ref="C48:G48" si="16">(C13+C32)/2</f>
        <v>0.16999999999999998</v>
      </c>
      <c r="D48" s="3">
        <f t="shared" si="16"/>
        <v>0.08</v>
      </c>
      <c r="E48" s="3">
        <f t="shared" si="16"/>
        <v>0.08</v>
      </c>
      <c r="F48" s="3"/>
      <c r="G48" s="3">
        <f t="shared" si="16"/>
        <v>0.20150000000000001</v>
      </c>
    </row>
  </sheetData>
  <hyperlinks>
    <hyperlink ref="I25" r:id="rId1" xr:uid="{A4349E29-6F96-4DDF-9AF5-D99600444C4C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86E7B-D3ED-4C83-8A34-2DC776743830}">
  <dimension ref="A1:O23"/>
  <sheetViews>
    <sheetView workbookViewId="0">
      <selection activeCell="J24" sqref="J24"/>
    </sheetView>
  </sheetViews>
  <sheetFormatPr defaultRowHeight="14.75" x14ac:dyDescent="0.75"/>
  <sheetData>
    <row r="1" spans="1:15" x14ac:dyDescent="0.75">
      <c r="A1" s="1" t="s">
        <v>30</v>
      </c>
    </row>
    <row r="3" spans="1:15" x14ac:dyDescent="0.75">
      <c r="B3" t="s">
        <v>31</v>
      </c>
      <c r="C3" t="s">
        <v>8</v>
      </c>
      <c r="D3" t="s">
        <v>7</v>
      </c>
      <c r="E3" t="s">
        <v>12</v>
      </c>
      <c r="G3" s="9" t="s">
        <v>119</v>
      </c>
    </row>
    <row r="4" spans="1:15" x14ac:dyDescent="0.75">
      <c r="A4">
        <v>2009</v>
      </c>
      <c r="B4">
        <v>0</v>
      </c>
      <c r="C4">
        <v>0</v>
      </c>
      <c r="D4">
        <v>0</v>
      </c>
      <c r="E4">
        <v>0</v>
      </c>
      <c r="G4" s="9"/>
    </row>
    <row r="5" spans="1:15" x14ac:dyDescent="0.75">
      <c r="A5">
        <v>2016</v>
      </c>
      <c r="B5">
        <v>0</v>
      </c>
      <c r="C5">
        <v>0</v>
      </c>
      <c r="D5">
        <v>0</v>
      </c>
      <c r="E5">
        <v>0</v>
      </c>
      <c r="G5" s="9"/>
    </row>
    <row r="6" spans="1:15" x14ac:dyDescent="0.75">
      <c r="A6">
        <v>2020</v>
      </c>
      <c r="B6" t="s">
        <v>32</v>
      </c>
      <c r="C6" t="s">
        <v>32</v>
      </c>
      <c r="D6">
        <v>0</v>
      </c>
      <c r="E6">
        <v>0</v>
      </c>
      <c r="G6" s="9">
        <v>2023</v>
      </c>
      <c r="H6" t="s">
        <v>121</v>
      </c>
    </row>
    <row r="7" spans="1:15" x14ac:dyDescent="0.75">
      <c r="A7">
        <v>2025</v>
      </c>
      <c r="B7" t="s">
        <v>33</v>
      </c>
      <c r="C7" t="s">
        <v>33</v>
      </c>
      <c r="D7" t="s">
        <v>32</v>
      </c>
      <c r="E7" t="s">
        <v>34</v>
      </c>
      <c r="G7" s="9"/>
    </row>
    <row r="9" spans="1:15" x14ac:dyDescent="0.75">
      <c r="A9" s="1" t="s">
        <v>35</v>
      </c>
    </row>
    <row r="10" spans="1:15" x14ac:dyDescent="0.75">
      <c r="K10" s="56" t="s">
        <v>122</v>
      </c>
      <c r="L10" s="56"/>
      <c r="M10" s="56"/>
      <c r="N10" s="56"/>
    </row>
    <row r="11" spans="1:15" x14ac:dyDescent="0.75">
      <c r="B11" t="s">
        <v>31</v>
      </c>
      <c r="C11" t="s">
        <v>8</v>
      </c>
      <c r="D11" t="s">
        <v>7</v>
      </c>
      <c r="E11" t="s">
        <v>12</v>
      </c>
      <c r="G11" s="9" t="s">
        <v>95</v>
      </c>
      <c r="H11" s="9" t="s">
        <v>124</v>
      </c>
      <c r="K11" t="s">
        <v>31</v>
      </c>
      <c r="L11" t="s">
        <v>8</v>
      </c>
      <c r="M11" t="s">
        <v>7</v>
      </c>
      <c r="N11" t="s">
        <v>12</v>
      </c>
      <c r="O11" s="9" t="s">
        <v>95</v>
      </c>
    </row>
    <row r="12" spans="1:15" x14ac:dyDescent="0.75">
      <c r="A12" t="s">
        <v>36</v>
      </c>
      <c r="B12">
        <v>2018</v>
      </c>
      <c r="C12">
        <v>2018</v>
      </c>
      <c r="D12">
        <v>2018</v>
      </c>
      <c r="E12">
        <v>2018</v>
      </c>
      <c r="G12" s="9" t="s">
        <v>120</v>
      </c>
      <c r="H12" s="9">
        <v>2028</v>
      </c>
      <c r="J12">
        <v>2009</v>
      </c>
      <c r="K12">
        <f t="shared" ref="K12:K22" si="0">COUNTIF($B$12:$B$22,"&lt;"&amp;J12)</f>
        <v>0</v>
      </c>
      <c r="L12">
        <f>COUNTIF($C$12:$C$22,"&lt;"&amp;J12)</f>
        <v>0</v>
      </c>
      <c r="M12">
        <f>COUNTIF($D$12:$D$22,"&lt;"&amp;J12)</f>
        <v>0</v>
      </c>
      <c r="N12">
        <f>COUNTIF($E$12:$E$22,"&lt;"&amp;J12)</f>
        <v>0</v>
      </c>
      <c r="O12" s="9">
        <f>COUNTIF($H$12:$H$22,"&lt;"&amp;J12)</f>
        <v>0</v>
      </c>
    </row>
    <row r="13" spans="1:15" x14ac:dyDescent="0.75">
      <c r="A13" t="s">
        <v>37</v>
      </c>
      <c r="B13">
        <v>2018</v>
      </c>
      <c r="C13">
        <v>2018</v>
      </c>
      <c r="D13">
        <v>2018</v>
      </c>
      <c r="E13">
        <v>2018</v>
      </c>
      <c r="G13" s="9" t="s">
        <v>120</v>
      </c>
      <c r="H13" s="9">
        <v>2028</v>
      </c>
      <c r="J13">
        <v>2010</v>
      </c>
      <c r="K13">
        <f t="shared" si="0"/>
        <v>1</v>
      </c>
      <c r="L13">
        <f t="shared" ref="L13:L23" si="1">COUNTIF($C$12:$C$22,"&lt;"&amp;J13)</f>
        <v>1</v>
      </c>
      <c r="M13">
        <f t="shared" ref="M13:M23" si="2">COUNTIF($D$12:$D$22,"&lt;"&amp;J13)</f>
        <v>1</v>
      </c>
      <c r="N13">
        <f t="shared" ref="N13:N23" si="3">COUNTIF($E$12:$E$22,"&lt;"&amp;J13)</f>
        <v>1</v>
      </c>
      <c r="O13" s="9">
        <f t="shared" ref="O13:O23" si="4">COUNTIF($H$12:$H$22,"&lt;"&amp;J13)</f>
        <v>0</v>
      </c>
    </row>
    <row r="14" spans="1:15" x14ac:dyDescent="0.75">
      <c r="A14" t="s">
        <v>38</v>
      </c>
      <c r="B14">
        <v>2019</v>
      </c>
      <c r="C14">
        <v>2019</v>
      </c>
      <c r="D14">
        <v>2014</v>
      </c>
      <c r="E14">
        <v>2019</v>
      </c>
      <c r="G14" s="9" t="s">
        <v>120</v>
      </c>
      <c r="H14" s="9">
        <v>2024</v>
      </c>
      <c r="J14">
        <v>2011</v>
      </c>
      <c r="K14">
        <f t="shared" si="0"/>
        <v>1</v>
      </c>
      <c r="L14">
        <f t="shared" si="1"/>
        <v>1</v>
      </c>
      <c r="M14">
        <f t="shared" si="2"/>
        <v>1</v>
      </c>
      <c r="N14">
        <f t="shared" si="3"/>
        <v>1</v>
      </c>
      <c r="O14" s="9">
        <f t="shared" si="4"/>
        <v>0</v>
      </c>
    </row>
    <row r="15" spans="1:15" x14ac:dyDescent="0.75">
      <c r="A15" t="s">
        <v>39</v>
      </c>
      <c r="B15">
        <v>2019</v>
      </c>
      <c r="C15">
        <v>2019</v>
      </c>
      <c r="D15">
        <v>2014</v>
      </c>
      <c r="E15">
        <v>2019</v>
      </c>
      <c r="G15" s="9" t="s">
        <v>120</v>
      </c>
      <c r="H15" s="9">
        <v>2024</v>
      </c>
      <c r="J15">
        <v>2012</v>
      </c>
      <c r="K15">
        <f t="shared" si="0"/>
        <v>1</v>
      </c>
      <c r="L15">
        <f t="shared" si="1"/>
        <v>1</v>
      </c>
      <c r="M15">
        <f t="shared" si="2"/>
        <v>1</v>
      </c>
      <c r="N15">
        <f t="shared" si="3"/>
        <v>1</v>
      </c>
      <c r="O15" s="9">
        <f t="shared" si="4"/>
        <v>0</v>
      </c>
    </row>
    <row r="16" spans="1:15" x14ac:dyDescent="0.75">
      <c r="A16" t="s">
        <v>40</v>
      </c>
      <c r="B16">
        <v>2023</v>
      </c>
      <c r="C16">
        <v>2023</v>
      </c>
      <c r="D16">
        <v>2023</v>
      </c>
      <c r="E16">
        <v>2023</v>
      </c>
      <c r="G16" s="9" t="s">
        <v>120</v>
      </c>
      <c r="H16" s="9">
        <v>2030</v>
      </c>
      <c r="J16">
        <v>2013</v>
      </c>
      <c r="K16">
        <f t="shared" si="0"/>
        <v>1</v>
      </c>
      <c r="L16">
        <f t="shared" si="1"/>
        <v>1</v>
      </c>
      <c r="M16">
        <f t="shared" si="2"/>
        <v>2</v>
      </c>
      <c r="N16">
        <f t="shared" si="3"/>
        <v>2</v>
      </c>
      <c r="O16" s="9">
        <f t="shared" si="4"/>
        <v>1</v>
      </c>
    </row>
    <row r="17" spans="1:15" x14ac:dyDescent="0.75">
      <c r="A17" t="s">
        <v>41</v>
      </c>
      <c r="B17">
        <v>2021</v>
      </c>
      <c r="C17">
        <v>2021</v>
      </c>
      <c r="D17">
        <v>2016</v>
      </c>
      <c r="E17">
        <v>2016</v>
      </c>
      <c r="G17" s="9" t="s">
        <v>120</v>
      </c>
      <c r="H17" s="9">
        <v>2023</v>
      </c>
      <c r="J17">
        <v>2014</v>
      </c>
      <c r="K17">
        <f t="shared" si="0"/>
        <v>1</v>
      </c>
      <c r="L17">
        <f t="shared" si="1"/>
        <v>1</v>
      </c>
      <c r="M17">
        <f t="shared" si="2"/>
        <v>2</v>
      </c>
      <c r="N17">
        <f t="shared" si="3"/>
        <v>2</v>
      </c>
      <c r="O17" s="9">
        <f t="shared" si="4"/>
        <v>1</v>
      </c>
    </row>
    <row r="18" spans="1:15" x14ac:dyDescent="0.75">
      <c r="A18" t="s">
        <v>42</v>
      </c>
      <c r="B18">
        <v>2009</v>
      </c>
      <c r="C18">
        <v>2009</v>
      </c>
      <c r="D18">
        <v>2009</v>
      </c>
      <c r="E18">
        <v>2009</v>
      </c>
      <c r="G18" s="9" t="s">
        <v>123</v>
      </c>
      <c r="H18" s="9">
        <v>2012</v>
      </c>
      <c r="J18">
        <v>2015</v>
      </c>
      <c r="K18">
        <f t="shared" si="0"/>
        <v>2</v>
      </c>
      <c r="L18">
        <f t="shared" si="1"/>
        <v>2</v>
      </c>
      <c r="M18">
        <f t="shared" si="2"/>
        <v>4</v>
      </c>
      <c r="N18">
        <f t="shared" si="3"/>
        <v>2</v>
      </c>
      <c r="O18" s="9">
        <f t="shared" si="4"/>
        <v>1</v>
      </c>
    </row>
    <row r="19" spans="1:15" x14ac:dyDescent="0.75">
      <c r="A19" t="s">
        <v>43</v>
      </c>
      <c r="B19">
        <v>2035</v>
      </c>
      <c r="C19">
        <v>2035</v>
      </c>
      <c r="D19">
        <v>2035</v>
      </c>
      <c r="E19">
        <v>2035</v>
      </c>
      <c r="G19" s="9" t="s">
        <v>120</v>
      </c>
      <c r="H19" s="9">
        <v>2035</v>
      </c>
      <c r="J19">
        <v>2016</v>
      </c>
      <c r="K19">
        <f t="shared" si="0"/>
        <v>2</v>
      </c>
      <c r="L19">
        <f t="shared" si="1"/>
        <v>2</v>
      </c>
      <c r="M19">
        <f t="shared" si="2"/>
        <v>4</v>
      </c>
      <c r="N19">
        <f t="shared" si="3"/>
        <v>2</v>
      </c>
      <c r="O19" s="9">
        <f t="shared" si="4"/>
        <v>2</v>
      </c>
    </row>
    <row r="20" spans="1:15" x14ac:dyDescent="0.75">
      <c r="A20" t="s">
        <v>44</v>
      </c>
      <c r="B20">
        <v>2014</v>
      </c>
      <c r="C20">
        <v>2014</v>
      </c>
      <c r="D20">
        <v>2012</v>
      </c>
      <c r="E20">
        <v>2012</v>
      </c>
      <c r="G20" s="9" t="s">
        <v>123</v>
      </c>
      <c r="H20" s="9">
        <v>2015</v>
      </c>
      <c r="J20">
        <v>2017</v>
      </c>
      <c r="K20">
        <f t="shared" si="0"/>
        <v>2</v>
      </c>
      <c r="L20">
        <f t="shared" si="1"/>
        <v>2</v>
      </c>
      <c r="M20">
        <f t="shared" si="2"/>
        <v>6</v>
      </c>
      <c r="N20">
        <f t="shared" si="3"/>
        <v>4</v>
      </c>
      <c r="O20" s="9">
        <f t="shared" si="4"/>
        <v>2</v>
      </c>
    </row>
    <row r="21" spans="1:15" x14ac:dyDescent="0.75">
      <c r="A21" t="s">
        <v>45</v>
      </c>
      <c r="B21">
        <v>2021</v>
      </c>
      <c r="C21">
        <v>2021</v>
      </c>
      <c r="D21">
        <v>2016</v>
      </c>
      <c r="E21">
        <v>2016</v>
      </c>
      <c r="G21" s="9" t="s">
        <v>120</v>
      </c>
      <c r="H21" s="9">
        <v>2023</v>
      </c>
      <c r="J21">
        <v>2018</v>
      </c>
      <c r="K21">
        <f t="shared" si="0"/>
        <v>2</v>
      </c>
      <c r="L21">
        <f t="shared" si="1"/>
        <v>2</v>
      </c>
      <c r="M21">
        <f t="shared" si="2"/>
        <v>6</v>
      </c>
      <c r="N21">
        <f t="shared" si="3"/>
        <v>4</v>
      </c>
      <c r="O21" s="9">
        <f t="shared" si="4"/>
        <v>2</v>
      </c>
    </row>
    <row r="22" spans="1:15" x14ac:dyDescent="0.75">
      <c r="A22" t="s">
        <v>46</v>
      </c>
      <c r="B22">
        <v>2023</v>
      </c>
      <c r="C22">
        <v>2023</v>
      </c>
      <c r="D22">
        <v>2023</v>
      </c>
      <c r="E22">
        <v>2023</v>
      </c>
      <c r="G22" s="9" t="s">
        <v>120</v>
      </c>
      <c r="H22" s="9">
        <v>2030</v>
      </c>
      <c r="J22">
        <v>2019</v>
      </c>
      <c r="K22">
        <f t="shared" si="0"/>
        <v>4</v>
      </c>
      <c r="L22">
        <f t="shared" si="1"/>
        <v>4</v>
      </c>
      <c r="M22">
        <f t="shared" si="2"/>
        <v>8</v>
      </c>
      <c r="N22">
        <f t="shared" si="3"/>
        <v>6</v>
      </c>
      <c r="O22" s="9">
        <f t="shared" si="4"/>
        <v>2</v>
      </c>
    </row>
    <row r="23" spans="1:15" x14ac:dyDescent="0.75">
      <c r="J23">
        <v>2020</v>
      </c>
      <c r="K23">
        <f>COUNTIF($B$12:$B$22,"&lt;"&amp;J23)</f>
        <v>6</v>
      </c>
      <c r="L23">
        <f t="shared" si="1"/>
        <v>6</v>
      </c>
      <c r="M23">
        <f t="shared" si="2"/>
        <v>8</v>
      </c>
      <c r="N23">
        <f t="shared" si="3"/>
        <v>8</v>
      </c>
      <c r="O23" s="9">
        <f t="shared" si="4"/>
        <v>2</v>
      </c>
    </row>
  </sheetData>
  <mergeCells count="1">
    <mergeCell ref="K10:N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E2AF-A5F1-449B-8AEB-28DEBDC576D3}">
  <dimension ref="A1:S60"/>
  <sheetViews>
    <sheetView tabSelected="1" topLeftCell="A43" workbookViewId="0">
      <selection activeCell="F47" sqref="F47"/>
    </sheetView>
  </sheetViews>
  <sheetFormatPr defaultRowHeight="14.75" x14ac:dyDescent="0.75"/>
  <cols>
    <col min="1" max="1" width="15.6796875" bestFit="1" customWidth="1"/>
  </cols>
  <sheetData>
    <row r="1" spans="1:19" x14ac:dyDescent="0.75">
      <c r="A1" t="s">
        <v>13</v>
      </c>
      <c r="B1" s="56" t="s">
        <v>6</v>
      </c>
      <c r="C1" s="56"/>
      <c r="D1" s="56"/>
      <c r="E1" s="56"/>
      <c r="F1" s="56" t="s">
        <v>8</v>
      </c>
      <c r="G1" s="56"/>
      <c r="H1" s="56"/>
      <c r="I1" s="56"/>
      <c r="J1" s="56" t="s">
        <v>7</v>
      </c>
      <c r="K1" s="56"/>
      <c r="L1" s="56"/>
      <c r="M1" s="56"/>
      <c r="N1" s="56" t="s">
        <v>12</v>
      </c>
      <c r="O1" s="56"/>
      <c r="P1" s="56"/>
      <c r="Q1" s="56"/>
      <c r="S1" t="s">
        <v>95</v>
      </c>
    </row>
    <row r="2" spans="1:19" x14ac:dyDescent="0.75">
      <c r="B2">
        <v>2010</v>
      </c>
      <c r="C2">
        <v>2015</v>
      </c>
      <c r="D2">
        <v>2020</v>
      </c>
      <c r="E2">
        <v>2025</v>
      </c>
      <c r="F2">
        <v>2010</v>
      </c>
      <c r="G2">
        <v>2015</v>
      </c>
      <c r="H2">
        <v>2020</v>
      </c>
      <c r="I2">
        <v>2025</v>
      </c>
      <c r="J2">
        <v>2010</v>
      </c>
      <c r="K2">
        <v>2015</v>
      </c>
      <c r="L2">
        <v>2020</v>
      </c>
      <c r="M2">
        <v>2025</v>
      </c>
      <c r="N2">
        <v>2010</v>
      </c>
      <c r="O2">
        <v>2015</v>
      </c>
      <c r="P2">
        <v>2020</v>
      </c>
      <c r="Q2">
        <v>2025</v>
      </c>
    </row>
    <row r="3" spans="1:19" x14ac:dyDescent="0.75">
      <c r="A3" t="s">
        <v>14</v>
      </c>
      <c r="B3" s="6">
        <v>26787</v>
      </c>
      <c r="C3" s="6">
        <v>29023</v>
      </c>
      <c r="D3" s="6">
        <v>27533</v>
      </c>
      <c r="E3" s="6">
        <v>27028</v>
      </c>
      <c r="F3" s="6">
        <v>26787</v>
      </c>
      <c r="G3" s="6">
        <v>29403</v>
      </c>
      <c r="H3" s="6">
        <v>27533</v>
      </c>
      <c r="I3" s="6">
        <v>27028</v>
      </c>
      <c r="J3" s="6">
        <v>26787</v>
      </c>
      <c r="K3" s="6">
        <v>38832</v>
      </c>
      <c r="L3" s="6">
        <v>44733</v>
      </c>
      <c r="M3" s="6">
        <v>54628</v>
      </c>
      <c r="N3" s="6">
        <v>26787</v>
      </c>
      <c r="O3" s="6">
        <v>29023</v>
      </c>
      <c r="P3" s="6">
        <v>35533</v>
      </c>
      <c r="Q3" s="6">
        <v>48228</v>
      </c>
      <c r="S3" s="34"/>
    </row>
    <row r="4" spans="1:19" x14ac:dyDescent="0.75">
      <c r="A4" t="s">
        <v>15</v>
      </c>
      <c r="B4" s="6">
        <v>2964</v>
      </c>
      <c r="C4" s="6">
        <v>1594</v>
      </c>
      <c r="D4" s="6">
        <v>0</v>
      </c>
      <c r="E4" s="6">
        <v>0</v>
      </c>
      <c r="F4" s="6">
        <v>2964</v>
      </c>
      <c r="G4" s="6">
        <v>460</v>
      </c>
      <c r="H4" s="6">
        <v>0</v>
      </c>
      <c r="I4" s="6">
        <v>0</v>
      </c>
      <c r="J4" s="6">
        <v>2964</v>
      </c>
      <c r="K4" s="6">
        <v>1594</v>
      </c>
      <c r="L4" s="6">
        <v>0</v>
      </c>
      <c r="M4" s="6">
        <v>0</v>
      </c>
      <c r="N4" s="6">
        <v>2964</v>
      </c>
      <c r="O4" s="6">
        <v>1594</v>
      </c>
      <c r="P4" s="6">
        <v>0</v>
      </c>
      <c r="Q4" s="6">
        <v>0</v>
      </c>
      <c r="S4" s="9"/>
    </row>
    <row r="5" spans="1:19" x14ac:dyDescent="0.75">
      <c r="A5" t="s">
        <v>16</v>
      </c>
      <c r="B5" s="6">
        <v>4851</v>
      </c>
      <c r="C5" s="6">
        <v>4851</v>
      </c>
      <c r="D5" s="6">
        <v>4851</v>
      </c>
      <c r="E5" s="6">
        <v>4851</v>
      </c>
      <c r="F5" s="6">
        <v>4851</v>
      </c>
      <c r="G5" s="6">
        <v>4851</v>
      </c>
      <c r="H5" s="6">
        <v>4851</v>
      </c>
      <c r="I5" s="6">
        <v>4851</v>
      </c>
      <c r="J5" s="6">
        <v>4851</v>
      </c>
      <c r="K5" s="6">
        <v>4851</v>
      </c>
      <c r="L5" s="6">
        <v>4851</v>
      </c>
      <c r="M5" s="6">
        <v>4851</v>
      </c>
      <c r="N5" s="6">
        <v>4851</v>
      </c>
      <c r="O5" s="6">
        <v>4851</v>
      </c>
      <c r="P5" s="6">
        <v>4851</v>
      </c>
      <c r="Q5" s="6">
        <v>4851</v>
      </c>
      <c r="S5" s="9"/>
    </row>
    <row r="6" spans="1:19" x14ac:dyDescent="0.75">
      <c r="A6" t="s">
        <v>17</v>
      </c>
      <c r="B6" s="6">
        <v>28255</v>
      </c>
      <c r="C6" s="6">
        <v>21770</v>
      </c>
      <c r="D6" s="6">
        <v>24170</v>
      </c>
      <c r="E6" s="6">
        <v>18367</v>
      </c>
      <c r="F6" s="6">
        <v>28255</v>
      </c>
      <c r="G6" s="6">
        <v>22170</v>
      </c>
      <c r="H6" s="6">
        <v>16992</v>
      </c>
      <c r="I6" s="6">
        <v>15450</v>
      </c>
      <c r="J6" s="6">
        <v>28255</v>
      </c>
      <c r="K6" s="6">
        <v>21370</v>
      </c>
      <c r="L6" s="6">
        <v>20570</v>
      </c>
      <c r="M6" s="6">
        <v>13167</v>
      </c>
      <c r="N6" s="6">
        <v>28255</v>
      </c>
      <c r="O6" s="6">
        <v>21370</v>
      </c>
      <c r="P6" s="6">
        <v>20170</v>
      </c>
      <c r="Q6" s="6">
        <v>11167</v>
      </c>
      <c r="S6" s="9"/>
    </row>
    <row r="7" spans="1:19" x14ac:dyDescent="0.75">
      <c r="A7" t="s">
        <v>18</v>
      </c>
      <c r="B7" s="6">
        <v>10550</v>
      </c>
      <c r="C7" s="6">
        <v>9570</v>
      </c>
      <c r="D7" s="6">
        <v>9300</v>
      </c>
      <c r="E7" s="6">
        <v>7590</v>
      </c>
      <c r="F7" s="6">
        <v>10550</v>
      </c>
      <c r="G7" s="6">
        <v>9570</v>
      </c>
      <c r="H7" s="6">
        <v>9300</v>
      </c>
      <c r="I7" s="6">
        <v>7590</v>
      </c>
      <c r="J7" s="6">
        <v>10550</v>
      </c>
      <c r="K7" s="6">
        <v>9570</v>
      </c>
      <c r="L7" s="6">
        <v>3690</v>
      </c>
      <c r="M7" s="6">
        <v>4390</v>
      </c>
      <c r="N7" s="6">
        <v>10550</v>
      </c>
      <c r="O7" s="6">
        <v>9570</v>
      </c>
      <c r="P7" s="6">
        <v>3690</v>
      </c>
      <c r="Q7" s="6">
        <v>2790</v>
      </c>
      <c r="S7" s="9"/>
    </row>
    <row r="8" spans="1:19" x14ac:dyDescent="0.75">
      <c r="A8" t="s">
        <v>19</v>
      </c>
      <c r="B8" s="6">
        <v>5208</v>
      </c>
      <c r="C8" s="6">
        <v>13408</v>
      </c>
      <c r="D8" s="6">
        <v>28564</v>
      </c>
      <c r="E8" s="6">
        <v>33836</v>
      </c>
      <c r="F8" s="6">
        <v>5208</v>
      </c>
      <c r="G8" s="6">
        <v>12783</v>
      </c>
      <c r="H8" s="6">
        <v>27230</v>
      </c>
      <c r="I8" s="6">
        <v>32227</v>
      </c>
      <c r="J8" s="6">
        <v>5208</v>
      </c>
      <c r="K8" s="6">
        <v>8735</v>
      </c>
      <c r="L8" s="6">
        <v>14223</v>
      </c>
      <c r="M8" s="6">
        <v>18000</v>
      </c>
      <c r="N8" s="6">
        <v>5208</v>
      </c>
      <c r="O8" s="6">
        <v>8011</v>
      </c>
      <c r="P8" s="6">
        <v>12930</v>
      </c>
      <c r="Q8" s="6">
        <v>16329</v>
      </c>
      <c r="S8" s="9"/>
    </row>
    <row r="9" spans="1:19" x14ac:dyDescent="0.75">
      <c r="A9" t="s">
        <v>20</v>
      </c>
      <c r="B9" s="6">
        <v>3487</v>
      </c>
      <c r="C9" s="6">
        <v>4333</v>
      </c>
      <c r="D9" s="6">
        <v>6337</v>
      </c>
      <c r="E9" s="6">
        <v>7604</v>
      </c>
      <c r="F9" s="6">
        <v>3487</v>
      </c>
      <c r="G9" s="6">
        <v>4276</v>
      </c>
      <c r="H9" s="6">
        <v>6184</v>
      </c>
      <c r="I9" s="6">
        <v>7382</v>
      </c>
      <c r="J9" s="6">
        <v>3487</v>
      </c>
      <c r="K9" s="6">
        <v>3907</v>
      </c>
      <c r="L9" s="6">
        <v>4685</v>
      </c>
      <c r="M9" s="6">
        <v>5415</v>
      </c>
      <c r="N9" s="6">
        <v>3487</v>
      </c>
      <c r="O9" s="6">
        <v>3842</v>
      </c>
      <c r="P9" s="6">
        <v>4537</v>
      </c>
      <c r="Q9" s="6">
        <v>5184</v>
      </c>
      <c r="S9" s="9"/>
    </row>
    <row r="10" spans="1:19" x14ac:dyDescent="0.75">
      <c r="A10" t="s">
        <v>21</v>
      </c>
      <c r="B10" s="6">
        <v>2590</v>
      </c>
      <c r="C10" s="6">
        <v>2690</v>
      </c>
      <c r="D10" s="6">
        <v>2690</v>
      </c>
      <c r="E10" s="6">
        <v>2690</v>
      </c>
      <c r="F10" s="6">
        <v>2690</v>
      </c>
      <c r="G10" s="6">
        <v>2690</v>
      </c>
      <c r="H10" s="6">
        <v>2690</v>
      </c>
      <c r="I10" s="6">
        <v>2690</v>
      </c>
      <c r="J10" s="6">
        <v>2690</v>
      </c>
      <c r="K10" s="6">
        <v>2690</v>
      </c>
      <c r="L10" s="6">
        <v>2690</v>
      </c>
      <c r="M10" s="6">
        <v>2690</v>
      </c>
      <c r="N10" s="6">
        <v>2690</v>
      </c>
      <c r="O10" s="6">
        <v>2690</v>
      </c>
      <c r="P10" s="6">
        <v>2690</v>
      </c>
      <c r="Q10" s="6">
        <v>2690</v>
      </c>
      <c r="S10" s="9"/>
    </row>
    <row r="11" spans="1:19" x14ac:dyDescent="0.75">
      <c r="A11" t="s">
        <v>22</v>
      </c>
      <c r="B11" s="6">
        <v>2000</v>
      </c>
      <c r="C11" s="6">
        <v>2500</v>
      </c>
      <c r="D11" s="6">
        <v>3500</v>
      </c>
      <c r="E11" s="6">
        <v>3500</v>
      </c>
      <c r="F11" s="6">
        <v>2000</v>
      </c>
      <c r="G11" s="6">
        <v>2500</v>
      </c>
      <c r="H11" s="6">
        <v>3500</v>
      </c>
      <c r="I11" s="6">
        <v>3500</v>
      </c>
      <c r="J11" s="6">
        <v>2000</v>
      </c>
      <c r="K11" s="6">
        <v>2500</v>
      </c>
      <c r="L11" s="6">
        <v>2500</v>
      </c>
      <c r="M11" s="6">
        <v>2500</v>
      </c>
      <c r="N11" s="6">
        <v>2000</v>
      </c>
      <c r="O11" s="6">
        <v>2500</v>
      </c>
      <c r="P11" s="6">
        <v>2500</v>
      </c>
      <c r="Q11" s="6">
        <v>2500</v>
      </c>
      <c r="S11" s="9"/>
    </row>
    <row r="12" spans="1:19" x14ac:dyDescent="0.75">
      <c r="A12" s="25" t="s">
        <v>70</v>
      </c>
      <c r="B12" s="33">
        <f>SUM(B3:B11)</f>
        <v>86692</v>
      </c>
      <c r="C12" s="33">
        <f t="shared" ref="C12:Q12" si="0">SUM(C3:C11)</f>
        <v>89739</v>
      </c>
      <c r="D12" s="33">
        <f t="shared" si="0"/>
        <v>106945</v>
      </c>
      <c r="E12" s="33">
        <f t="shared" si="0"/>
        <v>105466</v>
      </c>
      <c r="F12" s="33">
        <f t="shared" si="0"/>
        <v>86792</v>
      </c>
      <c r="G12" s="33">
        <f t="shared" si="0"/>
        <v>88703</v>
      </c>
      <c r="H12" s="33">
        <f t="shared" si="0"/>
        <v>98280</v>
      </c>
      <c r="I12" s="33">
        <f t="shared" si="0"/>
        <v>100718</v>
      </c>
      <c r="J12" s="33">
        <f t="shared" si="0"/>
        <v>86792</v>
      </c>
      <c r="K12" s="33">
        <f t="shared" si="0"/>
        <v>94049</v>
      </c>
      <c r="L12" s="33">
        <f t="shared" si="0"/>
        <v>97942</v>
      </c>
      <c r="M12" s="33">
        <f t="shared" si="0"/>
        <v>105641</v>
      </c>
      <c r="N12" s="33">
        <f t="shared" si="0"/>
        <v>86792</v>
      </c>
      <c r="O12" s="33">
        <f t="shared" si="0"/>
        <v>83451</v>
      </c>
      <c r="P12" s="33">
        <f t="shared" si="0"/>
        <v>86901</v>
      </c>
      <c r="Q12" s="33">
        <f t="shared" si="0"/>
        <v>93739</v>
      </c>
      <c r="S12" s="9"/>
    </row>
    <row r="13" spans="1:19" x14ac:dyDescent="0.75">
      <c r="A13" s="25" t="s">
        <v>158</v>
      </c>
      <c r="B13" s="33">
        <f>B12-B11</f>
        <v>84692</v>
      </c>
      <c r="C13" s="33">
        <f t="shared" ref="C13:Q13" si="1">C12-C11</f>
        <v>87239</v>
      </c>
      <c r="D13" s="33">
        <f t="shared" si="1"/>
        <v>103445</v>
      </c>
      <c r="E13" s="33">
        <f t="shared" si="1"/>
        <v>101966</v>
      </c>
      <c r="F13" s="33">
        <f t="shared" si="1"/>
        <v>84792</v>
      </c>
      <c r="G13" s="33">
        <f t="shared" si="1"/>
        <v>86203</v>
      </c>
      <c r="H13" s="33">
        <f t="shared" si="1"/>
        <v>94780</v>
      </c>
      <c r="I13" s="33">
        <f t="shared" si="1"/>
        <v>97218</v>
      </c>
      <c r="J13" s="33">
        <f t="shared" si="1"/>
        <v>84792</v>
      </c>
      <c r="K13" s="33">
        <f t="shared" si="1"/>
        <v>91549</v>
      </c>
      <c r="L13" s="33">
        <f t="shared" si="1"/>
        <v>95442</v>
      </c>
      <c r="M13" s="33">
        <f t="shared" si="1"/>
        <v>103141</v>
      </c>
      <c r="N13" s="33">
        <f t="shared" si="1"/>
        <v>84792</v>
      </c>
      <c r="O13" s="33">
        <f t="shared" si="1"/>
        <v>80951</v>
      </c>
      <c r="P13" s="33">
        <f t="shared" si="1"/>
        <v>84401</v>
      </c>
      <c r="Q13" s="33">
        <f t="shared" si="1"/>
        <v>91239</v>
      </c>
      <c r="S13" s="9"/>
    </row>
    <row r="15" spans="1:19" x14ac:dyDescent="0.75">
      <c r="A15" s="1" t="s">
        <v>118</v>
      </c>
    </row>
    <row r="16" spans="1:19" x14ac:dyDescent="0.75">
      <c r="A16" s="7" t="s">
        <v>145</v>
      </c>
    </row>
    <row r="18" spans="1:17" x14ac:dyDescent="0.75">
      <c r="A18" t="s">
        <v>146</v>
      </c>
    </row>
    <row r="19" spans="1:17" x14ac:dyDescent="0.75">
      <c r="B19" s="40">
        <v>2014</v>
      </c>
      <c r="C19" s="40">
        <v>2015</v>
      </c>
      <c r="D19" s="40">
        <v>2016</v>
      </c>
      <c r="E19" s="40">
        <v>2017</v>
      </c>
      <c r="F19" s="40">
        <v>2018</v>
      </c>
      <c r="H19" t="s">
        <v>159</v>
      </c>
    </row>
    <row r="20" spans="1:17" x14ac:dyDescent="0.75">
      <c r="A20" s="45" t="s">
        <v>147</v>
      </c>
      <c r="B20" s="47"/>
      <c r="C20" s="47"/>
      <c r="D20" s="47"/>
      <c r="E20" s="47"/>
      <c r="F20" s="47"/>
    </row>
    <row r="21" spans="1:17" x14ac:dyDescent="0.75">
      <c r="A21" s="45" t="s">
        <v>148</v>
      </c>
      <c r="B21" s="47">
        <v>23390.47</v>
      </c>
      <c r="C21" s="47">
        <v>20884.599999999999</v>
      </c>
      <c r="D21" s="47">
        <v>16704.05</v>
      </c>
      <c r="E21" s="47">
        <v>16334.33</v>
      </c>
      <c r="F21" s="47">
        <v>15667.73</v>
      </c>
      <c r="H21" s="6">
        <f>C4+C6+C5</f>
        <v>28215</v>
      </c>
    </row>
    <row r="22" spans="1:17" x14ac:dyDescent="0.75">
      <c r="A22" s="45" t="s">
        <v>149</v>
      </c>
      <c r="B22" s="47">
        <v>33807.07</v>
      </c>
      <c r="C22" s="49">
        <v>30951.08</v>
      </c>
      <c r="D22" s="47">
        <v>31166.66</v>
      </c>
      <c r="E22" s="47">
        <v>32787.51</v>
      </c>
      <c r="F22" s="47">
        <v>32267.35</v>
      </c>
      <c r="H22" s="6">
        <f>C3</f>
        <v>29023</v>
      </c>
    </row>
    <row r="23" spans="1:17" x14ac:dyDescent="0.75">
      <c r="A23" s="45" t="s">
        <v>150</v>
      </c>
      <c r="B23" s="47">
        <v>9937</v>
      </c>
      <c r="C23" s="47">
        <v>9487</v>
      </c>
      <c r="D23" s="47">
        <v>9497</v>
      </c>
      <c r="E23" s="47">
        <v>9361</v>
      </c>
      <c r="F23" s="47">
        <v>9314</v>
      </c>
      <c r="H23" s="6">
        <f>C7</f>
        <v>9570</v>
      </c>
    </row>
    <row r="24" spans="1:17" x14ac:dyDescent="0.75">
      <c r="A24" s="45" t="s">
        <v>151</v>
      </c>
      <c r="B24" s="47">
        <v>1643.06</v>
      </c>
      <c r="C24" s="49">
        <v>1386.3</v>
      </c>
      <c r="D24" s="47">
        <v>1865.3</v>
      </c>
      <c r="E24" s="47">
        <v>1778.79</v>
      </c>
      <c r="F24" s="47">
        <v>2339.17</v>
      </c>
    </row>
    <row r="25" spans="1:17" x14ac:dyDescent="0.75">
      <c r="A25" s="45" t="s">
        <v>152</v>
      </c>
      <c r="B25" s="47"/>
      <c r="C25" s="47"/>
      <c r="D25" s="47"/>
      <c r="E25" s="47"/>
      <c r="F25" s="47"/>
    </row>
    <row r="26" spans="1:17" x14ac:dyDescent="0.75">
      <c r="A26" s="45" t="s">
        <v>153</v>
      </c>
      <c r="B26" s="47">
        <v>1568.96</v>
      </c>
      <c r="C26" s="47">
        <v>1586.35</v>
      </c>
      <c r="D26" s="49">
        <v>1607.85</v>
      </c>
      <c r="E26" s="49">
        <v>1621.3</v>
      </c>
      <c r="F26" s="47">
        <v>1623.28</v>
      </c>
    </row>
    <row r="27" spans="1:17" x14ac:dyDescent="0.75">
      <c r="A27" s="45" t="s">
        <v>154</v>
      </c>
      <c r="B27" s="47">
        <v>2744</v>
      </c>
      <c r="C27" s="47">
        <v>2744</v>
      </c>
      <c r="D27" s="47">
        <v>2744</v>
      </c>
      <c r="E27" s="47">
        <v>2744</v>
      </c>
      <c r="F27" s="47">
        <v>2744</v>
      </c>
      <c r="H27" s="6">
        <f>C10</f>
        <v>2690</v>
      </c>
    </row>
    <row r="28" spans="1:17" x14ac:dyDescent="0.75">
      <c r="A28" s="45" t="s">
        <v>155</v>
      </c>
      <c r="B28" s="47">
        <v>5621.8</v>
      </c>
      <c r="C28" s="47">
        <v>6151.42</v>
      </c>
      <c r="D28" s="49">
        <v>6934.05</v>
      </c>
      <c r="E28" s="49">
        <v>8421.4500000000007</v>
      </c>
      <c r="F28" s="47">
        <v>9361.26</v>
      </c>
      <c r="H28" s="6">
        <f>C8</f>
        <v>13408</v>
      </c>
    </row>
    <row r="29" spans="1:17" x14ac:dyDescent="0.75">
      <c r="A29" s="45" t="s">
        <v>156</v>
      </c>
      <c r="B29" s="47">
        <v>939.77</v>
      </c>
      <c r="C29" s="47">
        <v>1632.21</v>
      </c>
      <c r="D29" s="49">
        <v>2028.18</v>
      </c>
      <c r="E29" s="49">
        <v>2172.9</v>
      </c>
      <c r="F29" s="47">
        <v>2230.12</v>
      </c>
    </row>
    <row r="30" spans="1:17" ht="15.5" thickBot="1" x14ac:dyDescent="0.9">
      <c r="A30" s="46" t="s">
        <v>157</v>
      </c>
      <c r="B30" s="48">
        <v>4759.58</v>
      </c>
      <c r="C30" s="48">
        <v>5093.6899999999996</v>
      </c>
      <c r="D30" s="50">
        <v>5700.88</v>
      </c>
      <c r="E30" s="50">
        <v>5948.23</v>
      </c>
      <c r="F30" s="48">
        <v>7384.85</v>
      </c>
    </row>
    <row r="31" spans="1:17" ht="15.5" thickTop="1" x14ac:dyDescent="0.75">
      <c r="Q31" s="39"/>
    </row>
    <row r="32" spans="1:17" x14ac:dyDescent="0.75">
      <c r="C32" s="38">
        <f>SUM(C21:C30)</f>
        <v>79916.650000000009</v>
      </c>
    </row>
    <row r="34" spans="1:6" x14ac:dyDescent="0.75">
      <c r="B34" t="s">
        <v>160</v>
      </c>
      <c r="C34" t="s">
        <v>159</v>
      </c>
    </row>
    <row r="35" spans="1:6" x14ac:dyDescent="0.75">
      <c r="A35" t="s">
        <v>161</v>
      </c>
      <c r="B35" s="44">
        <f>C21+C24</f>
        <v>22270.899999999998</v>
      </c>
      <c r="C35" s="6">
        <f>C4+C5+C6</f>
        <v>28215</v>
      </c>
    </row>
    <row r="36" spans="1:6" x14ac:dyDescent="0.75">
      <c r="A36" t="s">
        <v>14</v>
      </c>
      <c r="B36" s="44">
        <f>C22</f>
        <v>30951.08</v>
      </c>
      <c r="C36" s="6">
        <f>C3</f>
        <v>29023</v>
      </c>
    </row>
    <row r="37" spans="1:6" x14ac:dyDescent="0.75">
      <c r="A37" t="s">
        <v>18</v>
      </c>
      <c r="B37" s="44">
        <f>C23</f>
        <v>9487</v>
      </c>
      <c r="C37" s="6">
        <f>C7</f>
        <v>9570</v>
      </c>
    </row>
    <row r="38" spans="1:6" x14ac:dyDescent="0.75">
      <c r="A38" t="s">
        <v>163</v>
      </c>
      <c r="B38" s="44">
        <f>C27</f>
        <v>2744</v>
      </c>
      <c r="C38" s="6">
        <f>C10</f>
        <v>2690</v>
      </c>
    </row>
    <row r="39" spans="1:6" x14ac:dyDescent="0.75">
      <c r="A39" t="s">
        <v>19</v>
      </c>
      <c r="B39" s="44">
        <f>C28</f>
        <v>6151.42</v>
      </c>
      <c r="C39" s="6">
        <f>C8</f>
        <v>13408</v>
      </c>
    </row>
    <row r="40" spans="1:6" x14ac:dyDescent="0.75">
      <c r="A40" t="s">
        <v>162</v>
      </c>
      <c r="B40" s="44">
        <f>C30+C29+C26</f>
        <v>8312.25</v>
      </c>
      <c r="C40" s="6">
        <f>C9</f>
        <v>4333</v>
      </c>
    </row>
    <row r="42" spans="1:6" x14ac:dyDescent="0.75">
      <c r="A42" s="1" t="s">
        <v>164</v>
      </c>
    </row>
    <row r="43" spans="1:6" x14ac:dyDescent="0.75">
      <c r="B43" t="s">
        <v>6</v>
      </c>
      <c r="C43" t="s">
        <v>8</v>
      </c>
      <c r="D43" t="s">
        <v>7</v>
      </c>
      <c r="E43" t="s">
        <v>12</v>
      </c>
      <c r="F43" t="s">
        <v>95</v>
      </c>
    </row>
    <row r="44" spans="1:6" x14ac:dyDescent="0.75">
      <c r="A44" t="s">
        <v>161</v>
      </c>
      <c r="B44" s="6">
        <f>'Generation Capacity2'!D4+'Generation Capacity2'!D5+'Generation Capacity2'!D6</f>
        <v>28698.6</v>
      </c>
      <c r="C44" s="6">
        <f>'Generation Capacity2'!I4+'Generation Capacity2'!I5+'Generation Capacity2'!I6</f>
        <v>24098.2</v>
      </c>
      <c r="D44" s="6">
        <f>'Generation Capacity2'!N4+'Generation Capacity2'!N5+'Generation Capacity2'!N6</f>
        <v>26378.6</v>
      </c>
      <c r="E44" s="6">
        <f>'Generation Capacity2'!S4+'Generation Capacity2'!S5+'Generation Capacity2'!S6</f>
        <v>26138.6</v>
      </c>
      <c r="F44" s="38">
        <f>F21+F24</f>
        <v>18006.900000000001</v>
      </c>
    </row>
    <row r="45" spans="1:6" x14ac:dyDescent="0.75">
      <c r="A45" t="s">
        <v>14</v>
      </c>
      <c r="B45" s="6">
        <f>'Generation Capacity2'!D3</f>
        <v>28129</v>
      </c>
      <c r="C45" s="6">
        <f>'Generation Capacity2'!I3</f>
        <v>28281</v>
      </c>
      <c r="D45" s="6">
        <f>'Generation Capacity2'!N3</f>
        <v>42372.6</v>
      </c>
      <c r="E45" s="6">
        <f>'Generation Capacity2'!S3</f>
        <v>32929</v>
      </c>
      <c r="F45" s="38">
        <f>F22</f>
        <v>32267.35</v>
      </c>
    </row>
    <row r="46" spans="1:6" x14ac:dyDescent="0.75">
      <c r="A46" t="s">
        <v>18</v>
      </c>
      <c r="B46" s="6">
        <f>'Generation Capacity2'!D7</f>
        <v>9408</v>
      </c>
      <c r="C46" s="6">
        <f>'Generation Capacity2'!I7</f>
        <v>9408</v>
      </c>
      <c r="D46" s="6">
        <f>'Generation Capacity2'!N7</f>
        <v>6042</v>
      </c>
      <c r="E46" s="6">
        <f>'Generation Capacity2'!S7</f>
        <v>6042</v>
      </c>
      <c r="F46" s="38">
        <f>F23</f>
        <v>9314</v>
      </c>
    </row>
    <row r="47" spans="1:6" x14ac:dyDescent="0.75">
      <c r="A47" t="s">
        <v>163</v>
      </c>
      <c r="B47" s="6">
        <f>'Generation Capacity2'!D10</f>
        <v>2690</v>
      </c>
      <c r="C47" s="6">
        <f>'Generation Capacity2'!I10</f>
        <v>2690</v>
      </c>
      <c r="D47" s="6">
        <f>'Generation Capacity2'!N10</f>
        <v>2690</v>
      </c>
      <c r="E47" s="6">
        <f>'Generation Capacity2'!S10</f>
        <v>2690</v>
      </c>
      <c r="F47" s="38">
        <f>F27</f>
        <v>2744</v>
      </c>
    </row>
    <row r="48" spans="1:6" x14ac:dyDescent="0.75">
      <c r="A48" t="s">
        <v>19</v>
      </c>
      <c r="B48" s="6">
        <f>'Generation Capacity2'!D8</f>
        <v>22501.599999999999</v>
      </c>
      <c r="C48" s="6">
        <f>'Generation Capacity2'!I8</f>
        <v>21451.200000000001</v>
      </c>
      <c r="D48" s="6">
        <f>'Generation Capacity2'!N8</f>
        <v>12027.8</v>
      </c>
      <c r="E48" s="6">
        <f>'Generation Capacity2'!S8</f>
        <v>10962.4</v>
      </c>
      <c r="F48" s="38">
        <f>F28</f>
        <v>9361.26</v>
      </c>
    </row>
    <row r="49" spans="1:6" x14ac:dyDescent="0.75">
      <c r="A49" t="s">
        <v>162</v>
      </c>
      <c r="B49" s="6">
        <f>'Generation Capacity2'!D9</f>
        <v>5535.4</v>
      </c>
      <c r="C49" s="6">
        <f>'Generation Capacity2'!I9</f>
        <v>5420.8</v>
      </c>
      <c r="D49" s="6">
        <f>'Generation Capacity2'!N9</f>
        <v>4373.8</v>
      </c>
      <c r="E49" s="6">
        <f>'Generation Capacity2'!S9</f>
        <v>4259</v>
      </c>
      <c r="F49" s="38">
        <f>F30+F29+F26</f>
        <v>11238.250000000002</v>
      </c>
    </row>
    <row r="51" spans="1:6" x14ac:dyDescent="0.75">
      <c r="A51" t="s">
        <v>70</v>
      </c>
      <c r="B51" s="6">
        <f>SUM(B44:B49)</f>
        <v>96962.6</v>
      </c>
      <c r="C51" s="6">
        <f t="shared" ref="C51:F51" si="2">SUM(C44:C49)</f>
        <v>91349.2</v>
      </c>
      <c r="D51" s="6">
        <f t="shared" si="2"/>
        <v>93884.800000000003</v>
      </c>
      <c r="E51" s="6">
        <f t="shared" si="2"/>
        <v>83021</v>
      </c>
      <c r="F51" s="6">
        <f t="shared" si="2"/>
        <v>82931.759999999995</v>
      </c>
    </row>
    <row r="53" spans="1:6" x14ac:dyDescent="0.75">
      <c r="A53" s="1" t="s">
        <v>169</v>
      </c>
    </row>
    <row r="54" spans="1:6" x14ac:dyDescent="0.75">
      <c r="B54" t="s">
        <v>6</v>
      </c>
      <c r="C54" t="s">
        <v>8</v>
      </c>
      <c r="D54" t="s">
        <v>7</v>
      </c>
      <c r="E54" t="s">
        <v>12</v>
      </c>
      <c r="F54" t="s">
        <v>95</v>
      </c>
    </row>
    <row r="55" spans="1:6" x14ac:dyDescent="0.75">
      <c r="A55" t="s">
        <v>161</v>
      </c>
      <c r="B55" s="3">
        <f>B44/B$51</f>
        <v>0.29597597424161476</v>
      </c>
      <c r="C55" s="3">
        <f t="shared" ref="C55:F55" si="3">C44/C$51</f>
        <v>0.26380307654582635</v>
      </c>
      <c r="D55" s="3">
        <f t="shared" si="3"/>
        <v>0.280967739186748</v>
      </c>
      <c r="E55" s="3">
        <f t="shared" si="3"/>
        <v>0.31484323243516699</v>
      </c>
      <c r="F55" s="3">
        <f t="shared" si="3"/>
        <v>0.21712911916978492</v>
      </c>
    </row>
    <row r="56" spans="1:6" x14ac:dyDescent="0.75">
      <c r="A56" t="s">
        <v>14</v>
      </c>
      <c r="B56" s="3">
        <f t="shared" ref="B56:F60" si="4">B45/B$51</f>
        <v>0.29010154430677393</v>
      </c>
      <c r="C56" s="3">
        <f t="shared" si="4"/>
        <v>0.30959220223056144</v>
      </c>
      <c r="D56" s="3">
        <f t="shared" si="4"/>
        <v>0.45132545417362552</v>
      </c>
      <c r="E56" s="3">
        <f t="shared" si="4"/>
        <v>0.39663458642993943</v>
      </c>
      <c r="F56" s="3">
        <f t="shared" si="4"/>
        <v>0.38908314498570873</v>
      </c>
    </row>
    <row r="57" spans="1:6" x14ac:dyDescent="0.75">
      <c r="A57" t="s">
        <v>18</v>
      </c>
      <c r="B57" s="3">
        <f t="shared" si="4"/>
        <v>9.702710117096694E-2</v>
      </c>
      <c r="C57" s="3">
        <f t="shared" si="4"/>
        <v>0.1029894076795418</v>
      </c>
      <c r="D57" s="3">
        <f t="shared" si="4"/>
        <v>6.4355465421452665E-2</v>
      </c>
      <c r="E57" s="3">
        <f t="shared" si="4"/>
        <v>7.2776767323930083E-2</v>
      </c>
      <c r="F57" s="3">
        <f t="shared" si="4"/>
        <v>0.11230920457976534</v>
      </c>
    </row>
    <row r="58" spans="1:6" x14ac:dyDescent="0.75">
      <c r="A58" t="s">
        <v>163</v>
      </c>
      <c r="B58" s="3">
        <f t="shared" si="4"/>
        <v>2.7742655415593228E-2</v>
      </c>
      <c r="C58" s="3">
        <f t="shared" si="4"/>
        <v>2.9447439058032255E-2</v>
      </c>
      <c r="D58" s="3">
        <f t="shared" si="4"/>
        <v>2.8652135382937385E-2</v>
      </c>
      <c r="E58" s="3">
        <f t="shared" si="4"/>
        <v>3.2401440599366428E-2</v>
      </c>
      <c r="F58" s="3">
        <f t="shared" si="4"/>
        <v>3.3087444424186825E-2</v>
      </c>
    </row>
    <row r="59" spans="1:6" x14ac:dyDescent="0.75">
      <c r="A59" t="s">
        <v>19</v>
      </c>
      <c r="B59" s="3">
        <f t="shared" si="4"/>
        <v>0.23206473423773699</v>
      </c>
      <c r="C59" s="3">
        <f t="shared" si="4"/>
        <v>0.23482635863258794</v>
      </c>
      <c r="D59" s="3">
        <f t="shared" si="4"/>
        <v>0.12811232489178226</v>
      </c>
      <c r="E59" s="3">
        <f t="shared" si="4"/>
        <v>0.13204369978680092</v>
      </c>
      <c r="F59" s="3">
        <f t="shared" si="4"/>
        <v>0.1128790706961965</v>
      </c>
    </row>
    <row r="60" spans="1:6" x14ac:dyDescent="0.75">
      <c r="A60" t="s">
        <v>162</v>
      </c>
      <c r="B60" s="3">
        <f t="shared" si="4"/>
        <v>5.7087990627314032E-2</v>
      </c>
      <c r="C60" s="3">
        <f t="shared" si="4"/>
        <v>5.934151585345028E-2</v>
      </c>
      <c r="D60" s="3">
        <f t="shared" si="4"/>
        <v>4.6586880943454104E-2</v>
      </c>
      <c r="E60" s="3">
        <f t="shared" si="4"/>
        <v>5.1300273424796136E-2</v>
      </c>
      <c r="F60" s="3">
        <f t="shared" si="4"/>
        <v>0.13551201614435776</v>
      </c>
    </row>
  </sheetData>
  <mergeCells count="4">
    <mergeCell ref="B1:E1"/>
    <mergeCell ref="F1:I1"/>
    <mergeCell ref="J1:M1"/>
    <mergeCell ref="N1:Q1"/>
  </mergeCells>
  <hyperlinks>
    <hyperlink ref="A16" r:id="rId1" xr:uid="{030BC921-CA04-462F-A9A6-4544D441B4AC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721FE-CC4A-4072-AEEE-988BE2EFA697}">
  <dimension ref="A1:U13"/>
  <sheetViews>
    <sheetView workbookViewId="0">
      <selection activeCell="I25" sqref="I25"/>
    </sheetView>
  </sheetViews>
  <sheetFormatPr defaultRowHeight="14.75" x14ac:dyDescent="0.75"/>
  <sheetData>
    <row r="1" spans="1:21" x14ac:dyDescent="0.75">
      <c r="A1" t="s">
        <v>13</v>
      </c>
      <c r="B1" s="56" t="s">
        <v>6</v>
      </c>
      <c r="C1" s="56"/>
      <c r="D1" s="56"/>
      <c r="E1" s="56"/>
      <c r="F1" s="56"/>
      <c r="G1" s="56" t="s">
        <v>8</v>
      </c>
      <c r="H1" s="56"/>
      <c r="I1" s="56"/>
      <c r="J1" s="56"/>
      <c r="K1" s="56"/>
      <c r="L1" s="56" t="s">
        <v>7</v>
      </c>
      <c r="M1" s="56"/>
      <c r="N1" s="56"/>
      <c r="O1" s="56"/>
      <c r="P1" s="56"/>
      <c r="Q1" s="56" t="s">
        <v>12</v>
      </c>
      <c r="R1" s="56"/>
      <c r="S1" s="56"/>
      <c r="T1" s="56"/>
      <c r="U1" s="56"/>
    </row>
    <row r="2" spans="1:21" x14ac:dyDescent="0.75">
      <c r="B2">
        <v>2010</v>
      </c>
      <c r="C2">
        <v>2015</v>
      </c>
      <c r="D2" s="9">
        <v>2018</v>
      </c>
      <c r="E2">
        <v>2020</v>
      </c>
      <c r="F2">
        <v>2025</v>
      </c>
      <c r="G2">
        <v>2010</v>
      </c>
      <c r="H2">
        <v>2015</v>
      </c>
      <c r="I2" s="9">
        <v>2018</v>
      </c>
      <c r="J2">
        <v>2020</v>
      </c>
      <c r="K2">
        <v>2025</v>
      </c>
      <c r="L2">
        <v>2010</v>
      </c>
      <c r="M2">
        <v>2015</v>
      </c>
      <c r="N2" s="9">
        <v>2018</v>
      </c>
      <c r="O2">
        <v>2020</v>
      </c>
      <c r="P2">
        <v>2025</v>
      </c>
      <c r="Q2">
        <v>2010</v>
      </c>
      <c r="R2">
        <v>2015</v>
      </c>
      <c r="S2" s="9">
        <v>2018</v>
      </c>
      <c r="T2">
        <v>2020</v>
      </c>
      <c r="U2">
        <v>2025</v>
      </c>
    </row>
    <row r="3" spans="1:21" x14ac:dyDescent="0.75">
      <c r="A3" t="s">
        <v>14</v>
      </c>
      <c r="B3" s="6">
        <v>26787</v>
      </c>
      <c r="C3" s="6">
        <v>29023</v>
      </c>
      <c r="D3" s="33">
        <f>((E3-C3)/5*3)+C3</f>
        <v>28129</v>
      </c>
      <c r="E3" s="6">
        <v>27533</v>
      </c>
      <c r="F3" s="6">
        <v>27028</v>
      </c>
      <c r="G3" s="6">
        <v>26787</v>
      </c>
      <c r="H3" s="6">
        <v>29403</v>
      </c>
      <c r="I3" s="33">
        <f>((J3-H3)/5*3)+H3</f>
        <v>28281</v>
      </c>
      <c r="J3" s="6">
        <v>27533</v>
      </c>
      <c r="K3" s="6">
        <v>27028</v>
      </c>
      <c r="L3" s="6">
        <v>26787</v>
      </c>
      <c r="M3" s="6">
        <v>38832</v>
      </c>
      <c r="N3" s="33">
        <f>((O3-M3)/5*3)+M3</f>
        <v>42372.6</v>
      </c>
      <c r="O3" s="6">
        <v>44733</v>
      </c>
      <c r="P3" s="6">
        <v>54628</v>
      </c>
      <c r="Q3" s="6">
        <v>26787</v>
      </c>
      <c r="R3" s="6">
        <v>29023</v>
      </c>
      <c r="S3" s="33">
        <f>((T3-R3)/5*3)+R3</f>
        <v>32929</v>
      </c>
      <c r="T3" s="6">
        <v>35533</v>
      </c>
      <c r="U3" s="6">
        <v>48228</v>
      </c>
    </row>
    <row r="4" spans="1:21" x14ac:dyDescent="0.75">
      <c r="A4" t="s">
        <v>15</v>
      </c>
      <c r="B4" s="6">
        <v>2964</v>
      </c>
      <c r="C4" s="6">
        <v>1594</v>
      </c>
      <c r="D4" s="33">
        <f t="shared" ref="D4:D10" si="0">((E4-C4)/5*3)+C4</f>
        <v>637.59999999999991</v>
      </c>
      <c r="E4" s="6">
        <v>0</v>
      </c>
      <c r="F4" s="6">
        <v>0</v>
      </c>
      <c r="G4" s="6">
        <v>2964</v>
      </c>
      <c r="H4" s="6">
        <v>460</v>
      </c>
      <c r="I4" s="33">
        <f t="shared" ref="I4:I11" si="1">((J4-H4)/5*3)+H4</f>
        <v>184</v>
      </c>
      <c r="J4" s="6">
        <v>0</v>
      </c>
      <c r="K4" s="6">
        <v>0</v>
      </c>
      <c r="L4" s="6">
        <v>2964</v>
      </c>
      <c r="M4" s="6">
        <v>1594</v>
      </c>
      <c r="N4" s="33">
        <f t="shared" ref="N4:N11" si="2">((O4-M4)/5*3)+M4</f>
        <v>637.59999999999991</v>
      </c>
      <c r="O4" s="6">
        <v>0</v>
      </c>
      <c r="P4" s="6">
        <v>0</v>
      </c>
      <c r="Q4" s="6">
        <v>2964</v>
      </c>
      <c r="R4" s="6">
        <v>1594</v>
      </c>
      <c r="S4" s="33">
        <f t="shared" ref="S4:S11" si="3">((T4-R4)/5*3)+R4</f>
        <v>637.59999999999991</v>
      </c>
      <c r="T4" s="6">
        <v>0</v>
      </c>
      <c r="U4" s="6">
        <v>0</v>
      </c>
    </row>
    <row r="5" spans="1:21" x14ac:dyDescent="0.75">
      <c r="A5" t="s">
        <v>16</v>
      </c>
      <c r="B5" s="6">
        <v>4851</v>
      </c>
      <c r="C5" s="6">
        <v>4851</v>
      </c>
      <c r="D5" s="33">
        <f t="shared" si="0"/>
        <v>4851</v>
      </c>
      <c r="E5" s="6">
        <v>4851</v>
      </c>
      <c r="F5" s="6">
        <v>4851</v>
      </c>
      <c r="G5" s="6">
        <v>4851</v>
      </c>
      <c r="H5" s="6">
        <v>4851</v>
      </c>
      <c r="I5" s="33">
        <f t="shared" si="1"/>
        <v>4851</v>
      </c>
      <c r="J5" s="6">
        <v>4851</v>
      </c>
      <c r="K5" s="6">
        <v>4851</v>
      </c>
      <c r="L5" s="6">
        <v>4851</v>
      </c>
      <c r="M5" s="6">
        <v>4851</v>
      </c>
      <c r="N5" s="33">
        <f t="shared" si="2"/>
        <v>4851</v>
      </c>
      <c r="O5" s="6">
        <v>4851</v>
      </c>
      <c r="P5" s="6">
        <v>4851</v>
      </c>
      <c r="Q5" s="6">
        <v>4851</v>
      </c>
      <c r="R5" s="6">
        <v>4851</v>
      </c>
      <c r="S5" s="33">
        <f t="shared" si="3"/>
        <v>4851</v>
      </c>
      <c r="T5" s="6">
        <v>4851</v>
      </c>
      <c r="U5" s="6">
        <v>4851</v>
      </c>
    </row>
    <row r="6" spans="1:21" x14ac:dyDescent="0.75">
      <c r="A6" t="s">
        <v>17</v>
      </c>
      <c r="B6" s="6">
        <v>28255</v>
      </c>
      <c r="C6" s="6">
        <v>21770</v>
      </c>
      <c r="D6" s="33">
        <f t="shared" si="0"/>
        <v>23210</v>
      </c>
      <c r="E6" s="6">
        <v>24170</v>
      </c>
      <c r="F6" s="6">
        <v>18367</v>
      </c>
      <c r="G6" s="6">
        <v>28255</v>
      </c>
      <c r="H6" s="6">
        <v>22170</v>
      </c>
      <c r="I6" s="33">
        <f t="shared" si="1"/>
        <v>19063.2</v>
      </c>
      <c r="J6" s="6">
        <v>16992</v>
      </c>
      <c r="K6" s="6">
        <v>15450</v>
      </c>
      <c r="L6" s="6">
        <v>28255</v>
      </c>
      <c r="M6" s="6">
        <v>21370</v>
      </c>
      <c r="N6" s="33">
        <f t="shared" si="2"/>
        <v>20890</v>
      </c>
      <c r="O6" s="6">
        <v>20570</v>
      </c>
      <c r="P6" s="6">
        <v>13167</v>
      </c>
      <c r="Q6" s="6">
        <v>28255</v>
      </c>
      <c r="R6" s="6">
        <v>21370</v>
      </c>
      <c r="S6" s="33">
        <f t="shared" si="3"/>
        <v>20650</v>
      </c>
      <c r="T6" s="6">
        <v>20170</v>
      </c>
      <c r="U6" s="6">
        <v>11167</v>
      </c>
    </row>
    <row r="7" spans="1:21" x14ac:dyDescent="0.75">
      <c r="A7" t="s">
        <v>18</v>
      </c>
      <c r="B7" s="6">
        <v>10550</v>
      </c>
      <c r="C7" s="6">
        <v>9570</v>
      </c>
      <c r="D7" s="33">
        <f t="shared" si="0"/>
        <v>9408</v>
      </c>
      <c r="E7" s="6">
        <v>9300</v>
      </c>
      <c r="F7" s="6">
        <v>7590</v>
      </c>
      <c r="G7" s="6">
        <v>10550</v>
      </c>
      <c r="H7" s="6">
        <v>9570</v>
      </c>
      <c r="I7" s="33">
        <f t="shared" si="1"/>
        <v>9408</v>
      </c>
      <c r="J7" s="6">
        <v>9300</v>
      </c>
      <c r="K7" s="6">
        <v>7590</v>
      </c>
      <c r="L7" s="6">
        <v>10550</v>
      </c>
      <c r="M7" s="6">
        <v>9570</v>
      </c>
      <c r="N7" s="33">
        <f t="shared" si="2"/>
        <v>6042</v>
      </c>
      <c r="O7" s="6">
        <v>3690</v>
      </c>
      <c r="P7" s="6">
        <v>4390</v>
      </c>
      <c r="Q7" s="6">
        <v>10550</v>
      </c>
      <c r="R7" s="6">
        <v>9570</v>
      </c>
      <c r="S7" s="33">
        <f t="shared" si="3"/>
        <v>6042</v>
      </c>
      <c r="T7" s="6">
        <v>3690</v>
      </c>
      <c r="U7" s="6">
        <v>2790</v>
      </c>
    </row>
    <row r="8" spans="1:21" x14ac:dyDescent="0.75">
      <c r="A8" t="s">
        <v>19</v>
      </c>
      <c r="B8" s="6">
        <v>5208</v>
      </c>
      <c r="C8" s="6">
        <v>13408</v>
      </c>
      <c r="D8" s="33">
        <f t="shared" si="0"/>
        <v>22501.599999999999</v>
      </c>
      <c r="E8" s="6">
        <v>28564</v>
      </c>
      <c r="F8" s="6">
        <v>33836</v>
      </c>
      <c r="G8" s="6">
        <v>5208</v>
      </c>
      <c r="H8" s="6">
        <v>12783</v>
      </c>
      <c r="I8" s="33">
        <f t="shared" si="1"/>
        <v>21451.200000000001</v>
      </c>
      <c r="J8" s="6">
        <v>27230</v>
      </c>
      <c r="K8" s="6">
        <v>32227</v>
      </c>
      <c r="L8" s="6">
        <v>5208</v>
      </c>
      <c r="M8" s="6">
        <v>8735</v>
      </c>
      <c r="N8" s="33">
        <f t="shared" si="2"/>
        <v>12027.8</v>
      </c>
      <c r="O8" s="6">
        <v>14223</v>
      </c>
      <c r="P8" s="6">
        <v>18000</v>
      </c>
      <c r="Q8" s="6">
        <v>5208</v>
      </c>
      <c r="R8" s="6">
        <v>8011</v>
      </c>
      <c r="S8" s="33">
        <f t="shared" si="3"/>
        <v>10962.4</v>
      </c>
      <c r="T8" s="6">
        <v>12930</v>
      </c>
      <c r="U8" s="6">
        <v>16329</v>
      </c>
    </row>
    <row r="9" spans="1:21" x14ac:dyDescent="0.75">
      <c r="A9" t="s">
        <v>20</v>
      </c>
      <c r="B9" s="6">
        <v>3487</v>
      </c>
      <c r="C9" s="6">
        <v>4333</v>
      </c>
      <c r="D9" s="33">
        <f t="shared" si="0"/>
        <v>5535.4</v>
      </c>
      <c r="E9" s="6">
        <v>6337</v>
      </c>
      <c r="F9" s="6">
        <v>7604</v>
      </c>
      <c r="G9" s="6">
        <v>3487</v>
      </c>
      <c r="H9" s="6">
        <v>4276</v>
      </c>
      <c r="I9" s="33">
        <f t="shared" si="1"/>
        <v>5420.8</v>
      </c>
      <c r="J9" s="6">
        <v>6184</v>
      </c>
      <c r="K9" s="6">
        <v>7382</v>
      </c>
      <c r="L9" s="6">
        <v>3487</v>
      </c>
      <c r="M9" s="6">
        <v>3907</v>
      </c>
      <c r="N9" s="33">
        <f t="shared" si="2"/>
        <v>4373.8</v>
      </c>
      <c r="O9" s="6">
        <v>4685</v>
      </c>
      <c r="P9" s="6">
        <v>5415</v>
      </c>
      <c r="Q9" s="6">
        <v>3487</v>
      </c>
      <c r="R9" s="6">
        <v>3842</v>
      </c>
      <c r="S9" s="33">
        <f t="shared" si="3"/>
        <v>4259</v>
      </c>
      <c r="T9" s="6">
        <v>4537</v>
      </c>
      <c r="U9" s="6">
        <v>5184</v>
      </c>
    </row>
    <row r="10" spans="1:21" x14ac:dyDescent="0.75">
      <c r="A10" t="s">
        <v>21</v>
      </c>
      <c r="B10" s="6">
        <v>2590</v>
      </c>
      <c r="C10" s="6">
        <v>2690</v>
      </c>
      <c r="D10" s="33">
        <f t="shared" si="0"/>
        <v>2690</v>
      </c>
      <c r="E10" s="6">
        <v>2690</v>
      </c>
      <c r="F10" s="6">
        <v>2690</v>
      </c>
      <c r="G10" s="6">
        <v>2690</v>
      </c>
      <c r="H10" s="6">
        <v>2690</v>
      </c>
      <c r="I10" s="33">
        <f t="shared" si="1"/>
        <v>2690</v>
      </c>
      <c r="J10" s="6">
        <v>2690</v>
      </c>
      <c r="K10" s="6">
        <v>2690</v>
      </c>
      <c r="L10" s="6">
        <v>2690</v>
      </c>
      <c r="M10" s="6">
        <v>2690</v>
      </c>
      <c r="N10" s="33">
        <f t="shared" si="2"/>
        <v>2690</v>
      </c>
      <c r="O10" s="6">
        <v>2690</v>
      </c>
      <c r="P10" s="6">
        <v>2690</v>
      </c>
      <c r="Q10" s="6">
        <v>2690</v>
      </c>
      <c r="R10" s="6">
        <v>2690</v>
      </c>
      <c r="S10" s="33">
        <f t="shared" si="3"/>
        <v>2690</v>
      </c>
      <c r="T10" s="6">
        <v>2690</v>
      </c>
      <c r="U10" s="6">
        <v>2690</v>
      </c>
    </row>
    <row r="11" spans="1:21" x14ac:dyDescent="0.75">
      <c r="A11" t="s">
        <v>22</v>
      </c>
      <c r="B11" s="6">
        <v>2000</v>
      </c>
      <c r="C11" s="6">
        <v>2500</v>
      </c>
      <c r="D11" s="33">
        <f>((E11-C11)/5*3)+C11</f>
        <v>3100</v>
      </c>
      <c r="E11" s="6">
        <v>3500</v>
      </c>
      <c r="F11" s="6">
        <v>3500</v>
      </c>
      <c r="G11" s="6">
        <v>2000</v>
      </c>
      <c r="H11" s="6">
        <v>2500</v>
      </c>
      <c r="I11" s="33">
        <f t="shared" si="1"/>
        <v>3100</v>
      </c>
      <c r="J11" s="6">
        <v>3500</v>
      </c>
      <c r="K11" s="6">
        <v>3500</v>
      </c>
      <c r="L11" s="6">
        <v>2000</v>
      </c>
      <c r="M11" s="6">
        <v>2500</v>
      </c>
      <c r="N11" s="33">
        <f t="shared" si="2"/>
        <v>2500</v>
      </c>
      <c r="O11" s="6">
        <v>2500</v>
      </c>
      <c r="P11" s="6">
        <v>2500</v>
      </c>
      <c r="Q11" s="6">
        <v>2000</v>
      </c>
      <c r="R11" s="6">
        <v>2500</v>
      </c>
      <c r="S11" s="33">
        <f t="shared" si="3"/>
        <v>2500</v>
      </c>
      <c r="T11" s="6">
        <v>2500</v>
      </c>
      <c r="U11" s="6">
        <v>2500</v>
      </c>
    </row>
    <row r="12" spans="1:21" x14ac:dyDescent="0.75">
      <c r="A12" s="25" t="s">
        <v>70</v>
      </c>
      <c r="B12" s="33">
        <f>SUM(B3:B11)</f>
        <v>86692</v>
      </c>
      <c r="C12" s="33">
        <f t="shared" ref="C12:U12" si="4">SUM(C3:C11)</f>
        <v>89739</v>
      </c>
      <c r="D12" s="33">
        <f>SUM(D3:D11)</f>
        <v>100062.6</v>
      </c>
      <c r="E12" s="33">
        <f t="shared" si="4"/>
        <v>106945</v>
      </c>
      <c r="F12" s="33">
        <f t="shared" si="4"/>
        <v>105466</v>
      </c>
      <c r="G12" s="33">
        <f t="shared" si="4"/>
        <v>86792</v>
      </c>
      <c r="H12" s="33">
        <f t="shared" si="4"/>
        <v>88703</v>
      </c>
      <c r="I12" s="33">
        <f t="shared" si="4"/>
        <v>94449.2</v>
      </c>
      <c r="J12" s="33">
        <f t="shared" si="4"/>
        <v>98280</v>
      </c>
      <c r="K12" s="33">
        <f t="shared" si="4"/>
        <v>100718</v>
      </c>
      <c r="L12" s="33">
        <f t="shared" si="4"/>
        <v>86792</v>
      </c>
      <c r="M12" s="33">
        <f t="shared" si="4"/>
        <v>94049</v>
      </c>
      <c r="N12" s="33">
        <f t="shared" si="4"/>
        <v>96384.8</v>
      </c>
      <c r="O12" s="33">
        <f t="shared" si="4"/>
        <v>97942</v>
      </c>
      <c r="P12" s="33">
        <f t="shared" si="4"/>
        <v>105641</v>
      </c>
      <c r="Q12" s="33">
        <f t="shared" si="4"/>
        <v>86792</v>
      </c>
      <c r="R12" s="33">
        <f t="shared" si="4"/>
        <v>83451</v>
      </c>
      <c r="S12" s="33">
        <f t="shared" si="4"/>
        <v>85521</v>
      </c>
      <c r="T12" s="33">
        <f t="shared" si="4"/>
        <v>86901</v>
      </c>
      <c r="U12" s="33">
        <f t="shared" si="4"/>
        <v>93739</v>
      </c>
    </row>
    <row r="13" spans="1:21" x14ac:dyDescent="0.75">
      <c r="A13" s="25" t="s">
        <v>158</v>
      </c>
      <c r="B13" s="33">
        <f>B12-B11</f>
        <v>84692</v>
      </c>
      <c r="C13" s="33">
        <f t="shared" ref="C13:U13" si="5">C12-C11</f>
        <v>87239</v>
      </c>
      <c r="D13" s="33">
        <f t="shared" si="5"/>
        <v>96962.6</v>
      </c>
      <c r="E13" s="33">
        <f t="shared" si="5"/>
        <v>103445</v>
      </c>
      <c r="F13" s="33">
        <f t="shared" si="5"/>
        <v>101966</v>
      </c>
      <c r="G13" s="33">
        <f t="shared" si="5"/>
        <v>84792</v>
      </c>
      <c r="H13" s="33">
        <f t="shared" si="5"/>
        <v>86203</v>
      </c>
      <c r="I13" s="33">
        <f t="shared" si="5"/>
        <v>91349.2</v>
      </c>
      <c r="J13" s="33">
        <f t="shared" si="5"/>
        <v>94780</v>
      </c>
      <c r="K13" s="33">
        <f t="shared" si="5"/>
        <v>97218</v>
      </c>
      <c r="L13" s="33">
        <f t="shared" si="5"/>
        <v>84792</v>
      </c>
      <c r="M13" s="33">
        <f t="shared" si="5"/>
        <v>91549</v>
      </c>
      <c r="N13" s="33">
        <f t="shared" si="5"/>
        <v>93884.800000000003</v>
      </c>
      <c r="O13" s="33">
        <f t="shared" si="5"/>
        <v>95442</v>
      </c>
      <c r="P13" s="33">
        <f t="shared" si="5"/>
        <v>103141</v>
      </c>
      <c r="Q13" s="33">
        <f t="shared" si="5"/>
        <v>84792</v>
      </c>
      <c r="R13" s="33">
        <f t="shared" si="5"/>
        <v>80951</v>
      </c>
      <c r="S13" s="33">
        <f t="shared" si="5"/>
        <v>83021</v>
      </c>
      <c r="T13" s="33">
        <f t="shared" si="5"/>
        <v>84401</v>
      </c>
      <c r="U13" s="33">
        <f t="shared" si="5"/>
        <v>91239</v>
      </c>
    </row>
  </sheetData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ED8F-2B7A-4EF1-A221-401EE857BE58}">
  <dimension ref="A1:F37"/>
  <sheetViews>
    <sheetView topLeftCell="A25" zoomScale="115" zoomScaleNormal="115" workbookViewId="0">
      <selection activeCell="O7" sqref="O7"/>
    </sheetView>
  </sheetViews>
  <sheetFormatPr defaultRowHeight="14.75" x14ac:dyDescent="0.75"/>
  <sheetData>
    <row r="1" spans="1:6" x14ac:dyDescent="0.75">
      <c r="A1" s="1" t="s">
        <v>76</v>
      </c>
    </row>
    <row r="2" spans="1:6" x14ac:dyDescent="0.75">
      <c r="A2" t="s">
        <v>77</v>
      </c>
      <c r="B2" t="s">
        <v>6</v>
      </c>
      <c r="C2" t="s">
        <v>8</v>
      </c>
      <c r="D2" t="s">
        <v>7</v>
      </c>
      <c r="E2" t="s">
        <v>12</v>
      </c>
      <c r="F2" s="1" t="s">
        <v>118</v>
      </c>
    </row>
    <row r="3" spans="1:6" x14ac:dyDescent="0.75">
      <c r="A3">
        <v>2010</v>
      </c>
      <c r="B3">
        <v>150.4</v>
      </c>
      <c r="C3">
        <v>137.4</v>
      </c>
      <c r="D3">
        <v>165.8</v>
      </c>
      <c r="E3">
        <v>160.5</v>
      </c>
      <c r="F3" s="24">
        <f>B27</f>
        <v>158.08328849302825</v>
      </c>
    </row>
    <row r="4" spans="1:6" x14ac:dyDescent="0.75">
      <c r="A4" s="9">
        <v>2011</v>
      </c>
      <c r="B4" s="9">
        <f>(($B$8-$B$3)/5)+B3</f>
        <v>147.18</v>
      </c>
      <c r="C4" s="9">
        <f>(($C$8-$C$3)/5)+C3</f>
        <v>128.82</v>
      </c>
      <c r="D4" s="9">
        <f>(($D$8-$D$3)/5)+D3</f>
        <v>165.5</v>
      </c>
      <c r="E4" s="9">
        <f>(($E$8-$E$3)/5)+E3</f>
        <v>157.58000000000001</v>
      </c>
      <c r="F4" s="24">
        <f t="shared" ref="F4:F11" si="0">B28</f>
        <v>145.38126331947277</v>
      </c>
    </row>
    <row r="5" spans="1:6" x14ac:dyDescent="0.75">
      <c r="A5" s="9">
        <v>2012</v>
      </c>
      <c r="B5" s="9">
        <f t="shared" ref="B5:B7" si="1">(($B$8-$B$3)/5)+B4</f>
        <v>143.96</v>
      </c>
      <c r="C5" s="9">
        <f t="shared" ref="C5:C7" si="2">(($C$8-$C$3)/5)+C4</f>
        <v>120.24</v>
      </c>
      <c r="D5" s="9">
        <f t="shared" ref="D5:D7" si="3">(($D$8-$D$3)/5)+D4</f>
        <v>165.2</v>
      </c>
      <c r="E5" s="9">
        <f t="shared" ref="E5:E7" si="4">(($E$8-$E$3)/5)+E4</f>
        <v>154.66000000000003</v>
      </c>
      <c r="F5" s="24">
        <f t="shared" si="0"/>
        <v>159.37993616194802</v>
      </c>
    </row>
    <row r="6" spans="1:6" x14ac:dyDescent="0.75">
      <c r="A6" s="9">
        <v>2013</v>
      </c>
      <c r="B6" s="9">
        <f t="shared" si="1"/>
        <v>140.74</v>
      </c>
      <c r="C6" s="9">
        <f t="shared" si="2"/>
        <v>111.66</v>
      </c>
      <c r="D6" s="9">
        <f t="shared" si="3"/>
        <v>164.89999999999998</v>
      </c>
      <c r="E6" s="9">
        <f t="shared" si="4"/>
        <v>151.74000000000004</v>
      </c>
      <c r="F6" s="24">
        <f t="shared" si="0"/>
        <v>148.40828898687212</v>
      </c>
    </row>
    <row r="7" spans="1:6" x14ac:dyDescent="0.75">
      <c r="A7" s="9">
        <v>2014</v>
      </c>
      <c r="B7" s="9">
        <f t="shared" si="1"/>
        <v>137.52000000000001</v>
      </c>
      <c r="C7" s="9">
        <f t="shared" si="2"/>
        <v>103.08</v>
      </c>
      <c r="D7" s="9">
        <f t="shared" si="3"/>
        <v>164.59999999999997</v>
      </c>
      <c r="E7" s="9">
        <f t="shared" si="4"/>
        <v>148.82000000000005</v>
      </c>
      <c r="F7" s="24">
        <f t="shared" si="0"/>
        <v>125.20565855474966</v>
      </c>
    </row>
    <row r="8" spans="1:6" x14ac:dyDescent="0.75">
      <c r="A8">
        <v>2015</v>
      </c>
      <c r="B8">
        <v>134.30000000000001</v>
      </c>
      <c r="C8">
        <v>94.5</v>
      </c>
      <c r="D8">
        <v>164.3</v>
      </c>
      <c r="E8">
        <v>145.9</v>
      </c>
      <c r="F8" s="24">
        <f t="shared" si="0"/>
        <v>104.99512670598135</v>
      </c>
    </row>
    <row r="9" spans="1:6" x14ac:dyDescent="0.75">
      <c r="A9" s="9">
        <v>2016</v>
      </c>
      <c r="B9" s="9">
        <f>(($B$13-$B$8)/5)+B8</f>
        <v>130.42000000000002</v>
      </c>
      <c r="C9" s="9">
        <f>(($C$13-$C$8)/5)+C8</f>
        <v>91.88</v>
      </c>
      <c r="D9" s="9">
        <f>(($D$13-$D$8)/5)+D8</f>
        <v>161.06</v>
      </c>
      <c r="E9" s="9">
        <f>(($E$13-$E$8)/5)+E8</f>
        <v>145.46</v>
      </c>
      <c r="F9" s="24">
        <f t="shared" si="0"/>
        <v>82.972767327199747</v>
      </c>
    </row>
    <row r="10" spans="1:6" x14ac:dyDescent="0.75">
      <c r="A10" s="9">
        <v>2017</v>
      </c>
      <c r="B10" s="9">
        <f t="shared" ref="B10:B11" si="5">(($B$13-$B$8)/5)+B9</f>
        <v>126.54000000000002</v>
      </c>
      <c r="C10" s="9">
        <f t="shared" ref="C10:C12" si="6">(($C$13-$C$8)/5)+C9</f>
        <v>89.259999999999991</v>
      </c>
      <c r="D10" s="9">
        <f t="shared" ref="D10:D12" si="7">(($D$13-$D$8)/5)+D9</f>
        <v>157.82</v>
      </c>
      <c r="E10" s="9">
        <f t="shared" ref="E10:E12" si="8">(($E$13-$E$8)/5)+E9</f>
        <v>145.02000000000001</v>
      </c>
      <c r="F10" s="24">
        <f t="shared" si="0"/>
        <v>73.065081617616229</v>
      </c>
    </row>
    <row r="11" spans="1:6" x14ac:dyDescent="0.75">
      <c r="A11" s="9">
        <v>2018</v>
      </c>
      <c r="B11" s="9">
        <f t="shared" si="5"/>
        <v>122.66000000000003</v>
      </c>
      <c r="C11" s="9">
        <f t="shared" si="6"/>
        <v>86.639999999999986</v>
      </c>
      <c r="D11" s="9">
        <f t="shared" si="7"/>
        <v>154.57999999999998</v>
      </c>
      <c r="E11" s="9">
        <f t="shared" si="8"/>
        <v>144.58000000000001</v>
      </c>
      <c r="F11" s="24">
        <f t="shared" si="0"/>
        <v>66.819323493250423</v>
      </c>
    </row>
    <row r="12" spans="1:6" x14ac:dyDescent="0.75">
      <c r="A12" s="9">
        <v>2019</v>
      </c>
      <c r="B12" s="9">
        <f>(($B$13-$B$8)/5)+B11</f>
        <v>118.78000000000003</v>
      </c>
      <c r="C12" s="9">
        <f t="shared" si="6"/>
        <v>84.019999999999982</v>
      </c>
      <c r="D12" s="9">
        <f t="shared" si="7"/>
        <v>151.33999999999997</v>
      </c>
      <c r="E12" s="9">
        <f t="shared" si="8"/>
        <v>144.14000000000001</v>
      </c>
      <c r="F12" s="24"/>
    </row>
    <row r="13" spans="1:6" x14ac:dyDescent="0.75">
      <c r="A13">
        <v>2020</v>
      </c>
      <c r="B13">
        <v>114.9</v>
      </c>
      <c r="C13">
        <v>81.400000000000006</v>
      </c>
      <c r="D13">
        <v>148.1</v>
      </c>
      <c r="E13">
        <v>143.69999999999999</v>
      </c>
      <c r="F13" s="9"/>
    </row>
    <row r="14" spans="1:6" x14ac:dyDescent="0.75">
      <c r="A14">
        <v>2025</v>
      </c>
      <c r="B14">
        <v>78.5</v>
      </c>
      <c r="C14">
        <v>63.9</v>
      </c>
      <c r="D14">
        <v>130</v>
      </c>
      <c r="E14">
        <v>125.7</v>
      </c>
      <c r="F14" s="9"/>
    </row>
    <row r="16" spans="1:6" x14ac:dyDescent="0.75">
      <c r="A16" s="1" t="s">
        <v>94</v>
      </c>
    </row>
    <row r="18" spans="1:5" x14ac:dyDescent="0.75">
      <c r="A18" t="s">
        <v>77</v>
      </c>
      <c r="B18" t="s">
        <v>6</v>
      </c>
      <c r="C18" t="s">
        <v>8</v>
      </c>
      <c r="D18" t="s">
        <v>7</v>
      </c>
      <c r="E18" t="s">
        <v>12</v>
      </c>
    </row>
    <row r="19" spans="1:5" x14ac:dyDescent="0.75">
      <c r="A19">
        <v>2010</v>
      </c>
      <c r="B19">
        <v>124</v>
      </c>
      <c r="C19">
        <v>119</v>
      </c>
      <c r="D19">
        <v>125</v>
      </c>
      <c r="E19">
        <v>118</v>
      </c>
    </row>
    <row r="20" spans="1:5" x14ac:dyDescent="0.75">
      <c r="A20">
        <v>2015</v>
      </c>
      <c r="B20">
        <v>117</v>
      </c>
      <c r="C20">
        <v>110</v>
      </c>
      <c r="D20">
        <v>128</v>
      </c>
      <c r="E20">
        <v>116</v>
      </c>
    </row>
    <row r="21" spans="1:5" x14ac:dyDescent="0.75">
      <c r="A21">
        <v>2020</v>
      </c>
      <c r="B21">
        <v>105</v>
      </c>
      <c r="C21">
        <v>98</v>
      </c>
      <c r="D21">
        <v>127</v>
      </c>
      <c r="E21">
        <v>114</v>
      </c>
    </row>
    <row r="22" spans="1:5" x14ac:dyDescent="0.75">
      <c r="A22">
        <v>2025</v>
      </c>
      <c r="B22">
        <v>96</v>
      </c>
      <c r="C22">
        <v>89</v>
      </c>
      <c r="D22">
        <v>128</v>
      </c>
      <c r="E22">
        <v>115</v>
      </c>
    </row>
    <row r="24" spans="1:5" x14ac:dyDescent="0.75">
      <c r="A24" s="1" t="s">
        <v>113</v>
      </c>
    </row>
    <row r="26" spans="1:5" ht="15.5" thickBot="1" x14ac:dyDescent="0.9">
      <c r="A26" t="s">
        <v>1</v>
      </c>
      <c r="B26" t="s">
        <v>114</v>
      </c>
    </row>
    <row r="27" spans="1:5" ht="15.5" thickBot="1" x14ac:dyDescent="0.9">
      <c r="A27" s="15">
        <v>2010</v>
      </c>
      <c r="B27" s="14">
        <v>158.08328849302825</v>
      </c>
    </row>
    <row r="28" spans="1:5" ht="15.5" thickBot="1" x14ac:dyDescent="0.9">
      <c r="A28" s="15">
        <v>2011</v>
      </c>
      <c r="B28" s="14">
        <v>145.38126331947277</v>
      </c>
    </row>
    <row r="29" spans="1:5" ht="15.5" thickBot="1" x14ac:dyDescent="0.9">
      <c r="A29" s="15">
        <v>2012</v>
      </c>
      <c r="B29" s="14">
        <v>159.37993616194802</v>
      </c>
    </row>
    <row r="30" spans="1:5" ht="15.5" thickBot="1" x14ac:dyDescent="0.9">
      <c r="A30" s="15">
        <v>2013</v>
      </c>
      <c r="B30" s="14">
        <v>148.40828898687212</v>
      </c>
    </row>
    <row r="31" spans="1:5" ht="15.5" thickBot="1" x14ac:dyDescent="0.9">
      <c r="A31" s="15">
        <v>2014</v>
      </c>
      <c r="B31" s="14">
        <v>125.20565855474966</v>
      </c>
    </row>
    <row r="32" spans="1:5" ht="15.5" thickBot="1" x14ac:dyDescent="0.9">
      <c r="A32" s="15">
        <v>2015</v>
      </c>
      <c r="B32" s="14">
        <v>104.99512670598135</v>
      </c>
    </row>
    <row r="33" spans="1:2" ht="15.5" thickBot="1" x14ac:dyDescent="0.9">
      <c r="A33" s="15">
        <v>2016</v>
      </c>
      <c r="B33" s="14">
        <v>82.972767327199747</v>
      </c>
    </row>
    <row r="34" spans="1:2" ht="15.5" thickBot="1" x14ac:dyDescent="0.9">
      <c r="A34" s="15">
        <v>2017</v>
      </c>
      <c r="B34" s="14">
        <v>73.065081617616229</v>
      </c>
    </row>
    <row r="35" spans="1:2" ht="15.5" thickBot="1" x14ac:dyDescent="0.9">
      <c r="A35" s="15">
        <v>2018</v>
      </c>
      <c r="B35" s="14">
        <v>66.819323493250423</v>
      </c>
    </row>
    <row r="37" spans="1:2" x14ac:dyDescent="0.75">
      <c r="A37" t="s">
        <v>115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Diagrams</vt:lpstr>
      <vt:lpstr>ConsumerBills</vt:lpstr>
      <vt:lpstr>GDP growth</vt:lpstr>
      <vt:lpstr>Environmental</vt:lpstr>
      <vt:lpstr>Nuclear</vt:lpstr>
      <vt:lpstr>Generation Capacity</vt:lpstr>
      <vt:lpstr>Generation Capacity2</vt:lpstr>
      <vt:lpstr>CO2</vt:lpstr>
      <vt:lpstr>Investment</vt:lpstr>
      <vt:lpstr>ElecDemand</vt:lpstr>
      <vt:lpstr>Gas Demand+Import</vt:lpstr>
      <vt:lpstr>Commodity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Osenius-Eite</dc:creator>
  <cp:lastModifiedBy>Benjamin Osenius-Eite</cp:lastModifiedBy>
  <dcterms:created xsi:type="dcterms:W3CDTF">2015-06-05T18:17:20Z</dcterms:created>
  <dcterms:modified xsi:type="dcterms:W3CDTF">2020-07-31T05:17:38Z</dcterms:modified>
</cp:coreProperties>
</file>