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810" yWindow="0" windowWidth="15315" windowHeight="5850" firstSheet="7" activeTab="7"/>
  </bookViews>
  <sheets>
    <sheet name="301生产过程" sheetId="1" state="hidden" r:id="rId1"/>
    <sheet name="e20160602" sheetId="7" state="hidden" r:id="rId2"/>
    <sheet name="e20160703" sheetId="8" state="hidden" r:id="rId3"/>
    <sheet name="e20160904" sheetId="9" state="hidden" r:id="rId4"/>
    <sheet name="HCP" sheetId="11" state="hidden" r:id="rId5"/>
    <sheet name="303历史数据" sheetId="18" state="hidden" r:id="rId6"/>
    <sheet name="Sheet2" sheetId="20" state="hidden" r:id="rId7"/>
    <sheet name="IBI301 M1b3000L" sheetId="21" r:id="rId8"/>
  </sheets>
  <calcPr calcId="162913"/>
</workbook>
</file>

<file path=xl/calcChain.xml><?xml version="1.0" encoding="utf-8"?>
<calcChain xmlns="http://schemas.openxmlformats.org/spreadsheetml/2006/main">
  <c r="E135" i="21" l="1"/>
  <c r="E129" i="21"/>
  <c r="D182" i="21" l="1"/>
  <c r="F182" i="21"/>
  <c r="H182" i="21"/>
  <c r="I182" i="21"/>
  <c r="G182" i="21"/>
  <c r="G141" i="21"/>
  <c r="G135" i="21"/>
  <c r="G129" i="21"/>
  <c r="F153" i="21"/>
  <c r="G153" i="21"/>
  <c r="H153" i="21"/>
  <c r="I153" i="21"/>
  <c r="E153" i="21"/>
  <c r="I203" i="21" l="1"/>
  <c r="I195" i="21"/>
  <c r="I188" i="21" l="1"/>
  <c r="I201" i="21" s="1"/>
  <c r="I186" i="21"/>
  <c r="G195" i="21"/>
  <c r="H195" i="21"/>
  <c r="D195" i="21"/>
  <c r="E195" i="21"/>
  <c r="F195" i="21"/>
  <c r="I178" i="21" l="1"/>
  <c r="I177" i="21"/>
  <c r="I172" i="21"/>
  <c r="I165" i="21"/>
  <c r="I158" i="21"/>
  <c r="I157" i="21"/>
  <c r="I147" i="21" l="1"/>
  <c r="I143" i="21"/>
  <c r="I141" i="21"/>
  <c r="I135" i="21"/>
  <c r="I129" i="21"/>
  <c r="G113" i="21"/>
  <c r="H113" i="21"/>
  <c r="I113" i="21"/>
  <c r="H203" i="21" l="1"/>
  <c r="G178" i="21"/>
  <c r="H178" i="21"/>
  <c r="F178" i="21"/>
  <c r="H147" i="21"/>
  <c r="G158" i="21"/>
  <c r="H158" i="21"/>
  <c r="F158" i="21"/>
  <c r="E113" i="21"/>
  <c r="F205" i="21"/>
  <c r="D205" i="21"/>
  <c r="E205" i="21"/>
  <c r="H104" i="21"/>
  <c r="I104" i="21"/>
  <c r="I93" i="21"/>
  <c r="I49" i="21"/>
  <c r="I48" i="21"/>
  <c r="I103" i="21"/>
  <c r="I97" i="21"/>
  <c r="I74" i="21"/>
  <c r="I73" i="21"/>
  <c r="I20" i="21"/>
  <c r="I24" i="21"/>
  <c r="I23" i="21"/>
  <c r="I88" i="21" s="1"/>
  <c r="I92" i="21" s="1"/>
  <c r="I47" i="21"/>
  <c r="I72" i="21"/>
  <c r="I70" i="21"/>
  <c r="I45" i="21"/>
  <c r="I83" i="21"/>
  <c r="I78" i="21"/>
  <c r="I58" i="21"/>
  <c r="I54" i="21"/>
  <c r="I33" i="21"/>
  <c r="I28" i="21"/>
  <c r="I22" i="21"/>
  <c r="I6" i="21"/>
  <c r="I87" i="21" l="1"/>
  <c r="H188" i="21"/>
  <c r="H201" i="21" s="1"/>
  <c r="H186" i="21" l="1"/>
  <c r="H177" i="21" l="1"/>
  <c r="H172" i="21"/>
  <c r="H157" i="21" l="1"/>
  <c r="H143" i="21" l="1"/>
  <c r="H129" i="21"/>
  <c r="H135" i="21" s="1"/>
  <c r="H141" i="21" l="1"/>
  <c r="H103" i="21" l="1"/>
  <c r="H97" i="21"/>
  <c r="G93" i="21" l="1"/>
  <c r="H93" i="21"/>
  <c r="H83" i="21"/>
  <c r="H78" i="21"/>
  <c r="H74" i="21"/>
  <c r="H73" i="21"/>
  <c r="H72" i="21"/>
  <c r="H70" i="21"/>
  <c r="H58" i="21"/>
  <c r="H54" i="21"/>
  <c r="H49" i="21"/>
  <c r="H48" i="21"/>
  <c r="H47" i="21"/>
  <c r="H45" i="21"/>
  <c r="H33" i="21"/>
  <c r="H28" i="21"/>
  <c r="H20" i="21"/>
  <c r="H24" i="21"/>
  <c r="H23" i="21"/>
  <c r="H22" i="21"/>
  <c r="H87" i="21" l="1"/>
  <c r="H88" i="21"/>
  <c r="H92" i="21" s="1"/>
  <c r="G186" i="21"/>
  <c r="G203" i="21"/>
  <c r="F203" i="21"/>
  <c r="G188" i="21"/>
  <c r="G201" i="21" s="1"/>
  <c r="G177" i="21" l="1"/>
  <c r="G172" i="21"/>
  <c r="D201" i="21" l="1"/>
  <c r="D188" i="21"/>
  <c r="D186" i="21"/>
  <c r="D178" i="21"/>
  <c r="D177" i="21"/>
  <c r="D172" i="21"/>
  <c r="E157" i="21"/>
  <c r="D157" i="21"/>
  <c r="D143" i="21"/>
  <c r="G157" i="21" l="1"/>
  <c r="G147" i="21" l="1"/>
  <c r="E147" i="21"/>
  <c r="G143" i="21"/>
  <c r="G104" i="21" l="1"/>
  <c r="G103" i="21"/>
  <c r="G97" i="21"/>
  <c r="F85" i="21" l="1"/>
  <c r="G83" i="21"/>
  <c r="G78" i="21"/>
  <c r="G74" i="21"/>
  <c r="G73" i="21"/>
  <c r="G72" i="21"/>
  <c r="F73" i="21"/>
  <c r="F72" i="21"/>
  <c r="G45" i="21"/>
  <c r="F45" i="21"/>
  <c r="G70" i="21"/>
  <c r="F70" i="21"/>
  <c r="G58" i="21"/>
  <c r="G54" i="21"/>
  <c r="G49" i="21"/>
  <c r="G48" i="21"/>
  <c r="G47" i="21"/>
  <c r="G33" i="21"/>
  <c r="G28" i="21"/>
  <c r="G24" i="21"/>
  <c r="G23" i="21"/>
  <c r="G22" i="21"/>
  <c r="G20" i="21"/>
  <c r="G88" i="21" l="1"/>
  <c r="G92" i="21" s="1"/>
  <c r="G87" i="21"/>
  <c r="F188" i="21"/>
  <c r="F201" i="21" l="1"/>
  <c r="F186" i="21"/>
  <c r="F177" i="21" l="1"/>
  <c r="F172" i="21"/>
  <c r="F157" i="21" l="1"/>
  <c r="E143" i="21" l="1"/>
  <c r="F135" i="21"/>
  <c r="F145" i="21" s="1"/>
  <c r="F147" i="21" s="1"/>
  <c r="F129" i="21"/>
  <c r="F113" i="21" l="1"/>
  <c r="F104" i="21"/>
  <c r="F97" i="21"/>
  <c r="F117" i="21" l="1"/>
  <c r="F143" i="21" s="1"/>
  <c r="F103" i="21" l="1"/>
  <c r="F20" i="21" l="1"/>
  <c r="F93" i="21" l="1"/>
  <c r="F83" i="21" l="1"/>
  <c r="F78" i="21"/>
  <c r="F74" i="21"/>
  <c r="F58" i="21"/>
  <c r="F54" i="21"/>
  <c r="F49" i="21"/>
  <c r="F48" i="21"/>
  <c r="F47" i="21"/>
  <c r="F33" i="21"/>
  <c r="F28" i="21"/>
  <c r="F24" i="21"/>
  <c r="F23" i="21"/>
  <c r="F22" i="21"/>
  <c r="F88" i="21" l="1"/>
  <c r="F92" i="21" s="1"/>
  <c r="F87" i="21"/>
  <c r="E188" i="21"/>
  <c r="E201" i="21" l="1"/>
  <c r="E186" i="21"/>
  <c r="E181" i="21"/>
  <c r="E182" i="21" s="1"/>
  <c r="E177" i="21" l="1"/>
  <c r="E172" i="21"/>
  <c r="E163" i="21"/>
  <c r="E165" i="21" s="1"/>
  <c r="F163" i="21"/>
  <c r="F165" i="21" s="1"/>
  <c r="G163" i="21"/>
  <c r="G165" i="21" s="1"/>
  <c r="H163" i="21"/>
  <c r="H165" i="21" s="1"/>
  <c r="D163" i="21"/>
  <c r="D103" i="21" l="1"/>
  <c r="E104" i="21"/>
  <c r="E103" i="21"/>
  <c r="E97" i="21"/>
  <c r="E83" i="21"/>
  <c r="E78" i="21"/>
  <c r="E58" i="21"/>
  <c r="E54" i="21"/>
  <c r="E33" i="21"/>
  <c r="E28" i="21"/>
  <c r="D19" i="21"/>
  <c r="E49" i="21"/>
  <c r="E48" i="21"/>
  <c r="E93" i="21"/>
  <c r="E73" i="21"/>
  <c r="E23" i="21"/>
  <c r="E47" i="21"/>
  <c r="E40" i="21"/>
  <c r="E41" i="21" s="1"/>
  <c r="E45" i="21"/>
  <c r="E72" i="21"/>
  <c r="E18" i="21"/>
  <c r="E20" i="21" s="1"/>
  <c r="D112" i="21"/>
  <c r="D113" i="21" s="1"/>
  <c r="E109" i="21"/>
  <c r="F109" i="21"/>
  <c r="F136" i="21" s="1"/>
  <c r="G109" i="21"/>
  <c r="G142" i="21" s="1"/>
  <c r="H109" i="21"/>
  <c r="I109" i="21"/>
  <c r="D109" i="21"/>
  <c r="D120" i="21" s="1"/>
  <c r="D104" i="21"/>
  <c r="I142" i="21" l="1"/>
  <c r="I136" i="21"/>
  <c r="I130" i="21"/>
  <c r="I124" i="21"/>
  <c r="G136" i="21"/>
  <c r="G124" i="21"/>
  <c r="G130" i="21"/>
  <c r="G132" i="21"/>
  <c r="G120" i="21"/>
  <c r="G126" i="21"/>
  <c r="G138" i="21"/>
  <c r="E120" i="21"/>
  <c r="E132" i="21"/>
  <c r="E126" i="21"/>
  <c r="H124" i="21"/>
  <c r="H136" i="21"/>
  <c r="H130" i="21"/>
  <c r="H142" i="21"/>
  <c r="F130" i="21"/>
  <c r="F124" i="21"/>
  <c r="D126" i="21"/>
  <c r="D24" i="21"/>
  <c r="D21" i="21"/>
  <c r="D46" i="21"/>
  <c r="D49" i="21"/>
  <c r="D44" i="21"/>
  <c r="D93" i="21"/>
  <c r="D87" i="21"/>
  <c r="D54" i="21"/>
  <c r="D22" i="21"/>
  <c r="D29" i="21"/>
  <c r="D23" i="21" l="1"/>
  <c r="D88" i="21" s="1"/>
  <c r="D92" i="21" s="1"/>
  <c r="D53" i="21"/>
  <c r="D58" i="21" s="1"/>
  <c r="E24" i="21"/>
  <c r="D33" i="21"/>
  <c r="D35" i="21"/>
  <c r="D28" i="21"/>
  <c r="E22" i="21"/>
  <c r="E87" i="21" s="1"/>
  <c r="D48" i="21"/>
  <c r="D47" i="21"/>
  <c r="I11" i="21" l="1"/>
  <c r="I67" i="21" s="1"/>
  <c r="E11" i="21"/>
  <c r="E13" i="21" s="1"/>
  <c r="F11" i="21"/>
  <c r="G11" i="21"/>
  <c r="H11" i="21"/>
  <c r="D11" i="21"/>
  <c r="E203" i="21"/>
  <c r="D203" i="21"/>
  <c r="E158" i="21"/>
  <c r="D158" i="21"/>
  <c r="E178" i="21"/>
  <c r="D147" i="21"/>
  <c r="E136" i="21"/>
  <c r="E130" i="21"/>
  <c r="D130" i="21"/>
  <c r="E124" i="21"/>
  <c r="D124" i="21"/>
  <c r="D97" i="21"/>
  <c r="E74" i="21"/>
  <c r="E88" i="21" s="1"/>
  <c r="E92" i="21" s="1"/>
  <c r="H6" i="21"/>
  <c r="G6" i="21"/>
  <c r="F6" i="21"/>
  <c r="E6" i="21"/>
  <c r="D6" i="21"/>
  <c r="G13" i="21" l="1"/>
  <c r="G38" i="21"/>
  <c r="G63" i="21"/>
  <c r="H42" i="21"/>
  <c r="H67" i="21"/>
  <c r="H13" i="21"/>
  <c r="H38" i="21"/>
  <c r="H63" i="21"/>
  <c r="H16" i="21"/>
  <c r="I16" i="21"/>
  <c r="I42" i="21"/>
  <c r="D165" i="21"/>
  <c r="D153" i="21"/>
  <c r="G67" i="21"/>
  <c r="G42" i="21"/>
  <c r="G16" i="21"/>
  <c r="F63" i="21"/>
  <c r="F42" i="21"/>
  <c r="F16" i="21"/>
  <c r="F67" i="21"/>
  <c r="F38" i="21"/>
  <c r="F13" i="21"/>
  <c r="E38" i="21"/>
  <c r="E16" i="21"/>
  <c r="E42" i="21"/>
  <c r="E63" i="21"/>
  <c r="E67" i="21"/>
  <c r="D13" i="21"/>
  <c r="D42" i="21"/>
  <c r="D16" i="21"/>
  <c r="G226" i="20"/>
  <c r="G230" i="20" s="1"/>
  <c r="F226" i="20"/>
  <c r="F230" i="20" s="1"/>
  <c r="F224" i="20"/>
  <c r="F221" i="20"/>
  <c r="G218" i="20"/>
  <c r="F218" i="20"/>
  <c r="G215" i="20"/>
  <c r="F215" i="20"/>
  <c r="G209" i="20"/>
  <c r="G225" i="20" s="1"/>
  <c r="F209" i="20"/>
  <c r="G203" i="20"/>
  <c r="F203" i="20"/>
  <c r="G199" i="20"/>
  <c r="F199" i="20"/>
  <c r="G197" i="20"/>
  <c r="G208" i="20" s="1"/>
  <c r="F197" i="20"/>
  <c r="F208" i="20" s="1"/>
  <c r="G190" i="20"/>
  <c r="F190" i="20"/>
  <c r="G184" i="20"/>
  <c r="G196" i="20" s="1"/>
  <c r="F184" i="20"/>
  <c r="F196" i="20" s="1"/>
  <c r="H178" i="20"/>
  <c r="G178" i="20"/>
  <c r="F178" i="20"/>
  <c r="H175" i="20"/>
  <c r="G175" i="20"/>
  <c r="F175" i="20"/>
  <c r="H164" i="20"/>
  <c r="H183" i="20" s="1"/>
  <c r="G164" i="20"/>
  <c r="G183" i="20" s="1"/>
  <c r="F164" i="20"/>
  <c r="F183" i="20" s="1"/>
  <c r="H158" i="20"/>
  <c r="G158" i="20"/>
  <c r="F158" i="20"/>
  <c r="G157" i="20"/>
  <c r="F157" i="20"/>
  <c r="G156" i="20"/>
  <c r="F156" i="20"/>
  <c r="G152" i="20"/>
  <c r="F152" i="20"/>
  <c r="G148" i="20"/>
  <c r="F148" i="20"/>
  <c r="G145" i="20"/>
  <c r="F145" i="20"/>
  <c r="H141" i="20"/>
  <c r="G141" i="20"/>
  <c r="F141" i="20"/>
  <c r="H140" i="20"/>
  <c r="G140" i="20"/>
  <c r="F140" i="20"/>
  <c r="H136" i="20"/>
  <c r="G136" i="20"/>
  <c r="F136" i="20"/>
  <c r="H132" i="20"/>
  <c r="G132" i="20"/>
  <c r="F132" i="20"/>
  <c r="H129" i="20"/>
  <c r="G129" i="20"/>
  <c r="F129" i="20"/>
  <c r="H125" i="20"/>
  <c r="G125" i="20"/>
  <c r="F125" i="20"/>
  <c r="H124" i="20"/>
  <c r="G124" i="20"/>
  <c r="F124" i="20"/>
  <c r="H120" i="20"/>
  <c r="G120" i="20"/>
  <c r="F120" i="20"/>
  <c r="H116" i="20"/>
  <c r="G116" i="20"/>
  <c r="F116" i="20"/>
  <c r="H113" i="20"/>
  <c r="G113" i="20"/>
  <c r="F113" i="20"/>
  <c r="H104" i="20"/>
  <c r="G104" i="20"/>
  <c r="F104" i="20"/>
  <c r="H97" i="20"/>
  <c r="G97" i="20"/>
  <c r="F97" i="20"/>
  <c r="H94" i="20"/>
  <c r="H103" i="20" s="1"/>
  <c r="G94" i="20"/>
  <c r="G103" i="20" s="1"/>
  <c r="F94" i="20"/>
  <c r="F103" i="20" s="1"/>
  <c r="H88" i="20"/>
  <c r="G88" i="20"/>
  <c r="F88" i="20"/>
  <c r="H86" i="20"/>
  <c r="G86" i="20"/>
  <c r="F86" i="20"/>
  <c r="H82" i="20"/>
  <c r="G82" i="20"/>
  <c r="F82" i="20"/>
  <c r="H77" i="20"/>
  <c r="G77" i="20"/>
  <c r="F77" i="20"/>
  <c r="H76" i="20"/>
  <c r="G76" i="20"/>
  <c r="F76" i="20"/>
  <c r="H72" i="20"/>
  <c r="G72" i="20"/>
  <c r="F72" i="20"/>
  <c r="H69" i="20"/>
  <c r="G69" i="20"/>
  <c r="F69" i="20"/>
  <c r="H66" i="20"/>
  <c r="G66" i="20"/>
  <c r="F66" i="20"/>
  <c r="H62" i="20"/>
  <c r="G62" i="20"/>
  <c r="F62" i="20"/>
  <c r="H57" i="20"/>
  <c r="G57" i="20"/>
  <c r="F57" i="20"/>
  <c r="H56" i="20"/>
  <c r="G56" i="20"/>
  <c r="F56" i="20"/>
  <c r="H52" i="20"/>
  <c r="G52" i="20"/>
  <c r="F52" i="20"/>
  <c r="H49" i="20"/>
  <c r="G49" i="20"/>
  <c r="F49" i="20"/>
  <c r="H47" i="20"/>
  <c r="G47" i="20"/>
  <c r="F47" i="20"/>
  <c r="H41" i="20"/>
  <c r="G41" i="20"/>
  <c r="F41" i="20"/>
  <c r="H37" i="20"/>
  <c r="G37" i="20"/>
  <c r="F37" i="20"/>
  <c r="H32" i="20"/>
  <c r="G32" i="20"/>
  <c r="F32" i="20"/>
  <c r="H31" i="20"/>
  <c r="H46" i="20" s="1"/>
  <c r="G31" i="20"/>
  <c r="G46" i="20" s="1"/>
  <c r="F31" i="20"/>
  <c r="F46" i="20" s="1"/>
  <c r="H27" i="20"/>
  <c r="G27" i="20"/>
  <c r="F27" i="20"/>
  <c r="H24" i="20"/>
  <c r="G24" i="20"/>
  <c r="F24" i="20"/>
  <c r="H17" i="20"/>
  <c r="G17" i="20"/>
  <c r="F17" i="20"/>
  <c r="H16" i="20"/>
  <c r="G16" i="20"/>
  <c r="F16" i="20"/>
  <c r="H11" i="20"/>
  <c r="G11" i="20"/>
  <c r="F11" i="20"/>
  <c r="H9" i="20"/>
  <c r="G9" i="20"/>
  <c r="F9" i="20"/>
  <c r="H7" i="20"/>
  <c r="G7" i="20"/>
  <c r="F7" i="20"/>
  <c r="H5" i="20"/>
  <c r="G5" i="20"/>
  <c r="F5" i="20"/>
  <c r="H56" i="1"/>
  <c r="F225" i="20" l="1"/>
  <c r="G89" i="20"/>
  <c r="G93" i="20" s="1"/>
  <c r="G162" i="20"/>
  <c r="G163" i="20" s="1"/>
  <c r="H170" i="20"/>
  <c r="F89" i="20"/>
  <c r="F93" i="20" s="1"/>
  <c r="H89" i="20"/>
  <c r="H93" i="20" s="1"/>
  <c r="H162" i="20"/>
  <c r="H163" i="20" s="1"/>
  <c r="F162" i="20"/>
  <c r="F163" i="20" s="1"/>
  <c r="F170" i="20"/>
  <c r="G170" i="20"/>
  <c r="G228" i="20" l="1"/>
  <c r="F228" i="20"/>
  <c r="J175" i="1"/>
  <c r="I175" i="1"/>
  <c r="J178" i="1"/>
  <c r="J164" i="1" l="1"/>
  <c r="J158" i="1"/>
  <c r="G158" i="1"/>
  <c r="H158" i="1"/>
  <c r="I158" i="1"/>
  <c r="F158" i="1"/>
  <c r="J141" i="1"/>
  <c r="J140" i="1"/>
  <c r="J136" i="1"/>
  <c r="J132" i="1"/>
  <c r="J129" i="1"/>
  <c r="J170" i="1" l="1"/>
  <c r="J183" i="1"/>
  <c r="J125" i="1"/>
  <c r="J162" i="1" s="1"/>
  <c r="J163" i="1" s="1"/>
  <c r="J124" i="1"/>
  <c r="J120" i="1"/>
  <c r="J116" i="1"/>
  <c r="J113" i="1"/>
  <c r="J104" i="1" l="1"/>
  <c r="J94" i="1"/>
  <c r="J103" i="1" s="1"/>
  <c r="J77" i="1"/>
  <c r="J76" i="1"/>
  <c r="J97" i="1"/>
  <c r="J88" i="1"/>
  <c r="J86" i="1"/>
  <c r="J82" i="1"/>
  <c r="J72" i="1"/>
  <c r="J69" i="1"/>
  <c r="J57" i="1" l="1"/>
  <c r="J56" i="1"/>
  <c r="J66" i="1"/>
  <c r="J62" i="1"/>
  <c r="J52" i="1"/>
  <c r="J49" i="1"/>
  <c r="J47" i="1" l="1"/>
  <c r="J32" i="1"/>
  <c r="J31" i="1"/>
  <c r="J46" i="1" s="1"/>
  <c r="J41" i="1"/>
  <c r="J37" i="1"/>
  <c r="J27" i="1"/>
  <c r="J24" i="1"/>
  <c r="J17" i="1"/>
  <c r="J16" i="1"/>
  <c r="J9" i="1"/>
  <c r="J7" i="1"/>
  <c r="J5" i="1"/>
  <c r="J11" i="1"/>
  <c r="J89" i="1" l="1"/>
  <c r="J93" i="1" s="1"/>
  <c r="I226" i="1"/>
  <c r="I230" i="1" s="1"/>
  <c r="I218" i="1"/>
  <c r="I215" i="1"/>
  <c r="I209" i="1"/>
  <c r="I225" i="1" s="1"/>
  <c r="I208" i="1"/>
  <c r="I203" i="1"/>
  <c r="I199" i="1"/>
  <c r="I197" i="1"/>
  <c r="I190" i="1"/>
  <c r="I184" i="1"/>
  <c r="I196" i="1" s="1"/>
  <c r="I178" i="1"/>
  <c r="I164" i="1" l="1"/>
  <c r="I183" i="1" s="1"/>
  <c r="I157" i="1"/>
  <c r="I156" i="1"/>
  <c r="I152" i="1"/>
  <c r="I148" i="1"/>
  <c r="I145" i="1"/>
  <c r="I170" i="1" l="1"/>
  <c r="I141" i="1"/>
  <c r="I140" i="1"/>
  <c r="I136" i="1"/>
  <c r="I132" i="1"/>
  <c r="I129" i="1"/>
  <c r="I124" i="1"/>
  <c r="I125" i="1"/>
  <c r="I162" i="1" s="1"/>
  <c r="I163" i="1" s="1"/>
  <c r="I120" i="1"/>
  <c r="I116" i="1"/>
  <c r="I113" i="1"/>
  <c r="I104" i="1" l="1"/>
  <c r="I97" i="1"/>
  <c r="I94" i="1"/>
  <c r="I103" i="1" s="1"/>
  <c r="I88" i="1"/>
  <c r="I86" i="1"/>
  <c r="I82" i="1"/>
  <c r="I77" i="1"/>
  <c r="I76" i="1"/>
  <c r="I72" i="1"/>
  <c r="I69" i="1"/>
  <c r="I66" i="1"/>
  <c r="I62" i="1"/>
  <c r="I57" i="1"/>
  <c r="I56" i="1"/>
  <c r="I52" i="1"/>
  <c r="I49" i="1"/>
  <c r="I47" i="1" l="1"/>
  <c r="I32" i="1"/>
  <c r="I31" i="1"/>
  <c r="I46" i="1" s="1"/>
  <c r="I41" i="1"/>
  <c r="I37" i="1"/>
  <c r="I27" i="1"/>
  <c r="I24" i="1"/>
  <c r="I16" i="1"/>
  <c r="I5" i="1"/>
  <c r="I7" i="1"/>
  <c r="I9" i="1"/>
  <c r="I11" i="1"/>
  <c r="I17" i="1"/>
  <c r="I89" i="1" l="1"/>
  <c r="I93" i="1" s="1"/>
  <c r="I228" i="1" s="1"/>
  <c r="H226" i="1"/>
  <c r="H230" i="1" s="1"/>
  <c r="H224" i="1"/>
  <c r="H218" i="1"/>
  <c r="H221" i="1"/>
  <c r="H215" i="1"/>
  <c r="H209" i="1"/>
  <c r="H203" i="1"/>
  <c r="H199" i="1"/>
  <c r="H197" i="1"/>
  <c r="H208" i="1" s="1"/>
  <c r="H190" i="1"/>
  <c r="H184" i="1"/>
  <c r="H196" i="1" s="1"/>
  <c r="H178" i="1"/>
  <c r="H225" i="1" l="1"/>
  <c r="H175" i="1"/>
  <c r="H164" i="1" l="1"/>
  <c r="H157" i="1"/>
  <c r="H156" i="1"/>
  <c r="H152" i="1"/>
  <c r="H148" i="1"/>
  <c r="H145" i="1"/>
  <c r="H141" i="1"/>
  <c r="H140" i="1"/>
  <c r="H136" i="1"/>
  <c r="H132" i="1"/>
  <c r="H129" i="1"/>
  <c r="H125" i="1"/>
  <c r="H124" i="1"/>
  <c r="H120" i="1"/>
  <c r="H162" i="1" l="1"/>
  <c r="H163" i="1" s="1"/>
  <c r="H183" i="1"/>
  <c r="H170" i="1"/>
  <c r="H116" i="1"/>
  <c r="H113" i="1"/>
  <c r="H104" i="1"/>
  <c r="H97" i="1"/>
  <c r="H94" i="1"/>
  <c r="H103" i="1" s="1"/>
  <c r="H88" i="1"/>
  <c r="H86" i="1"/>
  <c r="H82" i="1" l="1"/>
  <c r="H77" i="1"/>
  <c r="H76" i="1"/>
  <c r="H72" i="1"/>
  <c r="H69" i="1"/>
  <c r="H57" i="1"/>
  <c r="H66" i="1"/>
  <c r="H62" i="1" l="1"/>
  <c r="H52" i="1"/>
  <c r="H49" i="1"/>
  <c r="H47" i="1"/>
  <c r="H41" i="1"/>
  <c r="H37" i="1"/>
  <c r="H32" i="1"/>
  <c r="H31" i="1"/>
  <c r="H27" i="1"/>
  <c r="H24" i="1"/>
  <c r="H17" i="1"/>
  <c r="H16" i="1"/>
  <c r="H11" i="1"/>
  <c r="H9" i="1"/>
  <c r="H7" i="1"/>
  <c r="H5" i="1"/>
  <c r="H46" i="1" l="1"/>
  <c r="H89" i="1"/>
  <c r="H93" i="1" s="1"/>
  <c r="H228" i="1" s="1"/>
  <c r="G226" i="1"/>
  <c r="G230" i="1" s="1"/>
  <c r="G224" i="1"/>
  <c r="G221" i="1"/>
  <c r="F218" i="1"/>
  <c r="G218" i="1"/>
  <c r="G215" i="1"/>
  <c r="G209" i="1"/>
  <c r="G225" i="1" s="1"/>
  <c r="G203" i="1"/>
  <c r="G199" i="1"/>
  <c r="G197" i="1"/>
  <c r="G208" i="1" s="1"/>
  <c r="G190" i="1"/>
  <c r="G184" i="1"/>
  <c r="G196" i="1" s="1"/>
  <c r="G178" i="1"/>
  <c r="G175" i="1"/>
  <c r="G164" i="1" l="1"/>
  <c r="G157" i="1"/>
  <c r="G156" i="1"/>
  <c r="G152" i="1"/>
  <c r="G148" i="1"/>
  <c r="G145" i="1"/>
  <c r="G183" i="1" l="1"/>
  <c r="G170" i="1"/>
  <c r="G141" i="1"/>
  <c r="G140" i="1"/>
  <c r="G136" i="1"/>
  <c r="G132" i="1"/>
  <c r="G129" i="1"/>
  <c r="G125" i="1" l="1"/>
  <c r="G162" i="1" s="1"/>
  <c r="G163" i="1" s="1"/>
  <c r="G124" i="1"/>
  <c r="G120" i="1"/>
  <c r="G116" i="1"/>
  <c r="G113" i="1"/>
  <c r="G104" i="1" l="1"/>
  <c r="G94" i="1"/>
  <c r="G103" i="1" s="1"/>
  <c r="G97" i="1"/>
  <c r="G88" i="1"/>
  <c r="G77" i="1"/>
  <c r="G76" i="1"/>
  <c r="G86" i="1"/>
  <c r="G82" i="1"/>
  <c r="G72" i="1"/>
  <c r="G69" i="1"/>
  <c r="G66" i="1" l="1"/>
  <c r="G62" i="1"/>
  <c r="G57" i="1"/>
  <c r="G56" i="1"/>
  <c r="G52" i="1"/>
  <c r="G49" i="1"/>
  <c r="G47" i="1"/>
  <c r="G41" i="1"/>
  <c r="G37" i="1"/>
  <c r="G32" i="1"/>
  <c r="G31" i="1"/>
  <c r="G46" i="1" s="1"/>
  <c r="G27" i="1"/>
  <c r="G24" i="1"/>
  <c r="G17" i="1"/>
  <c r="G16" i="1"/>
  <c r="G11" i="1"/>
  <c r="G9" i="1"/>
  <c r="G7" i="1"/>
  <c r="G5" i="1"/>
  <c r="G228" i="1" l="1"/>
  <c r="G89" i="1"/>
  <c r="G93" i="1" s="1"/>
  <c r="F224" i="1"/>
  <c r="F226" i="1"/>
  <c r="F230" i="1" s="1"/>
  <c r="F215" i="1"/>
  <c r="F199" i="1" l="1"/>
  <c r="F209" i="1"/>
  <c r="F225" i="1" s="1"/>
  <c r="F203" i="1"/>
  <c r="F197" i="1"/>
  <c r="F208" i="1" s="1"/>
  <c r="F184" i="1"/>
  <c r="F196" i="1" s="1"/>
  <c r="F178" i="1"/>
  <c r="F175" i="1"/>
  <c r="F164" i="1"/>
  <c r="F170" i="1" s="1"/>
  <c r="F180" i="1"/>
  <c r="F190" i="1"/>
  <c r="F183" i="1" l="1"/>
  <c r="F157" i="1"/>
  <c r="F156" i="1"/>
  <c r="F152" i="1"/>
  <c r="F148" i="1"/>
  <c r="F145" i="1"/>
  <c r="F132" i="1" l="1"/>
  <c r="F141" i="1"/>
  <c r="F140" i="1"/>
  <c r="F136" i="1"/>
  <c r="F129" i="1"/>
  <c r="F124" i="1" l="1"/>
  <c r="F125" i="1"/>
  <c r="F162" i="1" s="1"/>
  <c r="F163" i="1" s="1"/>
  <c r="F97" i="1"/>
  <c r="F104" i="1"/>
  <c r="F94" i="1"/>
  <c r="F103" i="1" s="1"/>
  <c r="F88" i="1"/>
  <c r="F86" i="1"/>
  <c r="F82" i="1"/>
  <c r="F77" i="1"/>
  <c r="F76" i="1"/>
  <c r="F72" i="1"/>
  <c r="F69" i="1"/>
  <c r="F120" i="1"/>
  <c r="F113" i="1"/>
  <c r="F116" i="1"/>
  <c r="F66" i="1" l="1"/>
  <c r="F56" i="1"/>
  <c r="F62" i="1"/>
  <c r="F57" i="1"/>
  <c r="F52" i="1"/>
  <c r="F49" i="1"/>
  <c r="F47" i="1" l="1"/>
  <c r="F41" i="1"/>
  <c r="F37" i="1"/>
  <c r="F32" i="1"/>
  <c r="F17" i="1"/>
  <c r="F16" i="1"/>
  <c r="F31" i="1"/>
  <c r="F46" i="1" s="1"/>
  <c r="F27" i="1"/>
  <c r="F24" i="1"/>
  <c r="F89" i="1" l="1"/>
  <c r="F93" i="1" s="1"/>
  <c r="F228" i="1" s="1"/>
  <c r="F11" i="1"/>
  <c r="F9" i="1"/>
  <c r="F7" i="1"/>
  <c r="F5" i="1"/>
  <c r="F82" i="18" l="1"/>
  <c r="F74" i="18"/>
  <c r="F59" i="18"/>
  <c r="F44" i="18"/>
  <c r="G34" i="18"/>
  <c r="F34" i="18"/>
  <c r="G23" i="18"/>
  <c r="F23" i="18"/>
  <c r="I20" i="18"/>
  <c r="H20" i="18"/>
  <c r="G9" i="18"/>
  <c r="G20" i="18" s="1"/>
  <c r="F9" i="18"/>
  <c r="F20" i="18" s="1"/>
  <c r="N38" i="9" l="1"/>
  <c r="N3" i="9"/>
  <c r="N2" i="9"/>
  <c r="N4" i="9" s="1"/>
  <c r="M24" i="9"/>
  <c r="M5" i="9"/>
  <c r="M2" i="9"/>
  <c r="M4" i="9" s="1"/>
  <c r="M25" i="9" l="1"/>
  <c r="G25" i="9" l="1"/>
  <c r="L24" i="9"/>
  <c r="K24" i="9"/>
  <c r="J24" i="9"/>
  <c r="I24" i="9"/>
  <c r="H24" i="9"/>
  <c r="L5" i="9"/>
  <c r="L4" i="9"/>
  <c r="K4" i="9"/>
  <c r="K5" i="9" s="1"/>
  <c r="J4" i="9"/>
  <c r="J5" i="9" s="1"/>
  <c r="I4" i="9"/>
  <c r="I5" i="9" s="1"/>
  <c r="H4" i="9"/>
  <c r="H5" i="9" s="1"/>
  <c r="M39" i="8"/>
  <c r="L39" i="8"/>
  <c r="I39" i="8"/>
  <c r="H39" i="8"/>
  <c r="G39" i="8"/>
  <c r="F39" i="8"/>
  <c r="E39" i="8"/>
  <c r="D39" i="8"/>
  <c r="C39" i="8"/>
  <c r="M25" i="8"/>
  <c r="L25" i="8"/>
  <c r="K25" i="8"/>
  <c r="J25" i="8"/>
  <c r="I25" i="8"/>
  <c r="H25" i="8"/>
  <c r="G25" i="8"/>
  <c r="F25" i="8"/>
  <c r="E25" i="8"/>
  <c r="D25" i="8"/>
  <c r="C25" i="8"/>
  <c r="B24" i="8"/>
  <c r="B22" i="8"/>
  <c r="B4" i="8"/>
  <c r="M39" i="7"/>
  <c r="L39" i="7"/>
  <c r="K39" i="7"/>
  <c r="J39" i="7"/>
  <c r="I39" i="7"/>
  <c r="H39" i="7"/>
  <c r="G39" i="7"/>
  <c r="E39" i="7"/>
  <c r="D39" i="7"/>
  <c r="C39" i="7"/>
  <c r="N39" i="7" s="1"/>
  <c r="L25" i="7"/>
  <c r="K24" i="7"/>
  <c r="J24" i="7"/>
  <c r="J25" i="7" s="1"/>
  <c r="I24" i="7"/>
  <c r="I25" i="7" s="1"/>
  <c r="H24" i="7"/>
  <c r="H25" i="7" s="1"/>
  <c r="G24" i="7"/>
  <c r="G25" i="7" s="1"/>
  <c r="D24" i="7"/>
  <c r="D25" i="7" s="1"/>
  <c r="C24" i="7"/>
  <c r="C25" i="7" s="1"/>
  <c r="B22" i="7"/>
  <c r="B24" i="7" s="1"/>
  <c r="K4" i="7"/>
  <c r="B4" i="7"/>
  <c r="K25" i="7" l="1"/>
  <c r="B25" i="8"/>
  <c r="O25" i="8" s="1"/>
  <c r="I25" i="9"/>
  <c r="K25" i="9"/>
  <c r="B25" i="7"/>
  <c r="N25" i="7" s="1"/>
  <c r="H25" i="9"/>
  <c r="J25" i="9"/>
  <c r="L25" i="9"/>
</calcChain>
</file>

<file path=xl/comments1.xml><?xml version="1.0" encoding="utf-8"?>
<comments xmlns="http://schemas.openxmlformats.org/spreadsheetml/2006/main">
  <authors>
    <author>作者</author>
  </authors>
  <commentList>
    <comment ref="G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样品pH调节后的浓度，加入碱液量大概是10%</t>
        </r>
      </text>
    </comment>
    <comment ref="F10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第二天取样1.3L</t>
        </r>
      </text>
    </comment>
    <comment ref="H18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288ml</t>
        </r>
      </text>
    </comment>
    <comment ref="G20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过滤前77.0</t>
        </r>
      </text>
    </comment>
    <comment ref="H20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滤前82.9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7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按照阳离子收集下来共200.2g，但是按照批记录设计，由于存在小数进位，故为200.5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18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288ml</t>
        </r>
      </text>
    </comment>
    <comment ref="F20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滤前82.9</t>
        </r>
      </text>
    </comment>
  </commentList>
</comments>
</file>

<file path=xl/sharedStrings.xml><?xml version="1.0" encoding="utf-8"?>
<sst xmlns="http://schemas.openxmlformats.org/spreadsheetml/2006/main" count="2375" uniqueCount="637">
  <si>
    <t>units</t>
    <phoneticPr fontId="2" type="noConversion"/>
  </si>
  <si>
    <t>L</t>
    <phoneticPr fontId="2" type="noConversion"/>
  </si>
  <si>
    <t>titer</t>
    <phoneticPr fontId="2" type="noConversion"/>
  </si>
  <si>
    <t>mg/ml</t>
    <phoneticPr fontId="2" type="noConversion"/>
  </si>
  <si>
    <t>L</t>
    <phoneticPr fontId="2" type="noConversion"/>
  </si>
  <si>
    <t>mg/ml</t>
    <phoneticPr fontId="2" type="noConversion"/>
  </si>
  <si>
    <t>%</t>
    <phoneticPr fontId="2" type="noConversion"/>
  </si>
  <si>
    <t>AC</t>
    <phoneticPr fontId="2" type="noConversion"/>
  </si>
  <si>
    <t>m-1</t>
    <phoneticPr fontId="2" type="noConversion"/>
  </si>
  <si>
    <t>AS</t>
    <phoneticPr fontId="2" type="noConversion"/>
  </si>
  <si>
    <t>height</t>
    <phoneticPr fontId="2" type="noConversion"/>
  </si>
  <si>
    <t>cm</t>
    <phoneticPr fontId="2" type="noConversion"/>
  </si>
  <si>
    <t>25±2</t>
    <phoneticPr fontId="2" type="noConversion"/>
  </si>
  <si>
    <t>CV</t>
    <phoneticPr fontId="2" type="noConversion"/>
  </si>
  <si>
    <t>L</t>
    <phoneticPr fontId="2" type="noConversion"/>
  </si>
  <si>
    <t>AC1</t>
    <phoneticPr fontId="2" type="noConversion"/>
  </si>
  <si>
    <t>mg/ml</t>
    <phoneticPr fontId="2" type="noConversion"/>
  </si>
  <si>
    <t>AC2</t>
    <phoneticPr fontId="2" type="noConversion"/>
  </si>
  <si>
    <t>CEX</t>
    <phoneticPr fontId="2" type="noConversion"/>
  </si>
  <si>
    <t>%</t>
    <phoneticPr fontId="2" type="noConversion"/>
  </si>
  <si>
    <t>kg</t>
    <phoneticPr fontId="2" type="noConversion"/>
  </si>
  <si>
    <t>min</t>
    <phoneticPr fontId="2" type="noConversion"/>
  </si>
  <si>
    <t>AS</t>
    <phoneticPr fontId="2" type="noConversion"/>
  </si>
  <si>
    <t>Height</t>
    <phoneticPr fontId="2" type="noConversion"/>
  </si>
  <si>
    <t>cm</t>
    <phoneticPr fontId="2" type="noConversion"/>
  </si>
  <si>
    <t>LMH/bar</t>
    <phoneticPr fontId="2" type="noConversion"/>
  </si>
  <si>
    <t>TMP</t>
    <phoneticPr fontId="2" type="noConversion"/>
  </si>
  <si>
    <t>bar</t>
    <phoneticPr fontId="2" type="noConversion"/>
  </si>
  <si>
    <t>工艺步骤</t>
    <phoneticPr fontId="8" type="noConversion"/>
  </si>
  <si>
    <t>澄清过滤</t>
    <phoneticPr fontId="8" type="noConversion"/>
  </si>
  <si>
    <t>亲和</t>
    <phoneticPr fontId="8" type="noConversion"/>
  </si>
  <si>
    <t>低pH</t>
    <phoneticPr fontId="8" type="noConversion"/>
  </si>
  <si>
    <t>CA+ADF</t>
    <phoneticPr fontId="8" type="noConversion"/>
  </si>
  <si>
    <t>阳离子</t>
    <phoneticPr fontId="8" type="noConversion"/>
  </si>
  <si>
    <t>疏水</t>
    <phoneticPr fontId="8" type="noConversion"/>
  </si>
  <si>
    <t>除病毒过滤</t>
    <phoneticPr fontId="8" type="noConversion"/>
  </si>
  <si>
    <t>超滤</t>
    <phoneticPr fontId="8" type="noConversion"/>
  </si>
  <si>
    <t>原液</t>
    <phoneticPr fontId="8" type="noConversion"/>
  </si>
  <si>
    <t>上样蛋白浓度(g/L)</t>
    <phoneticPr fontId="8" type="noConversion"/>
  </si>
  <si>
    <t>/</t>
  </si>
  <si>
    <t>上样总液量(L)</t>
    <phoneticPr fontId="8" type="noConversion"/>
  </si>
  <si>
    <t>上样蛋白量(g)</t>
    <phoneticPr fontId="8" type="noConversion"/>
  </si>
  <si>
    <r>
      <t>上样蛋白载量（g/L或g/m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或L/m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scheme val="minor"/>
      </rPr>
      <t>）</t>
    </r>
    <phoneticPr fontId="8" type="noConversion"/>
  </si>
  <si>
    <t>≤110</t>
    <phoneticPr fontId="8" type="noConversion"/>
  </si>
  <si>
    <t>上样前WFI冲洗体积（CV）</t>
    <phoneticPr fontId="8" type="noConversion"/>
  </si>
  <si>
    <t>/</t>
    <phoneticPr fontId="8" type="noConversion"/>
  </si>
  <si>
    <t>上样前碱冲洗体积（CV）</t>
    <phoneticPr fontId="8" type="noConversion"/>
  </si>
  <si>
    <t>上样前平衡体积（CV）</t>
    <phoneticPr fontId="8" type="noConversion"/>
  </si>
  <si>
    <t>平衡pH</t>
    <phoneticPr fontId="8" type="noConversion"/>
  </si>
  <si>
    <t>平衡电导（mS/cm）</t>
    <phoneticPr fontId="8" type="noConversion"/>
  </si>
  <si>
    <t>上样流速(cm/h)</t>
    <phoneticPr fontId="8" type="noConversion"/>
  </si>
  <si>
    <t>18L/min</t>
    <phoneticPr fontId="8" type="noConversion"/>
  </si>
  <si>
    <t>上样体积（L）</t>
    <phoneticPr fontId="8" type="noConversion"/>
  </si>
  <si>
    <t>上样电导（mS/cm）</t>
    <phoneticPr fontId="8" type="noConversion"/>
  </si>
  <si>
    <t>上样pH</t>
    <phoneticPr fontId="8" type="noConversion"/>
  </si>
  <si>
    <t>冲洗流速(cm/h)</t>
    <phoneticPr fontId="8" type="noConversion"/>
  </si>
  <si>
    <t>冲洗体积（CV）</t>
    <phoneticPr fontId="8" type="noConversion"/>
  </si>
  <si>
    <t>冲洗pH</t>
    <phoneticPr fontId="8" type="noConversion"/>
  </si>
  <si>
    <t>冲洗电导（mS/cm）</t>
    <phoneticPr fontId="8" type="noConversion"/>
  </si>
  <si>
    <t>洗脱流速(cm/h)</t>
    <phoneticPr fontId="8" type="noConversion"/>
  </si>
  <si>
    <t>洗脱pH</t>
    <phoneticPr fontId="8" type="noConversion"/>
  </si>
  <si>
    <t>洗脱电导（mS/cm）</t>
    <phoneticPr fontId="8" type="noConversion"/>
  </si>
  <si>
    <t>收集液量(L)</t>
    <phoneticPr fontId="8" type="noConversion"/>
  </si>
  <si>
    <t>收集蛋白浓度(mg/ml)</t>
    <phoneticPr fontId="8" type="noConversion"/>
  </si>
  <si>
    <t>收集总蛋白量(g)</t>
    <phoneticPr fontId="8" type="noConversion"/>
  </si>
  <si>
    <t>对上步收率（%）</t>
    <phoneticPr fontId="8" type="noConversion"/>
  </si>
  <si>
    <t>/</t>
    <phoneticPr fontId="8" type="noConversion"/>
  </si>
  <si>
    <t>收集起始紫外（mAU）</t>
    <phoneticPr fontId="8" type="noConversion"/>
  </si>
  <si>
    <t>收集终止紫外（mAU）</t>
    <phoneticPr fontId="8" type="noConversion"/>
  </si>
  <si>
    <t>柱效</t>
    <phoneticPr fontId="8" type="noConversion"/>
  </si>
  <si>
    <t>对称性</t>
    <phoneticPr fontId="8" type="noConversion"/>
  </si>
  <si>
    <t>再生流速(cm/h)</t>
    <phoneticPr fontId="8" type="noConversion"/>
  </si>
  <si>
    <t>再生体积（CV）</t>
    <phoneticPr fontId="8" type="noConversion"/>
  </si>
  <si>
    <t>第一级压力（psi）</t>
    <phoneticPr fontId="8" type="noConversion"/>
  </si>
  <si>
    <t>22~40</t>
    <phoneticPr fontId="8" type="noConversion"/>
  </si>
  <si>
    <t>22~51</t>
    <phoneticPr fontId="8" type="noConversion"/>
  </si>
  <si>
    <t>TMP：0.9bar</t>
    <phoneticPr fontId="8" type="noConversion"/>
  </si>
  <si>
    <t>第二级压力（psi）</t>
    <phoneticPr fontId="8" type="noConversion"/>
  </si>
  <si>
    <t>第三级压力（psi）</t>
    <phoneticPr fontId="8" type="noConversion"/>
  </si>
  <si>
    <t>/</t>
    <phoneticPr fontId="8" type="noConversion"/>
  </si>
  <si>
    <t>温度</t>
    <phoneticPr fontId="8" type="noConversion"/>
  </si>
  <si>
    <t>取样量（ml）</t>
    <phoneticPr fontId="8" type="noConversion"/>
  </si>
  <si>
    <t xml:space="preserve"> 搅拌速度( rpm)</t>
    <phoneticPr fontId="8" type="noConversion"/>
  </si>
  <si>
    <t>备注</t>
    <phoneticPr fontId="8" type="noConversion"/>
  </si>
  <si>
    <t>中间取样量</t>
    <phoneticPr fontId="13" type="noConversion"/>
  </si>
  <si>
    <t>内毒素（EU）</t>
    <phoneticPr fontId="8" type="noConversion"/>
  </si>
  <si>
    <t>＜0.1</t>
    <phoneticPr fontId="8" type="noConversion"/>
  </si>
  <si>
    <t>SEC</t>
    <phoneticPr fontId="8" type="noConversion"/>
  </si>
  <si>
    <t>工艺步骤</t>
    <phoneticPr fontId="8" type="noConversion"/>
  </si>
  <si>
    <t>澄清过滤</t>
    <phoneticPr fontId="8" type="noConversion"/>
  </si>
  <si>
    <t>亲和</t>
    <phoneticPr fontId="8" type="noConversion"/>
  </si>
  <si>
    <t>低pH</t>
    <phoneticPr fontId="8" type="noConversion"/>
  </si>
  <si>
    <t>CA+ADF</t>
    <phoneticPr fontId="8" type="noConversion"/>
  </si>
  <si>
    <t>阳离子</t>
    <phoneticPr fontId="8" type="noConversion"/>
  </si>
  <si>
    <t>疏水</t>
    <phoneticPr fontId="8" type="noConversion"/>
  </si>
  <si>
    <t>除病毒过滤</t>
    <phoneticPr fontId="8" type="noConversion"/>
  </si>
  <si>
    <t>超滤</t>
    <phoneticPr fontId="8" type="noConversion"/>
  </si>
  <si>
    <t>原液</t>
    <phoneticPr fontId="8" type="noConversion"/>
  </si>
  <si>
    <t>上样蛋白浓度(g/L)</t>
    <phoneticPr fontId="8" type="noConversion"/>
  </si>
  <si>
    <t>/</t>
    <phoneticPr fontId="8" type="noConversion"/>
  </si>
  <si>
    <t>上样总液量(L)</t>
    <phoneticPr fontId="8" type="noConversion"/>
  </si>
  <si>
    <t>上样蛋白量(g)</t>
    <phoneticPr fontId="8" type="noConversion"/>
  </si>
  <si>
    <r>
      <t>上样蛋白载量（g/L或g/m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或L/m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scheme val="minor"/>
      </rPr>
      <t>）</t>
    </r>
    <phoneticPr fontId="8" type="noConversion"/>
  </si>
  <si>
    <t>≤110</t>
    <phoneticPr fontId="8" type="noConversion"/>
  </si>
  <si>
    <t>上样前WFI冲洗体积（CV）</t>
    <phoneticPr fontId="8" type="noConversion"/>
  </si>
  <si>
    <t>上样前碱冲洗体积（CV）</t>
    <phoneticPr fontId="8" type="noConversion"/>
  </si>
  <si>
    <t>上样前平衡体积（CV）</t>
    <phoneticPr fontId="8" type="noConversion"/>
  </si>
  <si>
    <t>平衡pH</t>
    <phoneticPr fontId="8" type="noConversion"/>
  </si>
  <si>
    <t>平衡电导（mS/cm）</t>
    <phoneticPr fontId="8" type="noConversion"/>
  </si>
  <si>
    <t>上样流速(cm/h)</t>
    <phoneticPr fontId="8" type="noConversion"/>
  </si>
  <si>
    <t>330 L/h</t>
    <phoneticPr fontId="8" type="noConversion"/>
  </si>
  <si>
    <t>18L/min</t>
    <phoneticPr fontId="8" type="noConversion"/>
  </si>
  <si>
    <t>上样体积（L）</t>
    <phoneticPr fontId="8" type="noConversion"/>
  </si>
  <si>
    <t>上样电导（mS/cm）</t>
    <phoneticPr fontId="8" type="noConversion"/>
  </si>
  <si>
    <t>上样pH</t>
    <phoneticPr fontId="8" type="noConversion"/>
  </si>
  <si>
    <t>冲洗流速(cm/h)</t>
    <phoneticPr fontId="8" type="noConversion"/>
  </si>
  <si>
    <t>冲洗体积（CV）</t>
    <phoneticPr fontId="8" type="noConversion"/>
  </si>
  <si>
    <t>冲洗pH</t>
    <phoneticPr fontId="8" type="noConversion"/>
  </si>
  <si>
    <t>冲洗电导（mS/cm）</t>
    <phoneticPr fontId="8" type="noConversion"/>
  </si>
  <si>
    <t>洗脱流速(cm/h)</t>
    <phoneticPr fontId="8" type="noConversion"/>
  </si>
  <si>
    <t>洗脱pH</t>
    <phoneticPr fontId="8" type="noConversion"/>
  </si>
  <si>
    <t>洗脱电导（mS/cm）</t>
    <phoneticPr fontId="8" type="noConversion"/>
  </si>
  <si>
    <t>收集液量(L)</t>
    <phoneticPr fontId="8" type="noConversion"/>
  </si>
  <si>
    <t>收集蛋白浓度(mg/ml)</t>
    <phoneticPr fontId="8" type="noConversion"/>
  </si>
  <si>
    <t>收集总蛋白量(g)</t>
    <phoneticPr fontId="8" type="noConversion"/>
  </si>
  <si>
    <t>对上步收率（%）</t>
    <phoneticPr fontId="8" type="noConversion"/>
  </si>
  <si>
    <t>收集起始紫外（mAU）</t>
    <phoneticPr fontId="8" type="noConversion"/>
  </si>
  <si>
    <t>收集终止紫外（mAU）</t>
    <phoneticPr fontId="8" type="noConversion"/>
  </si>
  <si>
    <t>柱效</t>
    <phoneticPr fontId="8" type="noConversion"/>
  </si>
  <si>
    <t>对称性</t>
    <phoneticPr fontId="8" type="noConversion"/>
  </si>
  <si>
    <t xml:space="preserve"> </t>
    <phoneticPr fontId="8" type="noConversion"/>
  </si>
  <si>
    <t>再生流速(cm/h)</t>
    <phoneticPr fontId="8" type="noConversion"/>
  </si>
  <si>
    <t>再生体积（CV）</t>
    <phoneticPr fontId="8" type="noConversion"/>
  </si>
  <si>
    <t>TMP：0.9bar</t>
    <phoneticPr fontId="8" type="noConversion"/>
  </si>
  <si>
    <t>第一级压力（psi）</t>
    <phoneticPr fontId="8" type="noConversion"/>
  </si>
  <si>
    <t>20~54</t>
    <phoneticPr fontId="8" type="noConversion"/>
  </si>
  <si>
    <t>22~56</t>
    <phoneticPr fontId="8" type="noConversion"/>
  </si>
  <si>
    <t>25~55</t>
    <phoneticPr fontId="8" type="noConversion"/>
  </si>
  <si>
    <t>第二级压力（psi）</t>
    <phoneticPr fontId="8" type="noConversion"/>
  </si>
  <si>
    <t>22~56（3.9bar，触发压力报警）</t>
    <phoneticPr fontId="8" type="noConversion"/>
  </si>
  <si>
    <t>25~55（3.8bar，触发压力报警两次）</t>
    <phoneticPr fontId="8" type="noConversion"/>
  </si>
  <si>
    <t>第三级压力（psi）</t>
    <phoneticPr fontId="8" type="noConversion"/>
  </si>
  <si>
    <t>温度</t>
    <phoneticPr fontId="8" type="noConversion"/>
  </si>
  <si>
    <t>取样量（ml）</t>
    <phoneticPr fontId="8" type="noConversion"/>
  </si>
  <si>
    <t xml:space="preserve"> 搅拌速度( rpm)</t>
    <phoneticPr fontId="8" type="noConversion"/>
  </si>
  <si>
    <t>备注</t>
    <phoneticPr fontId="8" type="noConversion"/>
  </si>
  <si>
    <t>中转100LMixer中收集液量为84.7，检测蛋白浓度为11.1，蛋白含量为940.2，收率为942.5/940.2=100.2%</t>
    <phoneticPr fontId="8" type="noConversion"/>
  </si>
  <si>
    <t>中间取样量（mg）</t>
    <phoneticPr fontId="13" type="noConversion"/>
  </si>
  <si>
    <t>疏水混合后MS取样7L</t>
    <phoneticPr fontId="8" type="noConversion"/>
  </si>
  <si>
    <t>内毒素（EU）</t>
    <phoneticPr fontId="8" type="noConversion"/>
  </si>
  <si>
    <t>SEC</t>
    <phoneticPr fontId="8" type="noConversion"/>
  </si>
  <si>
    <t>工艺步骤</t>
    <phoneticPr fontId="8" type="noConversion"/>
  </si>
  <si>
    <t>澄清过滤</t>
    <phoneticPr fontId="8" type="noConversion"/>
  </si>
  <si>
    <t>亲和</t>
    <phoneticPr fontId="8" type="noConversion"/>
  </si>
  <si>
    <t>低pH</t>
    <phoneticPr fontId="8" type="noConversion"/>
  </si>
  <si>
    <t>CA+ADF</t>
    <phoneticPr fontId="8" type="noConversion"/>
  </si>
  <si>
    <t>阳离子</t>
    <phoneticPr fontId="8" type="noConversion"/>
  </si>
  <si>
    <t>疏水</t>
    <phoneticPr fontId="8" type="noConversion"/>
  </si>
  <si>
    <t>除病毒过滤</t>
    <phoneticPr fontId="8" type="noConversion"/>
  </si>
  <si>
    <t>超滤</t>
    <phoneticPr fontId="8" type="noConversion"/>
  </si>
  <si>
    <t>原液</t>
    <phoneticPr fontId="8" type="noConversion"/>
  </si>
  <si>
    <t>上样蛋白浓度(g/L)</t>
    <phoneticPr fontId="8" type="noConversion"/>
  </si>
  <si>
    <t>N/A</t>
    <phoneticPr fontId="8" type="noConversion"/>
  </si>
  <si>
    <t>上样总液量(L)</t>
    <phoneticPr fontId="8" type="noConversion"/>
  </si>
  <si>
    <t>上样蛋白量(g)</t>
    <phoneticPr fontId="8" type="noConversion"/>
  </si>
  <si>
    <r>
      <t>上样蛋白载量（g/L或g/m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或L/m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scheme val="minor"/>
      </rPr>
      <t>）</t>
    </r>
    <phoneticPr fontId="8" type="noConversion"/>
  </si>
  <si>
    <t>上样前WFI冲洗体积（CV）</t>
    <phoneticPr fontId="8" type="noConversion"/>
  </si>
  <si>
    <t xml:space="preserve">341.7 L </t>
    <phoneticPr fontId="8" type="noConversion"/>
  </si>
  <si>
    <t>上样前碱冲洗体积（CV）</t>
    <phoneticPr fontId="8" type="noConversion"/>
  </si>
  <si>
    <t>上样前平衡体积（CV）</t>
    <phoneticPr fontId="8" type="noConversion"/>
  </si>
  <si>
    <t xml:space="preserve">90 L </t>
    <phoneticPr fontId="8" type="noConversion"/>
  </si>
  <si>
    <t>平衡pH</t>
    <phoneticPr fontId="8" type="noConversion"/>
  </si>
  <si>
    <t>平衡电导（mS/cm）</t>
    <phoneticPr fontId="8" type="noConversion"/>
  </si>
  <si>
    <t>上样流速(cm/h)</t>
    <phoneticPr fontId="8" type="noConversion"/>
  </si>
  <si>
    <t>上样体积（L）</t>
    <phoneticPr fontId="8" type="noConversion"/>
  </si>
  <si>
    <t xml:space="preserve">388.2 L </t>
    <phoneticPr fontId="8" type="noConversion"/>
  </si>
  <si>
    <t>上样电导（mS/cm）</t>
    <phoneticPr fontId="8" type="noConversion"/>
  </si>
  <si>
    <t>上样pH</t>
    <phoneticPr fontId="8" type="noConversion"/>
  </si>
  <si>
    <t>冲洗流速(cm/h)</t>
    <phoneticPr fontId="8" type="noConversion"/>
  </si>
  <si>
    <t>冲洗体积（CV）</t>
    <phoneticPr fontId="8" type="noConversion"/>
  </si>
  <si>
    <t>冲洗pH</t>
    <phoneticPr fontId="8" type="noConversion"/>
  </si>
  <si>
    <t>冲洗电导（mS/cm）</t>
    <phoneticPr fontId="8" type="noConversion"/>
  </si>
  <si>
    <t>洗脱流速(cm/h)</t>
    <phoneticPr fontId="8" type="noConversion"/>
  </si>
  <si>
    <t>洗脱pH</t>
    <phoneticPr fontId="8" type="noConversion"/>
  </si>
  <si>
    <t>洗脱电导（mS/cm）</t>
    <phoneticPr fontId="8" type="noConversion"/>
  </si>
  <si>
    <t>收集液量(L)</t>
    <phoneticPr fontId="8" type="noConversion"/>
  </si>
  <si>
    <t xml:space="preserve">431.5 L </t>
    <phoneticPr fontId="8" type="noConversion"/>
  </si>
  <si>
    <t>收集蛋白浓度(mg/ml)</t>
    <phoneticPr fontId="8" type="noConversion"/>
  </si>
  <si>
    <t>收集总蛋白量(g)</t>
    <phoneticPr fontId="8" type="noConversion"/>
  </si>
  <si>
    <t>对上步收率（%）</t>
    <phoneticPr fontId="8" type="noConversion"/>
  </si>
  <si>
    <t>收集起始紫外（mAU）</t>
    <phoneticPr fontId="8" type="noConversion"/>
  </si>
  <si>
    <t>收集终止紫外（mAU）</t>
    <phoneticPr fontId="8" type="noConversion"/>
  </si>
  <si>
    <t>柱效</t>
    <phoneticPr fontId="8" type="noConversion"/>
  </si>
  <si>
    <t>对称性</t>
    <phoneticPr fontId="8" type="noConversion"/>
  </si>
  <si>
    <t>再生流速(cm/h)</t>
    <phoneticPr fontId="8" type="noConversion"/>
  </si>
  <si>
    <t>再生体积（CV）</t>
    <phoneticPr fontId="8" type="noConversion"/>
  </si>
  <si>
    <t>第一级压力（psi）</t>
    <phoneticPr fontId="8" type="noConversion"/>
  </si>
  <si>
    <t>4.5psi</t>
    <phoneticPr fontId="8" type="noConversion"/>
  </si>
  <si>
    <t>18~35</t>
    <phoneticPr fontId="8" type="noConversion"/>
  </si>
  <si>
    <t>15~40</t>
    <phoneticPr fontId="8" type="noConversion"/>
  </si>
  <si>
    <t>第二级压力（psi）</t>
    <phoneticPr fontId="8" type="noConversion"/>
  </si>
  <si>
    <t>第三级压力（psi）</t>
    <phoneticPr fontId="8" type="noConversion"/>
  </si>
  <si>
    <t>温度</t>
    <phoneticPr fontId="8" type="noConversion"/>
  </si>
  <si>
    <t>调节pH加酸量（ml）</t>
    <phoneticPr fontId="8" type="noConversion"/>
  </si>
  <si>
    <t>调节pH加碱量（ml）</t>
    <phoneticPr fontId="8" type="noConversion"/>
  </si>
  <si>
    <t>取样量（ml）</t>
    <phoneticPr fontId="8" type="noConversion"/>
  </si>
  <si>
    <t>700+650+700+3600</t>
    <phoneticPr fontId="8" type="noConversion"/>
  </si>
  <si>
    <t>5ml+3600ml</t>
    <phoneticPr fontId="8" type="noConversion"/>
  </si>
  <si>
    <t>10ml+1000ml</t>
    <phoneticPr fontId="8" type="noConversion"/>
  </si>
  <si>
    <t>40ml+13ml</t>
    <phoneticPr fontId="8" type="noConversion"/>
  </si>
  <si>
    <t>13ml</t>
    <phoneticPr fontId="8" type="noConversion"/>
  </si>
  <si>
    <t>1000ml+7ml</t>
    <phoneticPr fontId="8" type="noConversion"/>
  </si>
  <si>
    <t xml:space="preserve"> 搅拌速度( rpm)</t>
    <phoneticPr fontId="8" type="noConversion"/>
  </si>
  <si>
    <t>备注</t>
    <phoneticPr fontId="8" type="noConversion"/>
  </si>
  <si>
    <t>中间取样量（mg）</t>
    <phoneticPr fontId="13" type="noConversion"/>
  </si>
  <si>
    <t>N/A</t>
    <phoneticPr fontId="8" type="noConversion"/>
  </si>
  <si>
    <t>N/A</t>
    <phoneticPr fontId="8" type="noConversion"/>
  </si>
  <si>
    <t>P1：1.72</t>
    <phoneticPr fontId="8" type="noConversion"/>
  </si>
  <si>
    <t>TMP:0.8~1.1</t>
    <phoneticPr fontId="8" type="noConversion"/>
  </si>
  <si>
    <t>11~26</t>
    <phoneticPr fontId="8" type="noConversion"/>
  </si>
  <si>
    <t>7ml</t>
    <phoneticPr fontId="8" type="noConversion"/>
  </si>
  <si>
    <t>N/A</t>
    <phoneticPr fontId="8" type="noConversion"/>
  </si>
  <si>
    <t>吐温加量：302</t>
    <phoneticPr fontId="8" type="noConversion"/>
  </si>
  <si>
    <t>本工艺生产批次</t>
    <phoneticPr fontId="2" type="noConversion"/>
  </si>
  <si>
    <t>e20160602</t>
    <phoneticPr fontId="2" type="noConversion"/>
  </si>
  <si>
    <t>ppm</t>
    <phoneticPr fontId="2" type="noConversion"/>
  </si>
  <si>
    <r>
      <t>ind</t>
    </r>
    <r>
      <rPr>
        <sz val="11"/>
        <color theme="1"/>
        <rFont val="宋体"/>
        <family val="3"/>
        <charset val="134"/>
      </rPr>
      <t>工艺生产批次</t>
    </r>
    <phoneticPr fontId="2" type="noConversion"/>
  </si>
  <si>
    <t>e20130903</t>
    <phoneticPr fontId="2" type="noConversion"/>
  </si>
  <si>
    <r>
      <t>AD</t>
    </r>
    <r>
      <rPr>
        <sz val="11"/>
        <color theme="1"/>
        <rFont val="宋体"/>
        <family val="3"/>
        <charset val="134"/>
      </rPr>
      <t>检测结果</t>
    </r>
    <phoneticPr fontId="2" type="noConversion"/>
  </si>
  <si>
    <t>e20160703</t>
    <phoneticPr fontId="2" type="noConversion"/>
  </si>
  <si>
    <t>e20160702</t>
    <phoneticPr fontId="2" type="noConversion"/>
  </si>
  <si>
    <t>e20131004</t>
    <phoneticPr fontId="2" type="noConversion"/>
  </si>
  <si>
    <t>e20131005</t>
    <phoneticPr fontId="2" type="noConversion"/>
  </si>
  <si>
    <t>L</t>
    <phoneticPr fontId="2" type="noConversion"/>
  </si>
  <si>
    <r>
      <rPr>
        <sz val="11"/>
        <color theme="1"/>
        <rFont val="宋体"/>
        <family val="3"/>
        <charset val="134"/>
      </rPr>
      <t>㎡</t>
    </r>
    <phoneticPr fontId="2" type="noConversion"/>
  </si>
  <si>
    <r>
      <t>c20151102AF</t>
    </r>
    <r>
      <rPr>
        <sz val="11"/>
        <color theme="1"/>
        <rFont val="宋体"/>
        <family val="3"/>
        <charset val="134"/>
      </rPr>
      <t>①</t>
    </r>
    <phoneticPr fontId="2" type="noConversion"/>
  </si>
  <si>
    <r>
      <t>c20151102AF</t>
    </r>
    <r>
      <rPr>
        <sz val="11"/>
        <color theme="1"/>
        <rFont val="宋体"/>
        <family val="3"/>
        <charset val="134"/>
      </rPr>
      <t>②</t>
    </r>
    <phoneticPr fontId="2" type="noConversion"/>
  </si>
  <si>
    <r>
      <t>c20151102AF</t>
    </r>
    <r>
      <rPr>
        <sz val="11"/>
        <color theme="1"/>
        <rFont val="宋体"/>
        <family val="3"/>
        <charset val="134"/>
      </rPr>
      <t>③</t>
    </r>
    <phoneticPr fontId="2" type="noConversion"/>
  </si>
  <si>
    <t>c20160503</t>
    <phoneticPr fontId="2" type="noConversion"/>
  </si>
  <si>
    <t>亲和层析</t>
    <phoneticPr fontId="2" type="noConversion"/>
  </si>
  <si>
    <t>柱高</t>
    <phoneticPr fontId="2" type="noConversion"/>
  </si>
  <si>
    <t>24.4cm</t>
    <phoneticPr fontId="2" type="noConversion"/>
  </si>
  <si>
    <t>柱效</t>
    <phoneticPr fontId="2" type="noConversion"/>
  </si>
  <si>
    <t>柱体积</t>
    <phoneticPr fontId="2" type="noConversion"/>
  </si>
  <si>
    <t>3.76L</t>
    <phoneticPr fontId="2" type="noConversion"/>
  </si>
  <si>
    <t>对称性</t>
    <phoneticPr fontId="2" type="noConversion"/>
  </si>
  <si>
    <t>上样蛋白量g</t>
    <phoneticPr fontId="2" type="noConversion"/>
  </si>
  <si>
    <t>收样蛋白浓度mg/ml</t>
    <phoneticPr fontId="2" type="noConversion"/>
  </si>
  <si>
    <t>收集液量L</t>
    <phoneticPr fontId="2" type="noConversion"/>
  </si>
  <si>
    <t>收样蛋白量g</t>
    <phoneticPr fontId="2" type="noConversion"/>
  </si>
  <si>
    <t>上样电导（mS/cm）</t>
  </si>
  <si>
    <t>上样pH</t>
  </si>
  <si>
    <t>c20160504</t>
    <phoneticPr fontId="2" type="noConversion"/>
  </si>
  <si>
    <t>收率％</t>
    <phoneticPr fontId="2" type="noConversion"/>
  </si>
  <si>
    <t>11.6</t>
    <phoneticPr fontId="2" type="noConversion"/>
  </si>
  <si>
    <t>7.04</t>
    <phoneticPr fontId="2" type="noConversion"/>
  </si>
  <si>
    <t>7.1</t>
    <phoneticPr fontId="2" type="noConversion"/>
  </si>
  <si>
    <t>上样温度（℃）</t>
    <phoneticPr fontId="8" type="noConversion"/>
  </si>
  <si>
    <t>15~13</t>
    <phoneticPr fontId="2" type="noConversion"/>
  </si>
  <si>
    <t>8~9</t>
    <phoneticPr fontId="2" type="noConversion"/>
  </si>
  <si>
    <t>洗脱UV</t>
    <phoneticPr fontId="2" type="noConversion"/>
  </si>
  <si>
    <t>2397</t>
    <phoneticPr fontId="2" type="noConversion"/>
  </si>
  <si>
    <t>2390</t>
    <phoneticPr fontId="2" type="noConversion"/>
  </si>
  <si>
    <t>洗脱pH</t>
    <phoneticPr fontId="2" type="noConversion"/>
  </si>
  <si>
    <t>4.4</t>
    <phoneticPr fontId="2" type="noConversion"/>
  </si>
  <si>
    <t>4.1</t>
    <phoneticPr fontId="2" type="noConversion"/>
  </si>
  <si>
    <t>洗脱电导（mS/cm）</t>
    <phoneticPr fontId="2" type="noConversion"/>
  </si>
  <si>
    <t>11.0</t>
    <phoneticPr fontId="2" type="noConversion"/>
  </si>
  <si>
    <t>洗脱温度℃</t>
    <phoneticPr fontId="2" type="noConversion"/>
  </si>
  <si>
    <t>24.1</t>
    <phoneticPr fontId="2" type="noConversion"/>
  </si>
  <si>
    <t>取样量ml</t>
    <phoneticPr fontId="2" type="noConversion"/>
  </si>
  <si>
    <t>47</t>
    <phoneticPr fontId="2" type="noConversion"/>
  </si>
  <si>
    <t>2</t>
    <phoneticPr fontId="2" type="noConversion"/>
  </si>
  <si>
    <r>
      <t>c20151102LP</t>
    </r>
    <r>
      <rPr>
        <sz val="11"/>
        <color theme="1"/>
        <rFont val="宋体"/>
        <family val="3"/>
        <charset val="134"/>
      </rPr>
      <t>①</t>
    </r>
    <phoneticPr fontId="2" type="noConversion"/>
  </si>
  <si>
    <r>
      <t>c20151102LP</t>
    </r>
    <r>
      <rPr>
        <sz val="11"/>
        <color theme="1"/>
        <rFont val="宋体"/>
        <family val="3"/>
        <charset val="134"/>
      </rPr>
      <t>②</t>
    </r>
    <phoneticPr fontId="2" type="noConversion"/>
  </si>
  <si>
    <r>
      <t>c20151102LP</t>
    </r>
    <r>
      <rPr>
        <sz val="11"/>
        <color theme="1"/>
        <rFont val="宋体"/>
        <family val="3"/>
        <charset val="134"/>
      </rPr>
      <t>③</t>
    </r>
    <phoneticPr fontId="2" type="noConversion"/>
  </si>
  <si>
    <t>低pH</t>
    <phoneticPr fontId="2" type="noConversion"/>
  </si>
  <si>
    <t>H7过滤器数量/个</t>
    <phoneticPr fontId="2" type="noConversion"/>
  </si>
  <si>
    <t>加tris量kg</t>
    <phoneticPr fontId="2" type="noConversion"/>
  </si>
  <si>
    <t>加枸橼酸量kg</t>
    <phoneticPr fontId="2" type="noConversion"/>
  </si>
  <si>
    <t>33</t>
    <phoneticPr fontId="2" type="noConversion"/>
  </si>
  <si>
    <t>32</t>
    <phoneticPr fontId="2" type="noConversion"/>
  </si>
  <si>
    <t>ADF</t>
    <phoneticPr fontId="2" type="noConversion"/>
  </si>
  <si>
    <t>膜包面积㎡</t>
    <phoneticPr fontId="2" type="noConversion"/>
  </si>
  <si>
    <t>上样液量L</t>
    <phoneticPr fontId="2" type="noConversion"/>
  </si>
  <si>
    <t>蛋白浓度g/L</t>
    <phoneticPr fontId="2" type="noConversion"/>
  </si>
  <si>
    <t>收集蛋白量g</t>
    <phoneticPr fontId="2" type="noConversion"/>
  </si>
  <si>
    <t>收率%</t>
    <phoneticPr fontId="2" type="noConversion"/>
  </si>
  <si>
    <t>c20151102AEX1</t>
    <phoneticPr fontId="2" type="noConversion"/>
  </si>
  <si>
    <t>c20151102AEX2</t>
    <phoneticPr fontId="2" type="noConversion"/>
  </si>
  <si>
    <t>阴离子</t>
    <phoneticPr fontId="2" type="noConversion"/>
  </si>
  <si>
    <t>3.9</t>
    <phoneticPr fontId="2" type="noConversion"/>
  </si>
  <si>
    <t>36.429</t>
    <phoneticPr fontId="2" type="noConversion"/>
  </si>
  <si>
    <t>142.1</t>
    <phoneticPr fontId="2" type="noConversion"/>
  </si>
  <si>
    <t>95.4</t>
    <phoneticPr fontId="2" type="noConversion"/>
  </si>
  <si>
    <t>5.1</t>
    <phoneticPr fontId="2" type="noConversion"/>
  </si>
  <si>
    <t>6.7</t>
    <phoneticPr fontId="2" type="noConversion"/>
  </si>
  <si>
    <t>23.7</t>
    <phoneticPr fontId="2" type="noConversion"/>
  </si>
  <si>
    <t>流穿UV</t>
    <phoneticPr fontId="2" type="noConversion"/>
  </si>
  <si>
    <t>1045</t>
    <phoneticPr fontId="2" type="noConversion"/>
  </si>
  <si>
    <t>14</t>
    <phoneticPr fontId="2" type="noConversion"/>
  </si>
  <si>
    <t>c20151102CEX①</t>
    <phoneticPr fontId="2" type="noConversion"/>
  </si>
  <si>
    <t>c20151102CEX②</t>
    <phoneticPr fontId="2" type="noConversion"/>
  </si>
  <si>
    <t>阳离子</t>
    <phoneticPr fontId="2" type="noConversion"/>
  </si>
  <si>
    <t>117.4</t>
    <phoneticPr fontId="2" type="noConversion"/>
  </si>
  <si>
    <t>27.0</t>
    <phoneticPr fontId="2" type="noConversion"/>
  </si>
  <si>
    <t>26.9</t>
    <phoneticPr fontId="2" type="noConversion"/>
  </si>
  <si>
    <t>3.718</t>
    <phoneticPr fontId="2" type="noConversion"/>
  </si>
  <si>
    <t>3.709</t>
    <phoneticPr fontId="2" type="noConversion"/>
  </si>
  <si>
    <t>100.4</t>
    <phoneticPr fontId="2" type="noConversion"/>
  </si>
  <si>
    <t>99.8</t>
    <phoneticPr fontId="2" type="noConversion"/>
  </si>
  <si>
    <t>85.5</t>
    <phoneticPr fontId="2" type="noConversion"/>
  </si>
  <si>
    <t>85.0</t>
    <phoneticPr fontId="2" type="noConversion"/>
  </si>
  <si>
    <t>5.0</t>
    <phoneticPr fontId="2" type="noConversion"/>
  </si>
  <si>
    <t>5.6</t>
    <phoneticPr fontId="2" type="noConversion"/>
  </si>
  <si>
    <t>5.5</t>
    <phoneticPr fontId="2" type="noConversion"/>
  </si>
  <si>
    <t>13.5</t>
    <phoneticPr fontId="2" type="noConversion"/>
  </si>
  <si>
    <t>12.8</t>
    <phoneticPr fontId="2" type="noConversion"/>
  </si>
  <si>
    <t>3060</t>
    <phoneticPr fontId="2" type="noConversion"/>
  </si>
  <si>
    <t>3049</t>
    <phoneticPr fontId="2" type="noConversion"/>
  </si>
  <si>
    <t>29.0</t>
    <phoneticPr fontId="2" type="noConversion"/>
  </si>
  <si>
    <t>29.2</t>
    <phoneticPr fontId="2" type="noConversion"/>
  </si>
  <si>
    <t>22.2</t>
    <phoneticPr fontId="2" type="noConversion"/>
  </si>
  <si>
    <t>22.3</t>
    <phoneticPr fontId="2" type="noConversion"/>
  </si>
  <si>
    <t>1212</t>
    <phoneticPr fontId="2" type="noConversion"/>
  </si>
  <si>
    <t>210、给MS 54.8kg</t>
    <phoneticPr fontId="2" type="noConversion"/>
  </si>
  <si>
    <t>c20151102NF</t>
    <phoneticPr fontId="2" type="noConversion"/>
  </si>
  <si>
    <t>除病毒过滤</t>
    <phoneticPr fontId="2" type="noConversion"/>
  </si>
  <si>
    <t>200.5</t>
    <phoneticPr fontId="2" type="noConversion"/>
  </si>
  <si>
    <t>23.6</t>
    <phoneticPr fontId="2" type="noConversion"/>
  </si>
  <si>
    <t>124.8（稀释后）</t>
    <phoneticPr fontId="2" type="noConversion"/>
  </si>
  <si>
    <t>120.6（稀释后）</t>
    <phoneticPr fontId="2" type="noConversion"/>
  </si>
  <si>
    <t>27.644</t>
    <phoneticPr fontId="2" type="noConversion"/>
  </si>
  <si>
    <t>196.3</t>
    <phoneticPr fontId="2" type="noConversion"/>
  </si>
  <si>
    <t>97.9</t>
    <phoneticPr fontId="2" type="noConversion"/>
  </si>
  <si>
    <t>膜面积㎡</t>
    <phoneticPr fontId="2" type="noConversion"/>
  </si>
  <si>
    <t>0.22</t>
    <phoneticPr fontId="2" type="noConversion"/>
  </si>
  <si>
    <t>7</t>
    <phoneticPr fontId="2" type="noConversion"/>
  </si>
  <si>
    <t>5、给MS 7.2kg</t>
    <phoneticPr fontId="2" type="noConversion"/>
  </si>
  <si>
    <t>c20151102UF</t>
    <phoneticPr fontId="2" type="noConversion"/>
  </si>
  <si>
    <t>超滤</t>
    <phoneticPr fontId="2" type="noConversion"/>
  </si>
  <si>
    <t>196.6</t>
    <phoneticPr fontId="2" type="noConversion"/>
  </si>
  <si>
    <t>58.7</t>
    <phoneticPr fontId="2" type="noConversion"/>
  </si>
  <si>
    <t>3.284</t>
    <phoneticPr fontId="2" type="noConversion"/>
  </si>
  <si>
    <t>192.8</t>
    <phoneticPr fontId="2" type="noConversion"/>
  </si>
  <si>
    <t>98.1</t>
    <phoneticPr fontId="2" type="noConversion"/>
  </si>
  <si>
    <t>0.5</t>
    <phoneticPr fontId="2" type="noConversion"/>
  </si>
  <si>
    <t>0.9~1.3</t>
    <phoneticPr fontId="2" type="noConversion"/>
  </si>
  <si>
    <t>AEX</t>
    <phoneticPr fontId="2" type="noConversion"/>
  </si>
  <si>
    <t>mS/cm</t>
    <phoneticPr fontId="2" type="noConversion"/>
  </si>
  <si>
    <t>L</t>
    <phoneticPr fontId="2" type="noConversion"/>
  </si>
  <si>
    <t>L</t>
    <phoneticPr fontId="2" type="noConversion"/>
  </si>
  <si>
    <t>25±2</t>
    <phoneticPr fontId="2" type="noConversion"/>
  </si>
  <si>
    <t>%</t>
    <phoneticPr fontId="2" type="noConversion"/>
  </si>
  <si>
    <r>
      <rPr>
        <sz val="11"/>
        <color theme="1"/>
        <rFont val="宋体"/>
        <family val="3"/>
        <charset val="134"/>
      </rPr>
      <t>柱效</t>
    </r>
    <phoneticPr fontId="2" type="noConversion"/>
  </si>
  <si>
    <t>CV</t>
    <phoneticPr fontId="2" type="noConversion"/>
  </si>
  <si>
    <t>KG</t>
    <phoneticPr fontId="2" type="noConversion"/>
  </si>
  <si>
    <t>CEX1</t>
    <phoneticPr fontId="2" type="noConversion"/>
  </si>
  <si>
    <t>psi</t>
    <phoneticPr fontId="2" type="noConversion"/>
  </si>
  <si>
    <t>L/h</t>
    <phoneticPr fontId="2" type="noConversion"/>
  </si>
  <si>
    <t>LMH</t>
    <phoneticPr fontId="2" type="noConversion"/>
  </si>
  <si>
    <t>0.8~1.5</t>
    <phoneticPr fontId="2" type="noConversion"/>
  </si>
  <si>
    <t>kg</t>
    <phoneticPr fontId="2" type="noConversion"/>
  </si>
  <si>
    <t>0.8~1.5</t>
    <phoneticPr fontId="2" type="noConversion"/>
  </si>
  <si>
    <r>
      <rPr>
        <sz val="11"/>
        <color theme="1"/>
        <rFont val="宋体"/>
        <family val="3"/>
        <charset val="134"/>
      </rPr>
      <t>发酵液体积</t>
    </r>
    <phoneticPr fontId="2" type="noConversion"/>
  </si>
  <si>
    <r>
      <t>D0</t>
    </r>
    <r>
      <rPr>
        <sz val="11"/>
        <color theme="1"/>
        <rFont val="宋体"/>
        <family val="3"/>
        <charset val="134"/>
      </rPr>
      <t>面积</t>
    </r>
    <phoneticPr fontId="2" type="noConversion"/>
  </si>
  <si>
    <r>
      <rPr>
        <sz val="11"/>
        <color theme="1"/>
        <rFont val="宋体"/>
        <family val="3"/>
        <charset val="134"/>
      </rPr>
      <t>㎡</t>
    </r>
    <phoneticPr fontId="2" type="noConversion"/>
  </si>
  <si>
    <r>
      <t>D0</t>
    </r>
    <r>
      <rPr>
        <sz val="11"/>
        <color theme="1"/>
        <rFont val="宋体"/>
        <family val="3"/>
        <charset val="134"/>
      </rPr>
      <t>载量</t>
    </r>
    <phoneticPr fontId="2" type="noConversion"/>
  </si>
  <si>
    <r>
      <t>L/</t>
    </r>
    <r>
      <rPr>
        <sz val="11"/>
        <color theme="1"/>
        <rFont val="宋体"/>
        <family val="3"/>
        <charset val="134"/>
      </rPr>
      <t>㎡</t>
    </r>
    <phoneticPr fontId="2" type="noConversion"/>
  </si>
  <si>
    <r>
      <t>X0</t>
    </r>
    <r>
      <rPr>
        <sz val="11"/>
        <color theme="1"/>
        <rFont val="宋体"/>
        <family val="3"/>
        <charset val="134"/>
      </rPr>
      <t>面积</t>
    </r>
    <phoneticPr fontId="2" type="noConversion"/>
  </si>
  <si>
    <r>
      <t>X0</t>
    </r>
    <r>
      <rPr>
        <sz val="11"/>
        <color theme="1"/>
        <rFont val="宋体"/>
        <family val="3"/>
        <charset val="134"/>
      </rPr>
      <t>载量</t>
    </r>
    <phoneticPr fontId="2" type="noConversion"/>
  </si>
  <si>
    <r>
      <rPr>
        <sz val="11"/>
        <color theme="1"/>
        <rFont val="宋体"/>
        <family val="3"/>
        <charset val="134"/>
      </rPr>
      <t>除菌滤器面积</t>
    </r>
    <phoneticPr fontId="2" type="noConversion"/>
  </si>
  <si>
    <r>
      <rPr>
        <sz val="11"/>
        <color theme="1"/>
        <rFont val="宋体"/>
        <family val="3"/>
        <charset val="134"/>
      </rPr>
      <t>除菌滤器载量</t>
    </r>
    <phoneticPr fontId="2" type="noConversion"/>
  </si>
  <si>
    <r>
      <rPr>
        <sz val="11"/>
        <color theme="1"/>
        <rFont val="宋体"/>
        <family val="3"/>
        <charset val="134"/>
      </rPr>
      <t>体积流速</t>
    </r>
    <phoneticPr fontId="2" type="noConversion"/>
  </si>
  <si>
    <r>
      <rPr>
        <sz val="11"/>
        <color theme="1"/>
        <rFont val="宋体"/>
        <family val="3"/>
        <charset val="134"/>
      </rPr>
      <t>通量</t>
    </r>
    <phoneticPr fontId="2" type="noConversion"/>
  </si>
  <si>
    <r>
      <rPr>
        <sz val="11"/>
        <color theme="1"/>
        <rFont val="宋体"/>
        <family val="3"/>
        <charset val="134"/>
      </rPr>
      <t>收集液体积</t>
    </r>
    <phoneticPr fontId="2" type="noConversion"/>
  </si>
  <si>
    <r>
      <rPr>
        <sz val="11"/>
        <color theme="1"/>
        <rFont val="宋体"/>
        <family val="3"/>
        <charset val="134"/>
      </rPr>
      <t>浓度</t>
    </r>
    <phoneticPr fontId="2" type="noConversion"/>
  </si>
  <si>
    <r>
      <rPr>
        <sz val="11"/>
        <color theme="1"/>
        <rFont val="宋体"/>
        <family val="3"/>
        <charset val="134"/>
      </rPr>
      <t>收率</t>
    </r>
    <phoneticPr fontId="2" type="noConversion"/>
  </si>
  <si>
    <r>
      <rPr>
        <sz val="11"/>
        <color theme="1"/>
        <rFont val="宋体"/>
        <family val="2"/>
      </rPr>
      <t>柱效</t>
    </r>
    <phoneticPr fontId="2" type="noConversion"/>
  </si>
  <si>
    <r>
      <rPr>
        <sz val="11"/>
        <color theme="1"/>
        <rFont val="宋体"/>
        <family val="2"/>
      </rPr>
      <t>上样体积</t>
    </r>
    <phoneticPr fontId="2" type="noConversion"/>
  </si>
  <si>
    <r>
      <rPr>
        <sz val="11"/>
        <color theme="1"/>
        <rFont val="宋体"/>
        <family val="3"/>
        <charset val="134"/>
      </rPr>
      <t>载量</t>
    </r>
    <phoneticPr fontId="2" type="noConversion"/>
  </si>
  <si>
    <r>
      <t>g/L</t>
    </r>
    <r>
      <rPr>
        <sz val="11"/>
        <color theme="1"/>
        <rFont val="宋体"/>
        <family val="3"/>
        <charset val="134"/>
      </rPr>
      <t>填料</t>
    </r>
    <phoneticPr fontId="2" type="noConversion"/>
  </si>
  <si>
    <r>
      <rPr>
        <sz val="11"/>
        <color theme="1"/>
        <rFont val="宋体"/>
        <family val="3"/>
        <charset val="134"/>
      </rPr>
      <t>洗脱液</t>
    </r>
    <r>
      <rPr>
        <sz val="11"/>
        <color theme="1"/>
        <rFont val="Times New Roman"/>
        <family val="1"/>
      </rPr>
      <t>pH</t>
    </r>
    <phoneticPr fontId="2" type="noConversion"/>
  </si>
  <si>
    <r>
      <rPr>
        <sz val="11"/>
        <color theme="1"/>
        <rFont val="宋体"/>
        <family val="2"/>
      </rPr>
      <t>收集液体积</t>
    </r>
    <phoneticPr fontId="2" type="noConversion"/>
  </si>
  <si>
    <r>
      <rPr>
        <sz val="11"/>
        <color theme="1"/>
        <rFont val="宋体"/>
        <family val="3"/>
        <charset val="134"/>
      </rPr>
      <t>收集量</t>
    </r>
    <r>
      <rPr>
        <sz val="11"/>
        <color theme="1"/>
        <rFont val="Times New Roman"/>
        <family val="1"/>
      </rPr>
      <t>/CV</t>
    </r>
    <phoneticPr fontId="2" type="noConversion"/>
  </si>
  <si>
    <r>
      <rPr>
        <sz val="11"/>
        <color theme="1"/>
        <rFont val="宋体"/>
        <family val="3"/>
        <charset val="134"/>
      </rPr>
      <t>回调后</t>
    </r>
    <r>
      <rPr>
        <sz val="11"/>
        <color theme="1"/>
        <rFont val="Times New Roman"/>
        <family val="1"/>
      </rPr>
      <t>pH</t>
    </r>
    <phoneticPr fontId="2" type="noConversion"/>
  </si>
  <si>
    <r>
      <rPr>
        <sz val="11"/>
        <color theme="1"/>
        <rFont val="宋体"/>
        <family val="3"/>
        <charset val="134"/>
      </rPr>
      <t>取样体积</t>
    </r>
    <phoneticPr fontId="2" type="noConversion"/>
  </si>
  <si>
    <r>
      <rPr>
        <sz val="11"/>
        <color theme="1"/>
        <rFont val="宋体"/>
        <family val="2"/>
      </rPr>
      <t>取样后体积</t>
    </r>
    <phoneticPr fontId="2" type="noConversion"/>
  </si>
  <si>
    <r>
      <rPr>
        <sz val="11"/>
        <color theme="1"/>
        <rFont val="宋体"/>
        <family val="2"/>
      </rPr>
      <t>收率</t>
    </r>
    <phoneticPr fontId="2" type="noConversion"/>
  </si>
  <si>
    <r>
      <rPr>
        <sz val="11"/>
        <color theme="1"/>
        <rFont val="宋体"/>
        <family val="3"/>
        <charset val="134"/>
      </rPr>
      <t>病毒灭活温度</t>
    </r>
    <phoneticPr fontId="2" type="noConversion"/>
  </si>
  <si>
    <r>
      <rPr>
        <sz val="11"/>
        <color theme="1"/>
        <rFont val="宋体"/>
        <family val="3"/>
        <charset val="134"/>
      </rPr>
      <t>℃</t>
    </r>
    <phoneticPr fontId="2" type="noConversion"/>
  </si>
  <si>
    <r>
      <rPr>
        <sz val="11"/>
        <color theme="1"/>
        <rFont val="宋体"/>
        <family val="2"/>
      </rPr>
      <t>起始</t>
    </r>
    <r>
      <rPr>
        <sz val="11"/>
        <color theme="1"/>
        <rFont val="Times New Roman"/>
        <family val="1"/>
      </rPr>
      <t>pH</t>
    </r>
    <phoneticPr fontId="2" type="noConversion"/>
  </si>
  <si>
    <r>
      <rPr>
        <sz val="11"/>
        <color theme="1"/>
        <rFont val="宋体"/>
        <family val="2"/>
      </rPr>
      <t>枸橼酸用量</t>
    </r>
    <phoneticPr fontId="2" type="noConversion"/>
  </si>
  <si>
    <r>
      <rPr>
        <sz val="11"/>
        <color theme="1"/>
        <rFont val="宋体"/>
        <family val="2"/>
      </rPr>
      <t>调节后</t>
    </r>
    <r>
      <rPr>
        <sz val="11"/>
        <color theme="1"/>
        <rFont val="Times New Roman"/>
        <family val="1"/>
      </rPr>
      <t>pH</t>
    </r>
    <phoneticPr fontId="2" type="noConversion"/>
  </si>
  <si>
    <r>
      <rPr>
        <sz val="11"/>
        <color theme="1"/>
        <rFont val="宋体"/>
        <family val="2"/>
      </rPr>
      <t>静止时长</t>
    </r>
    <phoneticPr fontId="2" type="noConversion"/>
  </si>
  <si>
    <r>
      <t>tris</t>
    </r>
    <r>
      <rPr>
        <sz val="11"/>
        <color theme="1"/>
        <rFont val="宋体"/>
        <family val="3"/>
        <charset val="134"/>
      </rPr>
      <t>用量</t>
    </r>
    <phoneticPr fontId="2" type="noConversion"/>
  </si>
  <si>
    <r>
      <rPr>
        <sz val="11"/>
        <color theme="1"/>
        <rFont val="宋体"/>
        <family val="3"/>
        <charset val="134"/>
      </rPr>
      <t>取样</t>
    </r>
    <phoneticPr fontId="2" type="noConversion"/>
  </si>
  <si>
    <r>
      <rPr>
        <sz val="11"/>
        <color theme="1"/>
        <rFont val="宋体"/>
        <family val="3"/>
        <charset val="134"/>
      </rPr>
      <t>取样后体积</t>
    </r>
    <phoneticPr fontId="2" type="noConversion"/>
  </si>
  <si>
    <r>
      <rPr>
        <sz val="11"/>
        <color theme="1"/>
        <rFont val="宋体"/>
        <family val="3"/>
        <charset val="134"/>
      </rPr>
      <t>上样</t>
    </r>
    <r>
      <rPr>
        <sz val="11"/>
        <color theme="1"/>
        <rFont val="Times New Roman"/>
        <family val="1"/>
      </rPr>
      <t>pH</t>
    </r>
    <phoneticPr fontId="2" type="noConversion"/>
  </si>
  <si>
    <r>
      <rPr>
        <sz val="11"/>
        <color theme="1"/>
        <rFont val="宋体"/>
        <family val="3"/>
        <charset val="134"/>
      </rPr>
      <t>上样电导</t>
    </r>
    <phoneticPr fontId="2" type="noConversion"/>
  </si>
  <si>
    <r>
      <rPr>
        <sz val="11"/>
        <color theme="1"/>
        <rFont val="宋体"/>
        <family val="3"/>
        <charset val="134"/>
      </rPr>
      <t>平衡缓冲液</t>
    </r>
    <r>
      <rPr>
        <sz val="11"/>
        <color theme="1"/>
        <rFont val="Times New Roman"/>
        <family val="1"/>
      </rPr>
      <t>pH</t>
    </r>
    <phoneticPr fontId="2" type="noConversion"/>
  </si>
  <si>
    <r>
      <rPr>
        <sz val="11"/>
        <color theme="1"/>
        <rFont val="宋体"/>
        <family val="3"/>
        <charset val="134"/>
      </rPr>
      <t>调节后</t>
    </r>
    <r>
      <rPr>
        <sz val="11"/>
        <color theme="1"/>
        <rFont val="Times New Roman"/>
        <family val="1"/>
      </rPr>
      <t>pH</t>
    </r>
    <phoneticPr fontId="2" type="noConversion"/>
  </si>
  <si>
    <r>
      <rPr>
        <sz val="11"/>
        <color theme="1"/>
        <rFont val="宋体"/>
        <family val="3"/>
        <charset val="134"/>
      </rPr>
      <t>取样量</t>
    </r>
    <phoneticPr fontId="2" type="noConversion"/>
  </si>
  <si>
    <r>
      <rPr>
        <sz val="11"/>
        <color theme="1"/>
        <rFont val="宋体"/>
        <family val="3"/>
        <charset val="134"/>
      </rPr>
      <t>前</t>
    </r>
    <r>
      <rPr>
        <sz val="11"/>
        <color theme="1"/>
        <rFont val="Times New Roman"/>
        <family val="1"/>
      </rPr>
      <t>NWP</t>
    </r>
    <phoneticPr fontId="2" type="noConversion"/>
  </si>
  <si>
    <r>
      <rPr>
        <sz val="11"/>
        <color theme="1"/>
        <rFont val="宋体"/>
        <family val="3"/>
        <charset val="134"/>
      </rPr>
      <t>膜面积</t>
    </r>
    <phoneticPr fontId="2" type="noConversion"/>
  </si>
  <si>
    <r>
      <rPr>
        <sz val="11"/>
        <color theme="1"/>
        <rFont val="宋体"/>
        <family val="3"/>
        <charset val="134"/>
      </rPr>
      <t>泵速</t>
    </r>
    <phoneticPr fontId="2" type="noConversion"/>
  </si>
  <si>
    <r>
      <t>L/min/</t>
    </r>
    <r>
      <rPr>
        <sz val="11"/>
        <color theme="1"/>
        <rFont val="宋体"/>
        <family val="3"/>
        <charset val="134"/>
      </rPr>
      <t>㎡</t>
    </r>
    <phoneticPr fontId="2" type="noConversion"/>
  </si>
  <si>
    <r>
      <t>CONC</t>
    </r>
    <r>
      <rPr>
        <sz val="11"/>
        <color theme="1"/>
        <rFont val="宋体"/>
        <family val="3"/>
        <charset val="134"/>
      </rPr>
      <t>后体积</t>
    </r>
    <phoneticPr fontId="2" type="noConversion"/>
  </si>
  <si>
    <r>
      <t>DF</t>
    </r>
    <r>
      <rPr>
        <sz val="11"/>
        <color theme="1"/>
        <rFont val="宋体"/>
        <family val="3"/>
        <charset val="134"/>
      </rPr>
      <t>体积</t>
    </r>
    <phoneticPr fontId="2" type="noConversion"/>
  </si>
  <si>
    <r>
      <rPr>
        <sz val="11"/>
        <color theme="1"/>
        <rFont val="宋体"/>
        <family val="3"/>
        <charset val="134"/>
      </rPr>
      <t>换液倍数</t>
    </r>
    <phoneticPr fontId="2" type="noConversion"/>
  </si>
  <si>
    <r>
      <rPr>
        <sz val="11"/>
        <color theme="1"/>
        <rFont val="宋体"/>
        <family val="3"/>
        <charset val="134"/>
      </rPr>
      <t>后</t>
    </r>
    <r>
      <rPr>
        <sz val="11"/>
        <color theme="1"/>
        <rFont val="Times New Roman"/>
        <family val="1"/>
      </rPr>
      <t>NWP</t>
    </r>
    <phoneticPr fontId="2" type="noConversion"/>
  </si>
  <si>
    <r>
      <t>VPF</t>
    </r>
    <r>
      <rPr>
        <sz val="11"/>
        <color theme="1"/>
        <rFont val="宋体"/>
        <family val="3"/>
        <charset val="134"/>
      </rPr>
      <t>面积</t>
    </r>
    <phoneticPr fontId="2" type="noConversion"/>
  </si>
  <si>
    <r>
      <t>VPF</t>
    </r>
    <r>
      <rPr>
        <sz val="11"/>
        <color theme="1"/>
        <rFont val="宋体"/>
        <family val="3"/>
        <charset val="134"/>
      </rPr>
      <t>载量</t>
    </r>
    <phoneticPr fontId="2" type="noConversion"/>
  </si>
  <si>
    <r>
      <rPr>
        <sz val="11"/>
        <color theme="1"/>
        <rFont val="宋体"/>
        <family val="3"/>
        <charset val="134"/>
      </rPr>
      <t>过滤压力最高值</t>
    </r>
    <phoneticPr fontId="2" type="noConversion"/>
  </si>
  <si>
    <r>
      <rPr>
        <sz val="11"/>
        <color theme="1"/>
        <rFont val="宋体"/>
        <family val="3"/>
        <charset val="134"/>
      </rPr>
      <t>过滤后浓度</t>
    </r>
    <phoneticPr fontId="2" type="noConversion"/>
  </si>
  <si>
    <r>
      <rPr>
        <sz val="11"/>
        <color theme="1"/>
        <rFont val="宋体"/>
        <family val="3"/>
        <charset val="134"/>
      </rPr>
      <t>总收率</t>
    </r>
    <phoneticPr fontId="2" type="noConversion"/>
  </si>
  <si>
    <t>收集蛋白量</t>
    <phoneticPr fontId="2" type="noConversion"/>
  </si>
  <si>
    <t>g</t>
    <phoneticPr fontId="2" type="noConversion"/>
  </si>
  <si>
    <t>g</t>
    <phoneticPr fontId="2" type="noConversion"/>
  </si>
  <si>
    <t>参数类型</t>
    <phoneticPr fontId="2" type="noConversion"/>
  </si>
  <si>
    <t>KPP</t>
  </si>
  <si>
    <t>KPP</t>
    <phoneticPr fontId="2" type="noConversion"/>
  </si>
  <si>
    <t>GPP</t>
    <phoneticPr fontId="2" type="noConversion"/>
  </si>
  <si>
    <t>WC-CPP</t>
  </si>
  <si>
    <t>WC-CPP</t>
    <phoneticPr fontId="2" type="noConversion"/>
  </si>
  <si>
    <t>GPP</t>
    <phoneticPr fontId="2" type="noConversion"/>
  </si>
  <si>
    <t>GPP</t>
    <phoneticPr fontId="2" type="noConversion"/>
  </si>
  <si>
    <t>DF TMP</t>
    <phoneticPr fontId="2" type="noConversion"/>
  </si>
  <si>
    <t>UF TMP</t>
    <phoneticPr fontId="2" type="noConversion"/>
  </si>
  <si>
    <t>加碱比例</t>
    <phoneticPr fontId="2" type="noConversion"/>
  </si>
  <si>
    <r>
      <t>citrate</t>
    </r>
    <r>
      <rPr>
        <sz val="11"/>
        <color theme="1"/>
        <rFont val="宋体"/>
        <family val="3"/>
        <charset val="134"/>
      </rPr>
      <t>用量</t>
    </r>
    <phoneticPr fontId="2" type="noConversion"/>
  </si>
  <si>
    <t>加酸比例</t>
    <phoneticPr fontId="2" type="noConversion"/>
  </si>
  <si>
    <t>加酸比例</t>
    <phoneticPr fontId="2" type="noConversion"/>
  </si>
  <si>
    <t>%</t>
  </si>
  <si>
    <t>%</t>
    <phoneticPr fontId="2" type="noConversion"/>
  </si>
  <si>
    <r>
      <t>CONC1</t>
    </r>
    <r>
      <rPr>
        <sz val="11"/>
        <color theme="1"/>
        <rFont val="宋体"/>
        <family val="3"/>
        <charset val="134"/>
      </rPr>
      <t>体积</t>
    </r>
    <phoneticPr fontId="2" type="noConversion"/>
  </si>
  <si>
    <t>上样体积</t>
    <phoneticPr fontId="2" type="noConversion"/>
  </si>
  <si>
    <t>浓度</t>
    <phoneticPr fontId="2" type="noConversion"/>
  </si>
  <si>
    <t>取样体积</t>
    <phoneticPr fontId="2" type="noConversion"/>
  </si>
  <si>
    <t>CEX2</t>
    <phoneticPr fontId="2" type="noConversion"/>
  </si>
  <si>
    <t>取样量</t>
    <phoneticPr fontId="2" type="noConversion"/>
  </si>
  <si>
    <t>L</t>
    <phoneticPr fontId="2" type="noConversion"/>
  </si>
  <si>
    <t>最终收率</t>
    <phoneticPr fontId="2" type="noConversion"/>
  </si>
  <si>
    <r>
      <rPr>
        <sz val="11"/>
        <color theme="1"/>
        <rFont val="宋体"/>
        <family val="3"/>
        <charset val="134"/>
      </rPr>
      <t>上样</t>
    </r>
    <r>
      <rPr>
        <sz val="11"/>
        <color theme="1"/>
        <rFont val="Times New Roman"/>
        <family val="1"/>
      </rPr>
      <t>pH</t>
    </r>
    <phoneticPr fontId="2" type="noConversion"/>
  </si>
  <si>
    <t>取样后收集体积</t>
    <phoneticPr fontId="2" type="noConversion"/>
  </si>
  <si>
    <t>取样后收集蛋白量</t>
    <phoneticPr fontId="2" type="noConversion"/>
  </si>
  <si>
    <t>收率</t>
    <phoneticPr fontId="2" type="noConversion"/>
  </si>
  <si>
    <t>过滤收率</t>
    <phoneticPr fontId="2" type="noConversion"/>
  </si>
  <si>
    <r>
      <rPr>
        <sz val="11"/>
        <color theme="1"/>
        <rFont val="宋体"/>
        <family val="3"/>
        <charset val="134"/>
      </rPr>
      <t>以细胞收获液为</t>
    </r>
    <r>
      <rPr>
        <sz val="11"/>
        <color theme="1"/>
        <rFont val="Times New Roman"/>
        <family val="1"/>
      </rPr>
      <t>100%</t>
    </r>
    <phoneticPr fontId="2" type="noConversion"/>
  </si>
  <si>
    <t>35~100</t>
    <phoneticPr fontId="2" type="noConversion"/>
  </si>
  <si>
    <t>3.3~3.7</t>
    <phoneticPr fontId="2" type="noConversion"/>
  </si>
  <si>
    <t>GPP</t>
    <phoneticPr fontId="2" type="noConversion"/>
  </si>
  <si>
    <t>AC</t>
    <phoneticPr fontId="2" type="noConversion"/>
  </si>
  <si>
    <t>18~26</t>
    <phoneticPr fontId="2" type="noConversion"/>
  </si>
  <si>
    <t>稀释缓冲液量</t>
    <phoneticPr fontId="2" type="noConversion"/>
  </si>
  <si>
    <t>3.4~3.7</t>
    <phoneticPr fontId="2" type="noConversion"/>
  </si>
  <si>
    <t>30~90</t>
    <phoneticPr fontId="2" type="noConversion"/>
  </si>
  <si>
    <t>6.40~6.60</t>
    <phoneticPr fontId="2" type="noConversion"/>
  </si>
  <si>
    <t>取样后体积</t>
    <phoneticPr fontId="2" type="noConversion"/>
  </si>
  <si>
    <t>VI1</t>
    <phoneticPr fontId="2" type="noConversion"/>
  </si>
  <si>
    <t>VI2</t>
    <phoneticPr fontId="2" type="noConversion"/>
  </si>
  <si>
    <t>AC3</t>
    <phoneticPr fontId="2" type="noConversion"/>
  </si>
  <si>
    <t>VI3</t>
    <phoneticPr fontId="2" type="noConversion"/>
  </si>
  <si>
    <t>VI</t>
    <phoneticPr fontId="2" type="noConversion"/>
  </si>
  <si>
    <t>100~300</t>
    <phoneticPr fontId="2" type="noConversion"/>
  </si>
  <si>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>135</t>
    </r>
    <phoneticPr fontId="2" type="noConversion"/>
  </si>
  <si>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>238</t>
    </r>
    <phoneticPr fontId="2" type="noConversion"/>
  </si>
  <si>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>1067</t>
    </r>
    <phoneticPr fontId="2" type="noConversion"/>
  </si>
  <si>
    <r>
      <rPr>
        <sz val="11"/>
        <color theme="1"/>
        <rFont val="宋体"/>
        <family val="3"/>
        <charset val="134"/>
      </rPr>
      <t>＞</t>
    </r>
    <r>
      <rPr>
        <sz val="11"/>
        <color theme="1"/>
        <rFont val="Times New Roman"/>
        <family val="1"/>
      </rPr>
      <t>3000</t>
    </r>
    <phoneticPr fontId="2" type="noConversion"/>
  </si>
  <si>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>50</t>
    </r>
    <phoneticPr fontId="2" type="noConversion"/>
  </si>
  <si>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>26</t>
    </r>
    <phoneticPr fontId="2" type="noConversion"/>
  </si>
  <si>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>365</t>
    </r>
    <phoneticPr fontId="2" type="noConversion"/>
  </si>
  <si>
    <r>
      <rPr>
        <sz val="11"/>
        <color theme="1"/>
        <rFont val="宋体"/>
        <family val="3"/>
        <charset val="134"/>
      </rPr>
      <t>≥</t>
    </r>
    <r>
      <rPr>
        <sz val="11"/>
        <color theme="1"/>
        <rFont val="Times New Roman"/>
        <family val="1"/>
      </rPr>
      <t>70%</t>
    </r>
    <phoneticPr fontId="2" type="noConversion"/>
  </si>
  <si>
    <t>18~22</t>
    <phoneticPr fontId="2" type="noConversion"/>
  </si>
  <si>
    <t>4.7~5.3</t>
    <phoneticPr fontId="2" type="noConversion"/>
  </si>
  <si>
    <r>
      <rPr>
        <sz val="11"/>
        <color theme="1"/>
        <rFont val="宋体"/>
        <family val="3"/>
        <charset val="134"/>
      </rPr>
      <t>洗脱缓冲液</t>
    </r>
    <r>
      <rPr>
        <sz val="11"/>
        <color theme="1"/>
        <rFont val="Times New Roman"/>
        <family val="1"/>
      </rPr>
      <t>BpH</t>
    </r>
    <phoneticPr fontId="2" type="noConversion"/>
  </si>
  <si>
    <t>洗脱缓冲液B电导</t>
    <phoneticPr fontId="2" type="noConversion"/>
  </si>
  <si>
    <t>5.85~6.20</t>
    <phoneticPr fontId="2" type="noConversion"/>
  </si>
  <si>
    <t>16.50~18.50</t>
    <phoneticPr fontId="2" type="noConversion"/>
  </si>
  <si>
    <t>27~32</t>
    <phoneticPr fontId="2" type="noConversion"/>
  </si>
  <si>
    <t>GPP</t>
    <phoneticPr fontId="2" type="noConversion"/>
  </si>
  <si>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>10</t>
    </r>
    <phoneticPr fontId="2" type="noConversion"/>
  </si>
  <si>
    <r>
      <t>ADF</t>
    </r>
    <r>
      <rPr>
        <sz val="11"/>
        <color theme="1"/>
        <rFont val="宋体"/>
        <family val="3"/>
        <charset val="134"/>
      </rPr>
      <t>液量</t>
    </r>
    <phoneticPr fontId="2" type="noConversion"/>
  </si>
  <si>
    <t>L</t>
    <phoneticPr fontId="2" type="noConversion"/>
  </si>
  <si>
    <t>稀释后体积</t>
    <phoneticPr fontId="2" type="noConversion"/>
  </si>
  <si>
    <t>收集蛋白量</t>
    <phoneticPr fontId="2" type="noConversion"/>
  </si>
  <si>
    <t>CEX3</t>
    <phoneticPr fontId="2" type="noConversion"/>
  </si>
  <si>
    <t>Tris用量</t>
    <phoneticPr fontId="2" type="noConversion"/>
  </si>
  <si>
    <t>加碱比例</t>
    <phoneticPr fontId="2" type="noConversion"/>
  </si>
  <si>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>100</t>
    </r>
    <phoneticPr fontId="2" type="noConversion"/>
  </si>
  <si>
    <t>7.5~8.2</t>
    <phoneticPr fontId="2" type="noConversion"/>
  </si>
  <si>
    <t>acceptance range</t>
    <phoneticPr fontId="2" type="noConversion"/>
  </si>
  <si>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>15</t>
    </r>
    <phoneticPr fontId="2" type="noConversion"/>
  </si>
  <si>
    <r>
      <rPr>
        <sz val="11"/>
        <color theme="1"/>
        <rFont val="宋体"/>
        <family val="3"/>
        <charset val="134"/>
      </rPr>
      <t>△</t>
    </r>
    <r>
      <rPr>
        <sz val="11"/>
        <color theme="1"/>
        <rFont val="Times New Roman"/>
        <family val="1"/>
      </rPr>
      <t>P2</t>
    </r>
    <phoneticPr fontId="2" type="noConversion"/>
  </si>
  <si>
    <t>取样前收集液体积</t>
    <phoneticPr fontId="2" type="noConversion"/>
  </si>
  <si>
    <t>收率</t>
    <phoneticPr fontId="2" type="noConversion"/>
  </si>
  <si>
    <t>收率</t>
    <phoneticPr fontId="2" type="noConversion"/>
  </si>
  <si>
    <t>%</t>
    <phoneticPr fontId="2" type="noConversion"/>
  </si>
  <si>
    <r>
      <rPr>
        <sz val="11"/>
        <color theme="1"/>
        <rFont val="宋体"/>
        <family val="3"/>
        <charset val="134"/>
      </rPr>
      <t>浓度</t>
    </r>
    <phoneticPr fontId="2" type="noConversion"/>
  </si>
  <si>
    <t>mg/ml</t>
    <phoneticPr fontId="2" type="noConversion"/>
  </si>
  <si>
    <t>过滤前取样量</t>
    <phoneticPr fontId="2" type="noConversion"/>
  </si>
  <si>
    <t>0.82~1.05</t>
    <phoneticPr fontId="2" type="noConversion"/>
  </si>
  <si>
    <t>0.65~1.5</t>
    <phoneticPr fontId="2" type="noConversion"/>
  </si>
  <si>
    <t>5~9</t>
    <phoneticPr fontId="2" type="noConversion"/>
  </si>
  <si>
    <t>120~320</t>
    <phoneticPr fontId="2" type="noConversion"/>
  </si>
  <si>
    <t>GPP</t>
    <phoneticPr fontId="2" type="noConversion"/>
  </si>
  <si>
    <t>8~10</t>
    <phoneticPr fontId="2" type="noConversion"/>
  </si>
  <si>
    <t>平衡缓冲液电导</t>
    <phoneticPr fontId="2" type="noConversion"/>
  </si>
  <si>
    <t>枸橼酸用量</t>
    <phoneticPr fontId="2" type="noConversion"/>
  </si>
  <si>
    <t>加酸比例</t>
    <phoneticPr fontId="2" type="noConversion"/>
  </si>
  <si>
    <t>6.5±0.1</t>
    <phoneticPr fontId="2" type="noConversion"/>
  </si>
  <si>
    <t>0.50~1.40</t>
    <phoneticPr fontId="2" type="noConversion"/>
  </si>
  <si>
    <r>
      <rPr>
        <sz val="11"/>
        <color theme="1"/>
        <rFont val="宋体"/>
        <family val="3"/>
        <charset val="134"/>
      </rPr>
      <t>后</t>
    </r>
    <r>
      <rPr>
        <sz val="11"/>
        <color theme="1"/>
        <rFont val="Times New Roman"/>
        <family val="1"/>
      </rPr>
      <t>NWP</t>
    </r>
    <phoneticPr fontId="2" type="noConversion"/>
  </si>
  <si>
    <t>水通量比例</t>
    <phoneticPr fontId="2" type="noConversion"/>
  </si>
  <si>
    <t>%</t>
    <phoneticPr fontId="2" type="noConversion"/>
  </si>
  <si>
    <t>≤468</t>
    <phoneticPr fontId="2" type="noConversion"/>
  </si>
  <si>
    <t>≤29</t>
    <phoneticPr fontId="2" type="noConversion"/>
  </si>
  <si>
    <t>0.59~1.5</t>
    <phoneticPr fontId="2" type="noConversion"/>
  </si>
  <si>
    <t>10~47</t>
    <phoneticPr fontId="2" type="noConversion"/>
  </si>
  <si>
    <t>0.88-0.92</t>
    <phoneticPr fontId="2" type="noConversion"/>
  </si>
  <si>
    <t>0.77-1.06</t>
    <phoneticPr fontId="2" type="noConversion"/>
  </si>
  <si>
    <t>DS1711001</t>
    <phoneticPr fontId="2" type="noConversion"/>
  </si>
  <si>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>15</t>
    </r>
    <phoneticPr fontId="2" type="noConversion"/>
  </si>
  <si>
    <t>DS1710001</t>
    <phoneticPr fontId="2" type="noConversion"/>
  </si>
  <si>
    <t>0.76~1.02</t>
    <phoneticPr fontId="2" type="noConversion"/>
  </si>
  <si>
    <t>0.83-0.96</t>
    <phoneticPr fontId="2" type="noConversion"/>
  </si>
  <si>
    <t>0.83-1.06</t>
    <phoneticPr fontId="2" type="noConversion"/>
  </si>
  <si>
    <t>DS1711002</t>
  </si>
  <si>
    <t>0.79~1.09</t>
    <phoneticPr fontId="2" type="noConversion"/>
  </si>
  <si>
    <t>0.84-0.92</t>
    <phoneticPr fontId="2" type="noConversion"/>
  </si>
  <si>
    <t>0.83~1.08</t>
    <phoneticPr fontId="2" type="noConversion"/>
  </si>
  <si>
    <t>DS1712001</t>
    <phoneticPr fontId="2" type="noConversion"/>
  </si>
  <si>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>15</t>
    </r>
    <phoneticPr fontId="2" type="noConversion"/>
  </si>
  <si>
    <t>0.78~1.10</t>
    <phoneticPr fontId="2" type="noConversion"/>
  </si>
  <si>
    <t>0.86-0.92</t>
    <phoneticPr fontId="2" type="noConversion"/>
  </si>
  <si>
    <t>0.76-1.03</t>
    <phoneticPr fontId="2" type="noConversion"/>
  </si>
  <si>
    <t>DS1712002</t>
  </si>
  <si>
    <r>
      <rPr>
        <sz val="11"/>
        <color theme="1"/>
        <rFont val="宋体"/>
        <family val="3"/>
        <charset val="134"/>
      </rPr>
      <t>以细胞收获液为</t>
    </r>
    <r>
      <rPr>
        <sz val="11"/>
        <color theme="1"/>
        <rFont val="Times New Roman"/>
        <family val="1"/>
      </rPr>
      <t>100%</t>
    </r>
    <r>
      <rPr>
        <sz val="11"/>
        <color theme="1"/>
        <rFont val="宋体"/>
        <family val="3"/>
        <charset val="134"/>
      </rPr>
      <t>，取样后的收率</t>
    </r>
    <phoneticPr fontId="2" type="noConversion"/>
  </si>
  <si>
    <t>CL</t>
    <phoneticPr fontId="2" type="noConversion"/>
  </si>
  <si>
    <t>AC</t>
    <phoneticPr fontId="2" type="noConversion"/>
  </si>
  <si>
    <t>VI</t>
    <phoneticPr fontId="2" type="noConversion"/>
  </si>
  <si>
    <t>ADF</t>
    <phoneticPr fontId="2" type="noConversion"/>
  </si>
  <si>
    <t>CEX</t>
    <phoneticPr fontId="2" type="noConversion"/>
  </si>
  <si>
    <t>AEX</t>
    <phoneticPr fontId="2" type="noConversion"/>
  </si>
  <si>
    <t>UF</t>
    <phoneticPr fontId="2" type="noConversion"/>
  </si>
  <si>
    <t>NF</t>
    <phoneticPr fontId="2" type="noConversion"/>
  </si>
  <si>
    <t>UF/DF</t>
    <phoneticPr fontId="2" type="noConversion"/>
  </si>
  <si>
    <t>Titer 浓度</t>
    <phoneticPr fontId="2" type="noConversion"/>
  </si>
  <si>
    <t>CL</t>
    <phoneticPr fontId="2" type="noConversion"/>
  </si>
  <si>
    <t>DS2002006</t>
    <phoneticPr fontId="2" type="noConversion"/>
  </si>
  <si>
    <t>DS2003007</t>
    <phoneticPr fontId="2" type="noConversion"/>
  </si>
  <si>
    <t>g/L</t>
    <phoneticPr fontId="2" type="noConversion"/>
  </si>
  <si>
    <r>
      <t>Tris</t>
    </r>
    <r>
      <rPr>
        <sz val="11"/>
        <color theme="1"/>
        <rFont val="宋体"/>
        <family val="3"/>
        <charset val="134"/>
      </rPr>
      <t>用量</t>
    </r>
    <phoneticPr fontId="2" type="noConversion"/>
  </si>
  <si>
    <t>取样前体积</t>
    <phoneticPr fontId="2" type="noConversion"/>
  </si>
  <si>
    <t>澄清收集液体积</t>
    <phoneticPr fontId="2" type="noConversion"/>
  </si>
  <si>
    <t>收集液稀释后体积</t>
    <phoneticPr fontId="2" type="noConversion"/>
  </si>
  <si>
    <t>稀释后浓度</t>
    <phoneticPr fontId="2" type="noConversion"/>
  </si>
  <si>
    <t>调节pH后体积</t>
    <phoneticPr fontId="2" type="noConversion"/>
  </si>
  <si>
    <t>孵育时间</t>
    <phoneticPr fontId="2" type="noConversion"/>
  </si>
  <si>
    <t>稀释前浓度</t>
    <phoneticPr fontId="2" type="noConversion"/>
  </si>
  <si>
    <t>收集液体积</t>
    <phoneticPr fontId="2" type="noConversion"/>
  </si>
  <si>
    <r>
      <t>pH</t>
    </r>
    <r>
      <rPr>
        <sz val="11"/>
        <color theme="1"/>
        <rFont val="宋体"/>
        <family val="3"/>
        <charset val="134"/>
      </rPr>
      <t>调节后体积</t>
    </r>
    <phoneticPr fontId="2" type="noConversion"/>
  </si>
  <si>
    <t>L</t>
    <phoneticPr fontId="2" type="noConversion"/>
  </si>
  <si>
    <r>
      <t>Tris</t>
    </r>
    <r>
      <rPr>
        <sz val="11"/>
        <color theme="1"/>
        <rFont val="宋体"/>
        <family val="3"/>
        <charset val="134"/>
      </rPr>
      <t>用量</t>
    </r>
    <phoneticPr fontId="2" type="noConversion"/>
  </si>
  <si>
    <t>取样后体积</t>
    <phoneticPr fontId="2" type="noConversion"/>
  </si>
  <si>
    <t>N/A</t>
    <phoneticPr fontId="2" type="noConversion"/>
  </si>
  <si>
    <t>取样后蛋白量</t>
    <phoneticPr fontId="2" type="noConversion"/>
  </si>
  <si>
    <t>g</t>
    <phoneticPr fontId="2" type="noConversion"/>
  </si>
  <si>
    <t>取样前蛋白量</t>
    <phoneticPr fontId="2" type="noConversion"/>
  </si>
  <si>
    <t>取样后蛋白量</t>
    <phoneticPr fontId="2" type="noConversion"/>
  </si>
  <si>
    <t>取样后收集液蛋白量</t>
    <phoneticPr fontId="2" type="noConversion"/>
  </si>
  <si>
    <r>
      <t>g/</t>
    </r>
    <r>
      <rPr>
        <sz val="11"/>
        <color theme="1"/>
        <rFont val="宋体"/>
        <family val="3"/>
        <charset val="134"/>
      </rPr>
      <t>㎡</t>
    </r>
    <phoneticPr fontId="2" type="noConversion"/>
  </si>
  <si>
    <t>取样前体积</t>
    <phoneticPr fontId="2" type="noConversion"/>
  </si>
  <si>
    <t>取样后蛋白量</t>
    <phoneticPr fontId="2" type="noConversion"/>
  </si>
  <si>
    <t>调样后体积</t>
    <phoneticPr fontId="2" type="noConversion"/>
  </si>
  <si>
    <t>L</t>
    <phoneticPr fontId="2" type="noConversion"/>
  </si>
  <si>
    <t>上样体积</t>
    <phoneticPr fontId="2" type="noConversion"/>
  </si>
  <si>
    <t>调样后产品浓度</t>
    <phoneticPr fontId="2" type="noConversion"/>
  </si>
  <si>
    <t>CEX1</t>
    <phoneticPr fontId="2" type="noConversion"/>
  </si>
  <si>
    <r>
      <rPr>
        <sz val="11"/>
        <color theme="1"/>
        <rFont val="宋体"/>
        <family val="3"/>
        <charset val="134"/>
      </rPr>
      <t>洗脱缓冲液</t>
    </r>
    <r>
      <rPr>
        <sz val="11"/>
        <color theme="1"/>
        <rFont val="Times New Roman"/>
        <family val="1"/>
      </rPr>
      <t>B pH</t>
    </r>
    <phoneticPr fontId="2" type="noConversion"/>
  </si>
  <si>
    <r>
      <rPr>
        <sz val="11"/>
        <color theme="1"/>
        <rFont val="宋体"/>
        <family val="3"/>
        <charset val="134"/>
      </rPr>
      <t>洗脱缓冲液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电导</t>
    </r>
    <phoneticPr fontId="2" type="noConversion"/>
  </si>
  <si>
    <t>CEX2</t>
    <phoneticPr fontId="2" type="noConversion"/>
  </si>
  <si>
    <t>取样前体积</t>
    <phoneticPr fontId="2" type="noConversion"/>
  </si>
  <si>
    <r>
      <t>Tris</t>
    </r>
    <r>
      <rPr>
        <sz val="11"/>
        <color theme="1"/>
        <rFont val="宋体"/>
        <family val="3"/>
        <charset val="134"/>
      </rPr>
      <t>用量</t>
    </r>
    <phoneticPr fontId="2" type="noConversion"/>
  </si>
  <si>
    <t>取样后体积</t>
    <phoneticPr fontId="2" type="noConversion"/>
  </si>
  <si>
    <t>调节后体积</t>
    <phoneticPr fontId="2" type="noConversion"/>
  </si>
  <si>
    <t>取样前蛋白量</t>
    <phoneticPr fontId="2" type="noConversion"/>
  </si>
  <si>
    <t>上样体积</t>
    <phoneticPr fontId="2" type="noConversion"/>
  </si>
  <si>
    <t>N/A</t>
    <phoneticPr fontId="2" type="noConversion"/>
  </si>
  <si>
    <t>上样体积</t>
    <phoneticPr fontId="2" type="noConversion"/>
  </si>
  <si>
    <t>CEX3</t>
    <phoneticPr fontId="2" type="noConversion"/>
  </si>
  <si>
    <t>UF/DF1</t>
    <phoneticPr fontId="2" type="noConversion"/>
  </si>
  <si>
    <t>上样体积</t>
    <phoneticPr fontId="2" type="noConversion"/>
  </si>
  <si>
    <r>
      <t>g/</t>
    </r>
    <r>
      <rPr>
        <sz val="11"/>
        <color theme="1"/>
        <rFont val="宋体"/>
        <family val="3"/>
        <charset val="134"/>
      </rPr>
      <t>㎡</t>
    </r>
    <phoneticPr fontId="2" type="noConversion"/>
  </si>
  <si>
    <t>收集液体积</t>
    <phoneticPr fontId="2" type="noConversion"/>
  </si>
  <si>
    <t>取样前体积</t>
    <phoneticPr fontId="2" type="noConversion"/>
  </si>
  <si>
    <t>L</t>
    <phoneticPr fontId="2" type="noConversion"/>
  </si>
  <si>
    <t>上样液体积</t>
    <phoneticPr fontId="2" type="noConversion"/>
  </si>
  <si>
    <r>
      <t>g/</t>
    </r>
    <r>
      <rPr>
        <sz val="11"/>
        <color theme="1"/>
        <rFont val="宋体"/>
        <family val="3"/>
        <charset val="134"/>
      </rPr>
      <t>㎡</t>
    </r>
    <phoneticPr fontId="2" type="noConversion"/>
  </si>
  <si>
    <t>取样前体积</t>
    <phoneticPr fontId="2" type="noConversion"/>
  </si>
  <si>
    <t>浓度</t>
    <phoneticPr fontId="2" type="noConversion"/>
  </si>
  <si>
    <t>取样后体积</t>
    <phoneticPr fontId="2" type="noConversion"/>
  </si>
  <si>
    <t>取样后蛋白量</t>
    <phoneticPr fontId="2" type="noConversion"/>
  </si>
  <si>
    <t>取样前体积</t>
    <phoneticPr fontId="2" type="noConversion"/>
  </si>
  <si>
    <t>取样后体积</t>
    <phoneticPr fontId="2" type="noConversion"/>
  </si>
  <si>
    <t>L</t>
    <phoneticPr fontId="2" type="noConversion"/>
  </si>
  <si>
    <t>取样后蛋白量</t>
    <phoneticPr fontId="2" type="noConversion"/>
  </si>
  <si>
    <r>
      <rPr>
        <sz val="11"/>
        <color theme="1"/>
        <rFont val="宋体"/>
        <family val="3"/>
        <charset val="134"/>
      </rPr>
      <t>㎡</t>
    </r>
    <phoneticPr fontId="2" type="noConversion"/>
  </si>
  <si>
    <r>
      <t>L/min/</t>
    </r>
    <r>
      <rPr>
        <sz val="11"/>
        <color theme="1"/>
        <rFont val="宋体"/>
        <family val="3"/>
        <charset val="134"/>
      </rPr>
      <t>㎡</t>
    </r>
    <phoneticPr fontId="2" type="noConversion"/>
  </si>
  <si>
    <t>DS2004004</t>
    <phoneticPr fontId="2" type="noConversion"/>
  </si>
  <si>
    <t>N/A</t>
    <phoneticPr fontId="2" type="noConversion"/>
  </si>
  <si>
    <t>N/A</t>
    <phoneticPr fontId="2" type="noConversion"/>
  </si>
  <si>
    <t>稀释前体积</t>
    <phoneticPr fontId="2" type="noConversion"/>
  </si>
  <si>
    <t>L</t>
    <phoneticPr fontId="2" type="noConversion"/>
  </si>
  <si>
    <t>取样后体积</t>
    <phoneticPr fontId="2" type="noConversion"/>
  </si>
  <si>
    <t>收集体积</t>
    <phoneticPr fontId="2" type="noConversion"/>
  </si>
  <si>
    <t>UF/DF2</t>
    <phoneticPr fontId="2" type="noConversion"/>
  </si>
  <si>
    <t>DS2004007</t>
    <phoneticPr fontId="2" type="noConversion"/>
  </si>
  <si>
    <t>稀释前浓度</t>
    <phoneticPr fontId="2" type="noConversion"/>
  </si>
  <si>
    <t>L</t>
    <phoneticPr fontId="2" type="noConversion"/>
  </si>
  <si>
    <t>CEX4</t>
    <phoneticPr fontId="2" type="noConversion"/>
  </si>
  <si>
    <t>N/A</t>
    <phoneticPr fontId="2" type="noConversion"/>
  </si>
  <si>
    <t>N/A</t>
    <phoneticPr fontId="2" type="noConversion"/>
  </si>
  <si>
    <t>过滤压力</t>
    <phoneticPr fontId="2" type="noConversion"/>
  </si>
  <si>
    <t>上样体积</t>
    <phoneticPr fontId="2" type="noConversion"/>
  </si>
  <si>
    <t>L</t>
    <phoneticPr fontId="2" type="noConversion"/>
  </si>
  <si>
    <t>DS2005006</t>
    <phoneticPr fontId="2" type="noConversion"/>
  </si>
  <si>
    <t>DS2005009</t>
    <phoneticPr fontId="2" type="noConversion"/>
  </si>
  <si>
    <t>NA</t>
    <phoneticPr fontId="2" type="noConversion"/>
  </si>
  <si>
    <t>原液分装入库量</t>
    <phoneticPr fontId="2" type="noConversion"/>
  </si>
  <si>
    <t>Bulk fill</t>
    <phoneticPr fontId="2" type="noConversion"/>
  </si>
  <si>
    <t>g</t>
    <phoneticPr fontId="2" type="noConversion"/>
  </si>
  <si>
    <t>收集液取样后体积</t>
    <phoneticPr fontId="2" type="noConversion"/>
  </si>
  <si>
    <r>
      <rPr>
        <sz val="11"/>
        <color theme="1"/>
        <rFont val="宋体"/>
        <family val="3"/>
        <charset val="134"/>
      </rPr>
      <t>上样液</t>
    </r>
    <r>
      <rPr>
        <sz val="11"/>
        <color theme="1"/>
        <rFont val="Times New Roman"/>
        <family val="1"/>
      </rPr>
      <t>pH</t>
    </r>
    <phoneticPr fontId="2" type="noConversion"/>
  </si>
  <si>
    <t>上样液电导</t>
    <phoneticPr fontId="2" type="noConversion"/>
  </si>
  <si>
    <t>工序</t>
    <phoneticPr fontId="2" type="noConversion"/>
  </si>
  <si>
    <t>项目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</si>
</sst>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%"/>
    <numFmt numFmtId="177" formatCode="0.0_ "/>
    <numFmt numFmtId="178" formatCode="0_ "/>
    <numFmt numFmtId="179" formatCode="0.00_ "/>
    <numFmt numFmtId="180" formatCode="0.0"/>
    <numFmt numFmtId="181" formatCode="0.000_ "/>
    <numFmt numFmtId="182" formatCode="[$-F400]h:mm:ss\ AM/PM"/>
    <numFmt numFmtId="183" formatCode="0.00_);[Red]\(0.00\)"/>
    <numFmt numFmtId="184" formatCode="0.0_);[Red]\(0.0\)"/>
    <numFmt numFmtId="185" formatCode="0.000_);[Red]\(0.000\)"/>
    <numFmt numFmtId="186" formatCode="0_);[Red]\(0\)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2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6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宋体"/>
      <family val="2"/>
      <scheme val="minor"/>
    </font>
    <font>
      <b/>
      <sz val="11"/>
      <color theme="0"/>
      <name val="宋体"/>
      <family val="3"/>
      <charset val="134"/>
    </font>
    <font>
      <b/>
      <sz val="11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182" fontId="0" fillId="0" borderId="0"/>
    <xf numFmtId="182" fontId="5" fillId="2" borderId="0" applyNumberFormat="0" applyBorder="0" applyAlignment="0" applyProtection="0">
      <alignment vertical="center"/>
    </xf>
    <xf numFmtId="182" fontId="6" fillId="3" borderId="0" applyNumberFormat="0" applyBorder="0" applyAlignment="0" applyProtection="0">
      <alignment vertical="center"/>
    </xf>
    <xf numFmtId="182" fontId="7" fillId="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</cellStyleXfs>
  <cellXfs count="214">
    <xf numFmtId="182" fontId="0" fillId="0" borderId="0" xfId="0"/>
    <xf numFmtId="182" fontId="1" fillId="0" borderId="0" xfId="0" applyFont="1"/>
    <xf numFmtId="182" fontId="0" fillId="0" borderId="0" xfId="0" applyAlignment="1">
      <alignment vertical="center"/>
    </xf>
    <xf numFmtId="182" fontId="0" fillId="0" borderId="0" xfId="0" applyAlignment="1">
      <alignment horizontal="center" vertical="center"/>
    </xf>
    <xf numFmtId="182" fontId="0" fillId="0" borderId="0" xfId="0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11" fillId="0" borderId="0" xfId="2" applyNumberFormat="1" applyFont="1" applyFill="1" applyAlignment="1">
      <alignment horizontal="center" vertical="center"/>
    </xf>
    <xf numFmtId="182" fontId="11" fillId="0" borderId="0" xfId="0" applyFont="1" applyAlignment="1">
      <alignment vertical="center"/>
    </xf>
    <xf numFmtId="182" fontId="11" fillId="0" borderId="0" xfId="0" applyFont="1" applyAlignment="1">
      <alignment horizontal="center" vertical="center"/>
    </xf>
    <xf numFmtId="182" fontId="11" fillId="0" borderId="0" xfId="0" applyFont="1" applyFill="1" applyAlignment="1">
      <alignment horizontal="center" vertical="center"/>
    </xf>
    <xf numFmtId="182" fontId="11" fillId="0" borderId="0" xfId="3" applyFon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2" fontId="0" fillId="0" borderId="1" xfId="0" applyFont="1" applyBorder="1" applyAlignment="1">
      <alignment horizontal="center" vertical="center" wrapText="1"/>
    </xf>
    <xf numFmtId="179" fontId="12" fillId="0" borderId="0" xfId="1" applyNumberFormat="1" applyFont="1" applyFill="1" applyAlignment="1">
      <alignment horizontal="center" vertical="center"/>
    </xf>
    <xf numFmtId="177" fontId="12" fillId="0" borderId="0" xfId="1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9" fontId="12" fillId="0" borderId="0" xfId="1" applyNumberFormat="1" applyFont="1" applyFill="1" applyAlignment="1">
      <alignment horizontal="center" vertical="center"/>
    </xf>
    <xf numFmtId="176" fontId="12" fillId="0" borderId="0" xfId="1" applyNumberFormat="1" applyFont="1" applyFill="1" applyAlignment="1">
      <alignment horizontal="center" vertical="center"/>
    </xf>
    <xf numFmtId="182" fontId="0" fillId="5" borderId="0" xfId="0" applyFill="1" applyAlignment="1">
      <alignment horizontal="center" vertical="center"/>
    </xf>
    <xf numFmtId="182" fontId="0" fillId="0" borderId="0" xfId="0" applyAlignment="1">
      <alignment horizontal="center" vertical="center" wrapText="1"/>
    </xf>
    <xf numFmtId="182" fontId="0" fillId="0" borderId="0" xfId="0" applyFill="1" applyAlignment="1">
      <alignment horizontal="center" vertical="center" wrapText="1"/>
    </xf>
    <xf numFmtId="10" fontId="0" fillId="0" borderId="0" xfId="0" applyNumberFormat="1" applyAlignment="1">
      <alignment vertical="center"/>
    </xf>
    <xf numFmtId="182" fontId="0" fillId="0" borderId="0" xfId="0" applyAlignment="1">
      <alignment horizontal="right" vertical="center"/>
    </xf>
    <xf numFmtId="177" fontId="0" fillId="0" borderId="0" xfId="0" applyNumberFormat="1" applyAlignment="1">
      <alignment vertical="center"/>
    </xf>
    <xf numFmtId="9" fontId="11" fillId="0" borderId="0" xfId="1" applyNumberFormat="1" applyFont="1" applyFill="1" applyAlignment="1">
      <alignment horizontal="center" vertical="center"/>
    </xf>
    <xf numFmtId="182" fontId="0" fillId="0" borderId="0" xfId="0" applyAlignment="1">
      <alignment horizontal="left" vertical="center"/>
    </xf>
    <xf numFmtId="182" fontId="3" fillId="0" borderId="0" xfId="0" applyFont="1"/>
    <xf numFmtId="182" fontId="0" fillId="0" borderId="1" xfId="0" applyBorder="1"/>
    <xf numFmtId="49" fontId="0" fillId="0" borderId="3" xfId="0" applyNumberFormat="1" applyBorder="1" applyAlignment="1">
      <alignment horizontal="right"/>
    </xf>
    <xf numFmtId="182" fontId="0" fillId="0" borderId="1" xfId="0" applyBorder="1" applyAlignment="1">
      <alignment vertical="center"/>
    </xf>
    <xf numFmtId="182" fontId="0" fillId="0" borderId="1" xfId="0" applyBorder="1" applyAlignment="1"/>
    <xf numFmtId="182" fontId="0" fillId="0" borderId="1" xfId="0" applyFill="1" applyBorder="1" applyAlignment="1">
      <alignment vertical="center"/>
    </xf>
    <xf numFmtId="182" fontId="0" fillId="0" borderId="1" xfId="0" applyFill="1" applyBorder="1"/>
    <xf numFmtId="49" fontId="0" fillId="0" borderId="3" xfId="0" applyNumberFormat="1" applyBorder="1" applyAlignment="1">
      <alignment horizontal="center"/>
    </xf>
    <xf numFmtId="182" fontId="0" fillId="0" borderId="4" xfId="0" applyBorder="1"/>
    <xf numFmtId="49" fontId="0" fillId="0" borderId="10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182" fontId="0" fillId="0" borderId="5" xfId="0" applyFill="1" applyBorder="1"/>
    <xf numFmtId="182" fontId="1" fillId="0" borderId="0" xfId="0" applyFont="1" applyAlignment="1">
      <alignment horizontal="left"/>
    </xf>
    <xf numFmtId="178" fontId="1" fillId="0" borderId="0" xfId="0" applyNumberFormat="1" applyFont="1" applyAlignment="1">
      <alignment horizontal="left"/>
    </xf>
    <xf numFmtId="179" fontId="1" fillId="0" borderId="0" xfId="0" applyNumberFormat="1" applyFont="1" applyAlignment="1">
      <alignment horizontal="left"/>
    </xf>
    <xf numFmtId="177" fontId="1" fillId="0" borderId="0" xfId="0" applyNumberFormat="1" applyFont="1" applyAlignment="1">
      <alignment horizontal="left"/>
    </xf>
    <xf numFmtId="9" fontId="1" fillId="0" borderId="0" xfId="0" applyNumberFormat="1" applyFont="1" applyAlignment="1">
      <alignment horizontal="left"/>
    </xf>
    <xf numFmtId="181" fontId="1" fillId="0" borderId="0" xfId="0" applyNumberFormat="1" applyFont="1" applyAlignment="1">
      <alignment horizontal="left"/>
    </xf>
    <xf numFmtId="182" fontId="1" fillId="6" borderId="1" xfId="0" applyFont="1" applyFill="1" applyBorder="1" applyAlignment="1">
      <alignment horizontal="center"/>
    </xf>
    <xf numFmtId="182" fontId="1" fillId="6" borderId="0" xfId="0" applyFont="1" applyFill="1" applyAlignment="1">
      <alignment horizontal="left"/>
    </xf>
    <xf numFmtId="9" fontId="1" fillId="6" borderId="0" xfId="0" applyNumberFormat="1" applyFont="1" applyFill="1" applyAlignment="1">
      <alignment horizontal="left"/>
    </xf>
    <xf numFmtId="182" fontId="1" fillId="6" borderId="1" xfId="0" applyFont="1" applyFill="1" applyBorder="1" applyAlignment="1">
      <alignment horizontal="left"/>
    </xf>
    <xf numFmtId="182" fontId="1" fillId="6" borderId="0" xfId="0" applyFont="1" applyFill="1" applyBorder="1" applyAlignment="1">
      <alignment horizontal="center"/>
    </xf>
    <xf numFmtId="182" fontId="3" fillId="0" borderId="0" xfId="0" applyFont="1" applyAlignment="1">
      <alignment horizontal="left"/>
    </xf>
    <xf numFmtId="9" fontId="1" fillId="0" borderId="0" xfId="0" applyNumberFormat="1" applyFont="1" applyFill="1" applyAlignment="1">
      <alignment horizontal="left"/>
    </xf>
    <xf numFmtId="178" fontId="1" fillId="0" borderId="0" xfId="0" applyNumberFormat="1" applyFont="1" applyFill="1" applyAlignment="1">
      <alignment horizontal="left"/>
    </xf>
    <xf numFmtId="177" fontId="1" fillId="0" borderId="0" xfId="0" applyNumberFormat="1" applyFont="1" applyFill="1" applyAlignment="1">
      <alignment horizontal="left"/>
    </xf>
    <xf numFmtId="179" fontId="1" fillId="0" borderId="0" xfId="0" applyNumberFormat="1" applyFont="1" applyFill="1" applyAlignment="1">
      <alignment horizontal="left"/>
    </xf>
    <xf numFmtId="181" fontId="1" fillId="0" borderId="0" xfId="0" applyNumberFormat="1" applyFont="1" applyFill="1" applyAlignment="1">
      <alignment horizontal="left"/>
    </xf>
    <xf numFmtId="182" fontId="1" fillId="0" borderId="1" xfId="0" applyFont="1" applyBorder="1" applyAlignment="1">
      <alignment horizontal="left"/>
    </xf>
    <xf numFmtId="182" fontId="3" fillId="0" borderId="1" xfId="0" applyFont="1" applyBorder="1" applyAlignment="1">
      <alignment horizontal="left"/>
    </xf>
    <xf numFmtId="182" fontId="1" fillId="0" borderId="1" xfId="0" applyFont="1" applyBorder="1" applyAlignment="1">
      <alignment horizontal="left" wrapText="1"/>
    </xf>
    <xf numFmtId="178" fontId="1" fillId="0" borderId="1" xfId="0" applyNumberFormat="1" applyFont="1" applyBorder="1" applyAlignment="1">
      <alignment horizontal="left"/>
    </xf>
    <xf numFmtId="179" fontId="1" fillId="0" borderId="1" xfId="0" applyNumberFormat="1" applyFont="1" applyBorder="1" applyAlignment="1">
      <alignment horizontal="left"/>
    </xf>
    <xf numFmtId="177" fontId="1" fillId="0" borderId="1" xfId="0" applyNumberFormat="1" applyFont="1" applyBorder="1" applyAlignment="1">
      <alignment horizontal="left"/>
    </xf>
    <xf numFmtId="9" fontId="1" fillId="0" borderId="1" xfId="0" applyNumberFormat="1" applyFont="1" applyBorder="1" applyAlignment="1">
      <alignment horizontal="left"/>
    </xf>
    <xf numFmtId="182" fontId="3" fillId="0" borderId="1" xfId="0" applyFont="1" applyFill="1" applyBorder="1" applyAlignment="1">
      <alignment horizontal="left"/>
    </xf>
    <xf numFmtId="182" fontId="1" fillId="0" borderId="1" xfId="0" applyFont="1" applyFill="1" applyBorder="1" applyAlignment="1">
      <alignment horizontal="left"/>
    </xf>
    <xf numFmtId="178" fontId="1" fillId="0" borderId="1" xfId="0" applyNumberFormat="1" applyFont="1" applyFill="1" applyBorder="1" applyAlignment="1">
      <alignment horizontal="left"/>
    </xf>
    <xf numFmtId="9" fontId="1" fillId="6" borderId="1" xfId="0" applyNumberFormat="1" applyFont="1" applyFill="1" applyBorder="1" applyAlignment="1">
      <alignment horizontal="left"/>
    </xf>
    <xf numFmtId="177" fontId="1" fillId="0" borderId="1" xfId="0" applyNumberFormat="1" applyFont="1" applyFill="1" applyBorder="1" applyAlignment="1">
      <alignment horizontal="left"/>
    </xf>
    <xf numFmtId="181" fontId="1" fillId="0" borderId="1" xfId="0" applyNumberFormat="1" applyFont="1" applyBorder="1" applyAlignment="1">
      <alignment horizontal="left"/>
    </xf>
    <xf numFmtId="177" fontId="16" fillId="0" borderId="1" xfId="0" applyNumberFormat="1" applyFont="1" applyBorder="1" applyAlignment="1">
      <alignment horizontal="left"/>
    </xf>
    <xf numFmtId="9" fontId="16" fillId="0" borderId="1" xfId="0" applyNumberFormat="1" applyFont="1" applyBorder="1" applyAlignment="1">
      <alignment horizontal="left"/>
    </xf>
    <xf numFmtId="182" fontId="17" fillId="0" borderId="1" xfId="0" applyFont="1" applyBorder="1"/>
    <xf numFmtId="10" fontId="1" fillId="0" borderId="1" xfId="0" applyNumberFormat="1" applyFont="1" applyBorder="1" applyAlignment="1">
      <alignment horizontal="left"/>
    </xf>
    <xf numFmtId="9" fontId="1" fillId="0" borderId="1" xfId="0" applyNumberFormat="1" applyFont="1" applyFill="1" applyBorder="1" applyAlignment="1">
      <alignment horizontal="left"/>
    </xf>
    <xf numFmtId="176" fontId="1" fillId="0" borderId="1" xfId="0" applyNumberFormat="1" applyFont="1" applyBorder="1" applyAlignment="1">
      <alignment horizontal="left"/>
    </xf>
    <xf numFmtId="179" fontId="1" fillId="0" borderId="1" xfId="0" applyNumberFormat="1" applyFont="1" applyFill="1" applyBorder="1" applyAlignment="1">
      <alignment horizontal="left"/>
    </xf>
    <xf numFmtId="181" fontId="1" fillId="0" borderId="1" xfId="0" applyNumberFormat="1" applyFont="1" applyFill="1" applyBorder="1" applyAlignment="1">
      <alignment horizontal="left"/>
    </xf>
    <xf numFmtId="177" fontId="1" fillId="0" borderId="4" xfId="0" applyNumberFormat="1" applyFont="1" applyBorder="1" applyAlignment="1">
      <alignment horizontal="left"/>
    </xf>
    <xf numFmtId="179" fontId="1" fillId="0" borderId="0" xfId="0" applyNumberFormat="1" applyFont="1" applyAlignment="1">
      <alignment horizontal="left"/>
    </xf>
    <xf numFmtId="177" fontId="1" fillId="0" borderId="0" xfId="0" applyNumberFormat="1" applyFont="1" applyAlignment="1">
      <alignment horizontal="left"/>
    </xf>
    <xf numFmtId="9" fontId="1" fillId="0" borderId="0" xfId="0" applyNumberFormat="1" applyFont="1" applyAlignment="1">
      <alignment horizontal="left"/>
    </xf>
    <xf numFmtId="182" fontId="1" fillId="0" borderId="1" xfId="0" applyFont="1" applyBorder="1" applyAlignment="1">
      <alignment horizontal="left"/>
    </xf>
    <xf numFmtId="182" fontId="3" fillId="0" borderId="1" xfId="0" applyFont="1" applyBorder="1" applyAlignment="1">
      <alignment horizontal="left"/>
    </xf>
    <xf numFmtId="179" fontId="1" fillId="0" borderId="1" xfId="0" applyNumberFormat="1" applyFont="1" applyBorder="1" applyAlignment="1">
      <alignment horizontal="left"/>
    </xf>
    <xf numFmtId="177" fontId="1" fillId="0" borderId="1" xfId="0" applyNumberFormat="1" applyFont="1" applyBorder="1" applyAlignment="1">
      <alignment horizontal="left"/>
    </xf>
    <xf numFmtId="9" fontId="1" fillId="0" borderId="1" xfId="0" applyNumberFormat="1" applyFont="1" applyBorder="1" applyAlignment="1">
      <alignment horizontal="left"/>
    </xf>
    <xf numFmtId="182" fontId="1" fillId="0" borderId="1" xfId="0" applyFont="1" applyFill="1" applyBorder="1" applyAlignment="1">
      <alignment horizontal="left"/>
    </xf>
    <xf numFmtId="181" fontId="1" fillId="0" borderId="1" xfId="0" applyNumberFormat="1" applyFont="1" applyBorder="1" applyAlignment="1">
      <alignment horizontal="left"/>
    </xf>
    <xf numFmtId="182" fontId="17" fillId="0" borderId="1" xfId="0" applyFont="1" applyBorder="1"/>
    <xf numFmtId="10" fontId="1" fillId="0" borderId="1" xfId="0" applyNumberFormat="1" applyFont="1" applyBorder="1" applyAlignment="1">
      <alignment horizontal="left"/>
    </xf>
    <xf numFmtId="176" fontId="1" fillId="0" borderId="1" xfId="0" applyNumberFormat="1" applyFont="1" applyBorder="1" applyAlignment="1">
      <alignment horizontal="left"/>
    </xf>
    <xf numFmtId="182" fontId="1" fillId="6" borderId="4" xfId="0" applyFont="1" applyFill="1" applyBorder="1" applyAlignment="1">
      <alignment horizontal="left"/>
    </xf>
    <xf numFmtId="183" fontId="1" fillId="0" borderId="1" xfId="0" applyNumberFormat="1" applyFont="1" applyBorder="1" applyAlignment="1">
      <alignment horizontal="left"/>
    </xf>
    <xf numFmtId="183" fontId="3" fillId="0" borderId="1" xfId="0" applyNumberFormat="1" applyFont="1" applyBorder="1" applyAlignment="1">
      <alignment horizontal="left"/>
    </xf>
    <xf numFmtId="183" fontId="17" fillId="0" borderId="1" xfId="0" applyNumberFormat="1" applyFont="1" applyBorder="1"/>
    <xf numFmtId="183" fontId="1" fillId="0" borderId="1" xfId="0" applyNumberFormat="1" applyFont="1" applyFill="1" applyBorder="1" applyAlignment="1">
      <alignment horizontal="left"/>
    </xf>
    <xf numFmtId="183" fontId="1" fillId="6" borderId="1" xfId="0" applyNumberFormat="1" applyFont="1" applyFill="1" applyBorder="1" applyAlignment="1">
      <alignment horizontal="center"/>
    </xf>
    <xf numFmtId="183" fontId="1" fillId="6" borderId="1" xfId="0" applyNumberFormat="1" applyFont="1" applyFill="1" applyBorder="1" applyAlignment="1">
      <alignment horizontal="left"/>
    </xf>
    <xf numFmtId="184" fontId="1" fillId="0" borderId="1" xfId="0" applyNumberFormat="1" applyFont="1" applyBorder="1" applyAlignment="1">
      <alignment horizontal="left"/>
    </xf>
    <xf numFmtId="185" fontId="1" fillId="0" borderId="1" xfId="0" applyNumberFormat="1" applyFont="1" applyBorder="1" applyAlignment="1">
      <alignment horizontal="left"/>
    </xf>
    <xf numFmtId="186" fontId="1" fillId="0" borderId="1" xfId="0" applyNumberFormat="1" applyFont="1" applyBorder="1" applyAlignment="1">
      <alignment horizontal="left"/>
    </xf>
    <xf numFmtId="177" fontId="1" fillId="6" borderId="0" xfId="0" applyNumberFormat="1" applyFont="1" applyFill="1" applyBorder="1" applyAlignment="1">
      <alignment horizontal="left"/>
    </xf>
    <xf numFmtId="9" fontId="16" fillId="0" borderId="1" xfId="0" applyNumberFormat="1" applyFont="1" applyFill="1" applyBorder="1" applyAlignment="1">
      <alignment horizontal="left"/>
    </xf>
    <xf numFmtId="182" fontId="1" fillId="6" borderId="5" xfId="0" applyFont="1" applyFill="1" applyBorder="1" applyAlignment="1">
      <alignment horizontal="center"/>
    </xf>
    <xf numFmtId="179" fontId="16" fillId="0" borderId="1" xfId="0" applyNumberFormat="1" applyFont="1" applyBorder="1" applyAlignment="1">
      <alignment horizontal="left"/>
    </xf>
    <xf numFmtId="181" fontId="16" fillId="0" borderId="1" xfId="0" applyNumberFormat="1" applyFont="1" applyBorder="1" applyAlignment="1">
      <alignment horizontal="left"/>
    </xf>
    <xf numFmtId="178" fontId="1" fillId="0" borderId="0" xfId="0" applyNumberFormat="1" applyFont="1" applyAlignment="1">
      <alignment horizontal="left" wrapText="1"/>
    </xf>
    <xf numFmtId="182" fontId="1" fillId="0" borderId="1" xfId="0" applyFont="1" applyBorder="1" applyAlignment="1">
      <alignment horizontal="center" vertical="center"/>
    </xf>
    <xf numFmtId="182" fontId="1" fillId="6" borderId="1" xfId="0" applyFont="1" applyFill="1" applyBorder="1" applyAlignment="1">
      <alignment horizontal="center" vertical="center"/>
    </xf>
    <xf numFmtId="183" fontId="1" fillId="6" borderId="1" xfId="0" applyNumberFormat="1" applyFont="1" applyFill="1" applyBorder="1" applyAlignment="1">
      <alignment horizontal="center" vertical="center"/>
    </xf>
    <xf numFmtId="182" fontId="1" fillId="0" borderId="12" xfId="0" applyFont="1" applyBorder="1" applyAlignment="1">
      <alignment horizontal="left"/>
    </xf>
    <xf numFmtId="182" fontId="3" fillId="0" borderId="12" xfId="0" applyFont="1" applyBorder="1" applyAlignment="1">
      <alignment horizontal="left"/>
    </xf>
    <xf numFmtId="182" fontId="3" fillId="0" borderId="12" xfId="0" applyFont="1" applyFill="1" applyBorder="1" applyAlignment="1">
      <alignment horizontal="left"/>
    </xf>
    <xf numFmtId="182" fontId="1" fillId="6" borderId="12" xfId="0" applyFont="1" applyFill="1" applyBorder="1" applyAlignment="1">
      <alignment horizontal="left"/>
    </xf>
    <xf numFmtId="182" fontId="1" fillId="0" borderId="12" xfId="0" applyFont="1" applyFill="1" applyBorder="1" applyAlignment="1">
      <alignment horizontal="left"/>
    </xf>
    <xf numFmtId="183" fontId="1" fillId="0" borderId="12" xfId="0" applyNumberFormat="1" applyFont="1" applyBorder="1" applyAlignment="1">
      <alignment horizontal="left"/>
    </xf>
    <xf numFmtId="183" fontId="3" fillId="0" borderId="12" xfId="0" applyNumberFormat="1" applyFont="1" applyBorder="1" applyAlignment="1">
      <alignment horizontal="left"/>
    </xf>
    <xf numFmtId="183" fontId="1" fillId="0" borderId="12" xfId="0" applyNumberFormat="1" applyFont="1" applyFill="1" applyBorder="1" applyAlignment="1">
      <alignment horizontal="left"/>
    </xf>
    <xf numFmtId="183" fontId="1" fillId="6" borderId="12" xfId="0" applyNumberFormat="1" applyFont="1" applyFill="1" applyBorder="1" applyAlignment="1">
      <alignment horizontal="left"/>
    </xf>
    <xf numFmtId="183" fontId="0" fillId="0" borderId="0" xfId="0" applyNumberFormat="1"/>
    <xf numFmtId="0" fontId="0" fillId="0" borderId="0" xfId="0" applyNumberFormat="1" applyAlignment="1">
      <alignment horizontal="center"/>
    </xf>
    <xf numFmtId="182" fontId="19" fillId="7" borderId="1" xfId="0" applyFont="1" applyFill="1" applyBorder="1" applyAlignment="1">
      <alignment horizontal="center" vertical="center"/>
    </xf>
    <xf numFmtId="182" fontId="20" fillId="7" borderId="1" xfId="0" applyFont="1" applyFill="1" applyBorder="1" applyAlignment="1">
      <alignment horizontal="center" vertical="center"/>
    </xf>
    <xf numFmtId="178" fontId="20" fillId="7" borderId="1" xfId="0" applyNumberFormat="1" applyFont="1" applyFill="1" applyBorder="1" applyAlignment="1">
      <alignment horizontal="center" vertical="center"/>
    </xf>
    <xf numFmtId="0" fontId="20" fillId="7" borderId="1" xfId="0" applyNumberFormat="1" applyFont="1" applyFill="1" applyBorder="1" applyAlignment="1">
      <alignment horizontal="center" vertical="center"/>
    </xf>
    <xf numFmtId="182" fontId="1" fillId="9" borderId="1" xfId="0" applyFont="1" applyFill="1" applyBorder="1" applyAlignment="1">
      <alignment horizontal="center" vertical="center" wrapText="1"/>
    </xf>
    <xf numFmtId="177" fontId="1" fillId="8" borderId="1" xfId="0" applyNumberFormat="1" applyFont="1" applyFill="1" applyBorder="1" applyAlignment="1">
      <alignment horizontal="center"/>
    </xf>
    <xf numFmtId="179" fontId="1" fillId="8" borderId="1" xfId="0" applyNumberFormat="1" applyFont="1" applyFill="1" applyBorder="1" applyAlignment="1">
      <alignment horizontal="center"/>
    </xf>
    <xf numFmtId="0" fontId="1" fillId="8" borderId="1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9" fontId="1" fillId="8" borderId="1" xfId="0" applyNumberFormat="1" applyFont="1" applyFill="1" applyBorder="1" applyAlignment="1">
      <alignment horizontal="center"/>
    </xf>
    <xf numFmtId="178" fontId="1" fillId="9" borderId="1" xfId="0" applyNumberFormat="1" applyFont="1" applyFill="1" applyBorder="1" applyAlignment="1">
      <alignment horizontal="center"/>
    </xf>
    <xf numFmtId="0" fontId="1" fillId="9" borderId="1" xfId="0" applyNumberFormat="1" applyFont="1" applyFill="1" applyBorder="1" applyAlignment="1">
      <alignment horizontal="center"/>
    </xf>
    <xf numFmtId="179" fontId="1" fillId="9" borderId="1" xfId="0" applyNumberFormat="1" applyFont="1" applyFill="1" applyBorder="1" applyAlignment="1">
      <alignment horizontal="center"/>
    </xf>
    <xf numFmtId="177" fontId="1" fillId="9" borderId="1" xfId="0" applyNumberFormat="1" applyFont="1" applyFill="1" applyBorder="1" applyAlignment="1">
      <alignment horizontal="center"/>
    </xf>
    <xf numFmtId="180" fontId="1" fillId="9" borderId="1" xfId="0" applyNumberFormat="1" applyFont="1" applyFill="1" applyBorder="1" applyAlignment="1">
      <alignment horizontal="center"/>
    </xf>
    <xf numFmtId="181" fontId="1" fillId="8" borderId="1" xfId="0" applyNumberFormat="1" applyFont="1" applyFill="1" applyBorder="1" applyAlignment="1">
      <alignment horizontal="center"/>
    </xf>
    <xf numFmtId="180" fontId="1" fillId="8" borderId="1" xfId="0" applyNumberFormat="1" applyFont="1" applyFill="1" applyBorder="1" applyAlignment="1">
      <alignment horizontal="center"/>
    </xf>
    <xf numFmtId="177" fontId="16" fillId="8" borderId="1" xfId="0" applyNumberFormat="1" applyFont="1" applyFill="1" applyBorder="1" applyAlignment="1">
      <alignment horizontal="center"/>
    </xf>
    <xf numFmtId="176" fontId="16" fillId="8" borderId="1" xfId="0" applyNumberFormat="1" applyFont="1" applyFill="1" applyBorder="1" applyAlignment="1">
      <alignment horizontal="center"/>
    </xf>
    <xf numFmtId="177" fontId="16" fillId="9" borderId="1" xfId="0" applyNumberFormat="1" applyFont="1" applyFill="1" applyBorder="1" applyAlignment="1">
      <alignment horizontal="center"/>
    </xf>
    <xf numFmtId="10" fontId="1" fillId="9" borderId="1" xfId="0" applyNumberFormat="1" applyFont="1" applyFill="1" applyBorder="1" applyAlignment="1">
      <alignment horizontal="center"/>
    </xf>
    <xf numFmtId="2" fontId="1" fillId="9" borderId="1" xfId="0" applyNumberFormat="1" applyFont="1" applyFill="1" applyBorder="1" applyAlignment="1">
      <alignment horizontal="center"/>
    </xf>
    <xf numFmtId="181" fontId="1" fillId="9" borderId="1" xfId="0" applyNumberFormat="1" applyFont="1" applyFill="1" applyBorder="1" applyAlignment="1">
      <alignment horizontal="center"/>
    </xf>
    <xf numFmtId="10" fontId="1" fillId="9" borderId="1" xfId="4" applyNumberFormat="1" applyFont="1" applyFill="1" applyBorder="1" applyAlignment="1">
      <alignment horizontal="center"/>
    </xf>
    <xf numFmtId="178" fontId="1" fillId="8" borderId="1" xfId="0" applyNumberFormat="1" applyFont="1" applyFill="1" applyBorder="1" applyAlignment="1">
      <alignment horizontal="center"/>
    </xf>
    <xf numFmtId="183" fontId="1" fillId="9" borderId="1" xfId="0" applyNumberFormat="1" applyFont="1" applyFill="1" applyBorder="1" applyAlignment="1">
      <alignment horizontal="center"/>
    </xf>
    <xf numFmtId="176" fontId="1" fillId="9" borderId="1" xfId="0" applyNumberFormat="1" applyFont="1" applyFill="1" applyBorder="1" applyAlignment="1">
      <alignment horizontal="center"/>
    </xf>
    <xf numFmtId="178" fontId="16" fillId="8" borderId="1" xfId="0" applyNumberFormat="1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184" fontId="1" fillId="9" borderId="1" xfId="0" applyNumberFormat="1" applyFont="1" applyFill="1" applyBorder="1" applyAlignment="1">
      <alignment horizontal="center"/>
    </xf>
    <xf numFmtId="186" fontId="1" fillId="9" borderId="1" xfId="0" applyNumberFormat="1" applyFont="1" applyFill="1" applyBorder="1" applyAlignment="1">
      <alignment horizontal="center"/>
    </xf>
    <xf numFmtId="183" fontId="1" fillId="8" borderId="1" xfId="0" applyNumberFormat="1" applyFont="1" applyFill="1" applyBorder="1" applyAlignment="1">
      <alignment horizontal="center"/>
    </xf>
    <xf numFmtId="184" fontId="1" fillId="8" borderId="1" xfId="0" applyNumberFormat="1" applyFont="1" applyFill="1" applyBorder="1" applyAlignment="1">
      <alignment horizontal="center"/>
    </xf>
    <xf numFmtId="0" fontId="1" fillId="8" borderId="1" xfId="0" applyNumberFormat="1" applyFont="1" applyFill="1" applyBorder="1" applyAlignment="1">
      <alignment horizontal="center" vertical="center"/>
    </xf>
    <xf numFmtId="179" fontId="16" fillId="8" borderId="1" xfId="0" applyNumberFormat="1" applyFont="1" applyFill="1" applyBorder="1" applyAlignment="1">
      <alignment horizontal="center"/>
    </xf>
    <xf numFmtId="185" fontId="1" fillId="8" borderId="1" xfId="0" applyNumberFormat="1" applyFont="1" applyFill="1" applyBorder="1" applyAlignment="1">
      <alignment horizontal="center"/>
    </xf>
    <xf numFmtId="181" fontId="16" fillId="8" borderId="1" xfId="0" applyNumberFormat="1" applyFont="1" applyFill="1" applyBorder="1" applyAlignment="1">
      <alignment horizontal="center"/>
    </xf>
    <xf numFmtId="10" fontId="1" fillId="8" borderId="1" xfId="4" applyNumberFormat="1" applyFont="1" applyFill="1" applyBorder="1" applyAlignment="1">
      <alignment horizontal="center"/>
    </xf>
    <xf numFmtId="177" fontId="1" fillId="9" borderId="1" xfId="0" applyNumberFormat="1" applyFont="1" applyFill="1" applyBorder="1" applyAlignment="1">
      <alignment horizontal="center" vertical="center"/>
    </xf>
    <xf numFmtId="9" fontId="1" fillId="9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82" fontId="0" fillId="0" borderId="0" xfId="0" applyAlignment="1">
      <alignment horizontal="center"/>
    </xf>
    <xf numFmtId="182" fontId="1" fillId="6" borderId="3" xfId="0" applyFont="1" applyFill="1" applyBorder="1" applyAlignment="1">
      <alignment horizontal="center"/>
    </xf>
    <xf numFmtId="177" fontId="1" fillId="6" borderId="13" xfId="0" applyNumberFormat="1" applyFont="1" applyFill="1" applyBorder="1" applyAlignment="1">
      <alignment horizontal="center"/>
    </xf>
    <xf numFmtId="9" fontId="1" fillId="6" borderId="13" xfId="0" applyNumberFormat="1" applyFont="1" applyFill="1" applyBorder="1" applyAlignment="1">
      <alignment horizontal="center"/>
    </xf>
    <xf numFmtId="9" fontId="1" fillId="6" borderId="12" xfId="0" applyNumberFormat="1" applyFont="1" applyFill="1" applyBorder="1" applyAlignment="1">
      <alignment horizontal="center"/>
    </xf>
    <xf numFmtId="183" fontId="1" fillId="6" borderId="3" xfId="0" applyNumberFormat="1" applyFont="1" applyFill="1" applyBorder="1" applyAlignment="1">
      <alignment horizontal="center"/>
    </xf>
    <xf numFmtId="183" fontId="1" fillId="6" borderId="13" xfId="0" applyNumberFormat="1" applyFont="1" applyFill="1" applyBorder="1" applyAlignment="1">
      <alignment horizontal="center"/>
    </xf>
    <xf numFmtId="182" fontId="1" fillId="6" borderId="3" xfId="0" applyFont="1" applyFill="1" applyBorder="1" applyAlignment="1">
      <alignment horizontal="left" vertical="center"/>
    </xf>
    <xf numFmtId="183" fontId="1" fillId="6" borderId="12" xfId="0" applyNumberFormat="1" applyFont="1" applyFill="1" applyBorder="1" applyAlignment="1">
      <alignment horizontal="center"/>
    </xf>
    <xf numFmtId="182" fontId="0" fillId="0" borderId="0" xfId="0" applyAlignment="1">
      <alignment horizontal="center" vertical="center"/>
    </xf>
    <xf numFmtId="182" fontId="1" fillId="8" borderId="1" xfId="0" applyFont="1" applyFill="1" applyBorder="1" applyAlignment="1">
      <alignment horizontal="center" vertical="center"/>
    </xf>
    <xf numFmtId="182" fontId="1" fillId="9" borderId="1" xfId="0" applyFont="1" applyFill="1" applyBorder="1" applyAlignment="1">
      <alignment horizontal="center" vertical="center"/>
    </xf>
    <xf numFmtId="183" fontId="1" fillId="9" borderId="1" xfId="0" applyNumberFormat="1" applyFont="1" applyFill="1" applyBorder="1" applyAlignment="1">
      <alignment horizontal="center" vertical="center"/>
    </xf>
    <xf numFmtId="183" fontId="1" fillId="8" borderId="1" xfId="0" applyNumberFormat="1" applyFont="1" applyFill="1" applyBorder="1" applyAlignment="1">
      <alignment horizontal="center" vertical="center"/>
    </xf>
    <xf numFmtId="183" fontId="1" fillId="6" borderId="13" xfId="0" applyNumberFormat="1" applyFont="1" applyFill="1" applyBorder="1" applyAlignment="1">
      <alignment horizontal="center" vertical="center"/>
    </xf>
    <xf numFmtId="182" fontId="3" fillId="8" borderId="1" xfId="0" applyFont="1" applyFill="1" applyBorder="1" applyAlignment="1">
      <alignment horizontal="center" vertical="center"/>
    </xf>
    <xf numFmtId="182" fontId="1" fillId="6" borderId="13" xfId="0" applyFont="1" applyFill="1" applyBorder="1" applyAlignment="1">
      <alignment horizontal="center" vertical="center"/>
    </xf>
    <xf numFmtId="182" fontId="3" fillId="9" borderId="1" xfId="0" applyFont="1" applyFill="1" applyBorder="1" applyAlignment="1">
      <alignment horizontal="center" vertical="center"/>
    </xf>
    <xf numFmtId="182" fontId="4" fillId="9" borderId="1" xfId="0" applyFont="1" applyFill="1" applyBorder="1" applyAlignment="1">
      <alignment horizontal="center" vertical="center"/>
    </xf>
    <xf numFmtId="182" fontId="4" fillId="8" borderId="1" xfId="0" applyFont="1" applyFill="1" applyBorder="1" applyAlignment="1">
      <alignment horizontal="center" vertical="center"/>
    </xf>
    <xf numFmtId="183" fontId="3" fillId="9" borderId="1" xfId="0" applyNumberFormat="1" applyFont="1" applyFill="1" applyBorder="1" applyAlignment="1">
      <alignment horizontal="center" vertical="center"/>
    </xf>
    <xf numFmtId="183" fontId="3" fillId="8" borderId="1" xfId="0" applyNumberFormat="1" applyFont="1" applyFill="1" applyBorder="1" applyAlignment="1">
      <alignment horizontal="center" vertical="center"/>
    </xf>
    <xf numFmtId="182" fontId="3" fillId="9" borderId="1" xfId="0" applyFont="1" applyFill="1" applyBorder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/>
    </xf>
    <xf numFmtId="182" fontId="1" fillId="8" borderId="1" xfId="0" applyFont="1" applyFill="1" applyBorder="1" applyAlignment="1">
      <alignment horizontal="center"/>
    </xf>
    <xf numFmtId="182" fontId="1" fillId="6" borderId="13" xfId="0" applyFont="1" applyFill="1" applyBorder="1" applyAlignment="1">
      <alignment horizontal="center"/>
    </xf>
    <xf numFmtId="182" fontId="1" fillId="9" borderId="1" xfId="0" applyFont="1" applyFill="1" applyBorder="1" applyAlignment="1">
      <alignment horizontal="center"/>
    </xf>
    <xf numFmtId="182" fontId="1" fillId="0" borderId="0" xfId="0" applyFont="1" applyAlignment="1">
      <alignment horizontal="center"/>
    </xf>
    <xf numFmtId="182" fontId="1" fillId="0" borderId="1" xfId="0" applyFont="1" applyBorder="1" applyAlignment="1">
      <alignment horizontal="center"/>
    </xf>
    <xf numFmtId="183" fontId="1" fillId="0" borderId="1" xfId="0" applyNumberFormat="1" applyFont="1" applyBorder="1" applyAlignment="1">
      <alignment horizontal="center"/>
    </xf>
    <xf numFmtId="182" fontId="1" fillId="0" borderId="5" xfId="0" applyFont="1" applyBorder="1" applyAlignment="1">
      <alignment horizontal="center"/>
    </xf>
    <xf numFmtId="182" fontId="1" fillId="0" borderId="6" xfId="0" applyFont="1" applyBorder="1" applyAlignment="1">
      <alignment horizontal="center"/>
    </xf>
    <xf numFmtId="182" fontId="0" fillId="0" borderId="0" xfId="0" applyAlignment="1">
      <alignment horizontal="center" vertical="center"/>
    </xf>
    <xf numFmtId="182" fontId="0" fillId="0" borderId="0" xfId="0" applyAlignment="1">
      <alignment horizontal="center" vertical="center" wrapText="1"/>
    </xf>
    <xf numFmtId="182" fontId="0" fillId="0" borderId="1" xfId="0" applyBorder="1" applyAlignment="1">
      <alignment horizontal="center"/>
    </xf>
    <xf numFmtId="182" fontId="0" fillId="0" borderId="4" xfId="0" applyBorder="1" applyAlignment="1">
      <alignment horizontal="center" vertical="center"/>
    </xf>
    <xf numFmtId="182" fontId="0" fillId="0" borderId="5" xfId="0" applyBorder="1" applyAlignment="1">
      <alignment horizontal="center" vertical="center"/>
    </xf>
    <xf numFmtId="182" fontId="0" fillId="0" borderId="6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82" fontId="0" fillId="0" borderId="9" xfId="0" applyBorder="1" applyAlignment="1">
      <alignment horizontal="center" vertical="center"/>
    </xf>
    <xf numFmtId="182" fontId="0" fillId="0" borderId="2" xfId="0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182" fontId="1" fillId="0" borderId="1" xfId="0" applyFont="1" applyBorder="1" applyAlignment="1">
      <alignment horizontal="center" vertical="center"/>
    </xf>
    <xf numFmtId="183" fontId="1" fillId="0" borderId="1" xfId="0" applyNumberFormat="1" applyFont="1" applyBorder="1" applyAlignment="1">
      <alignment horizontal="center" vertical="center"/>
    </xf>
    <xf numFmtId="183" fontId="1" fillId="8" borderId="1" xfId="0" applyNumberFormat="1" applyFont="1" applyFill="1" applyBorder="1" applyAlignment="1">
      <alignment horizontal="center" vertical="center"/>
    </xf>
    <xf numFmtId="183" fontId="1" fillId="9" borderId="1" xfId="0" applyNumberFormat="1" applyFont="1" applyFill="1" applyBorder="1" applyAlignment="1">
      <alignment horizontal="center" vertical="center"/>
    </xf>
    <xf numFmtId="182" fontId="1" fillId="8" borderId="1" xfId="0" applyFont="1" applyFill="1" applyBorder="1" applyAlignment="1">
      <alignment horizontal="center" vertical="center"/>
    </xf>
    <xf numFmtId="182" fontId="1" fillId="9" borderId="1" xfId="0" applyFont="1" applyFill="1" applyBorder="1" applyAlignment="1">
      <alignment horizontal="center" vertical="center"/>
    </xf>
    <xf numFmtId="182" fontId="0" fillId="0" borderId="0" xfId="0" applyFill="1"/>
  </cellXfs>
  <cellStyles count="5">
    <cellStyle name="百分比" xfId="4" builtinId="5"/>
    <cellStyle name="差" xfId="2" builtinId="27"/>
    <cellStyle name="常规" xfId="0" builtinId="0"/>
    <cellStyle name="好" xfId="1" builtinId="26"/>
    <cellStyle name="适中" xfId="3" builtinId="28"/>
  </cellStyles>
  <dxfs count="7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1"/>
  <sheetViews>
    <sheetView zoomScale="90" zoomScaleNormal="90" workbookViewId="0">
      <pane xSplit="3" ySplit="1" topLeftCell="D140" activePane="bottomRight" state="frozen"/>
      <selection pane="topRight" activeCell="D1" sqref="D1"/>
      <selection pane="bottomLeft" activeCell="A2" sqref="A2"/>
      <selection pane="bottomRight" sqref="A1:J228"/>
    </sheetView>
  </sheetViews>
  <sheetFormatPr defaultColWidth="9" defaultRowHeight="15" x14ac:dyDescent="0.25"/>
  <cols>
    <col min="1" max="1" width="9.375" style="38" customWidth="1"/>
    <col min="2" max="2" width="17.625" style="38" customWidth="1"/>
    <col min="3" max="3" width="7.375" style="38" customWidth="1"/>
    <col min="4" max="4" width="9.625" style="38" customWidth="1"/>
    <col min="5" max="5" width="9.125" style="38" customWidth="1"/>
    <col min="6" max="6" width="8.625" style="39" customWidth="1"/>
    <col min="7" max="7" width="9" style="39" customWidth="1"/>
    <col min="8" max="8" width="9" style="39"/>
    <col min="9" max="9" width="9.5" style="39" bestFit="1" customWidth="1"/>
    <col min="10" max="10" width="9.5" style="39" customWidth="1"/>
    <col min="11" max="16384" width="9" style="39"/>
  </cols>
  <sheetData>
    <row r="1" spans="1:10" ht="31.5" customHeight="1" x14ac:dyDescent="0.25">
      <c r="A1" s="55"/>
      <c r="B1" s="55"/>
      <c r="C1" s="55" t="s">
        <v>0</v>
      </c>
      <c r="D1" s="56" t="s">
        <v>419</v>
      </c>
      <c r="E1" s="57" t="s">
        <v>491</v>
      </c>
      <c r="F1" s="55" t="s">
        <v>523</v>
      </c>
      <c r="G1" s="58" t="s">
        <v>521</v>
      </c>
      <c r="H1" s="58" t="s">
        <v>527</v>
      </c>
      <c r="I1" s="58" t="s">
        <v>531</v>
      </c>
      <c r="J1" s="58" t="s">
        <v>536</v>
      </c>
    </row>
    <row r="2" spans="1:10" hidden="1" x14ac:dyDescent="0.25">
      <c r="A2" s="191" t="s">
        <v>538</v>
      </c>
      <c r="B2" s="55" t="s">
        <v>364</v>
      </c>
      <c r="C2" s="55" t="s">
        <v>1</v>
      </c>
      <c r="D2" s="55"/>
      <c r="E2" s="55"/>
      <c r="F2" s="58">
        <v>842.18</v>
      </c>
      <c r="G2" s="58">
        <v>838.46</v>
      </c>
      <c r="H2" s="58">
        <v>855.08</v>
      </c>
      <c r="I2" s="58">
        <v>836.23</v>
      </c>
      <c r="J2" s="58">
        <v>836</v>
      </c>
    </row>
    <row r="3" spans="1:10" s="40" customFormat="1" hidden="1" x14ac:dyDescent="0.25">
      <c r="A3" s="191"/>
      <c r="B3" s="55" t="s">
        <v>2</v>
      </c>
      <c r="C3" s="55" t="s">
        <v>3</v>
      </c>
      <c r="D3" s="55"/>
      <c r="E3" s="55"/>
      <c r="F3" s="59">
        <v>1.65</v>
      </c>
      <c r="G3" s="82">
        <v>1.59</v>
      </c>
      <c r="H3" s="82">
        <v>1.72</v>
      </c>
      <c r="I3" s="82">
        <v>1.55</v>
      </c>
      <c r="J3" s="82">
        <v>1.53</v>
      </c>
    </row>
    <row r="4" spans="1:10" s="41" customFormat="1" hidden="1" x14ac:dyDescent="0.25">
      <c r="A4" s="191"/>
      <c r="B4" s="55" t="s">
        <v>365</v>
      </c>
      <c r="C4" s="55" t="s">
        <v>366</v>
      </c>
      <c r="D4" s="55"/>
      <c r="E4" s="55"/>
      <c r="F4" s="60">
        <v>11</v>
      </c>
      <c r="G4" s="83">
        <v>11</v>
      </c>
      <c r="H4" s="83">
        <v>11</v>
      </c>
      <c r="I4" s="83">
        <v>11</v>
      </c>
      <c r="J4" s="83">
        <v>11</v>
      </c>
    </row>
    <row r="5" spans="1:10" x14ac:dyDescent="0.25">
      <c r="A5" s="191"/>
      <c r="B5" s="55" t="s">
        <v>367</v>
      </c>
      <c r="C5" s="55" t="s">
        <v>368</v>
      </c>
      <c r="D5" s="55" t="s">
        <v>421</v>
      </c>
      <c r="E5" s="55" t="s">
        <v>465</v>
      </c>
      <c r="F5" s="58">
        <f>F2/F4</f>
        <v>76.561818181818182</v>
      </c>
      <c r="G5" s="58">
        <f>G2/G4</f>
        <v>76.223636363636373</v>
      </c>
      <c r="H5" s="58">
        <f>H2/H4</f>
        <v>77.734545454545454</v>
      </c>
      <c r="I5" s="58">
        <f>I2/I4</f>
        <v>76.020909090909086</v>
      </c>
      <c r="J5" s="58">
        <f>J2/J4</f>
        <v>76</v>
      </c>
    </row>
    <row r="6" spans="1:10" s="41" customFormat="1" hidden="1" x14ac:dyDescent="0.25">
      <c r="A6" s="191"/>
      <c r="B6" s="55" t="s">
        <v>369</v>
      </c>
      <c r="C6" s="55" t="s">
        <v>234</v>
      </c>
      <c r="D6" s="55"/>
      <c r="E6" s="55"/>
      <c r="F6" s="60">
        <v>5.5</v>
      </c>
      <c r="G6" s="83">
        <v>5.5</v>
      </c>
      <c r="H6" s="83">
        <v>5.5</v>
      </c>
      <c r="I6" s="83">
        <v>5.5</v>
      </c>
      <c r="J6" s="83">
        <v>5.5</v>
      </c>
    </row>
    <row r="7" spans="1:10" x14ac:dyDescent="0.25">
      <c r="A7" s="191"/>
      <c r="B7" s="55" t="s">
        <v>370</v>
      </c>
      <c r="C7" s="55" t="s">
        <v>368</v>
      </c>
      <c r="D7" s="55" t="s">
        <v>421</v>
      </c>
      <c r="E7" s="55" t="s">
        <v>466</v>
      </c>
      <c r="F7" s="58">
        <f>F2/F6</f>
        <v>153.12363636363636</v>
      </c>
      <c r="G7" s="58">
        <f>G2/G6</f>
        <v>152.44727272727275</v>
      </c>
      <c r="H7" s="58">
        <f>H2/H6</f>
        <v>155.46909090909091</v>
      </c>
      <c r="I7" s="58">
        <f>I2/I6</f>
        <v>152.04181818181817</v>
      </c>
      <c r="J7" s="58">
        <f>J2/J6</f>
        <v>152</v>
      </c>
    </row>
    <row r="8" spans="1:10" hidden="1" x14ac:dyDescent="0.25">
      <c r="A8" s="191"/>
      <c r="B8" s="55" t="s">
        <v>371</v>
      </c>
      <c r="C8" s="55" t="s">
        <v>234</v>
      </c>
      <c r="D8" s="55"/>
      <c r="E8" s="55"/>
      <c r="F8" s="60">
        <v>1.2</v>
      </c>
      <c r="G8" s="83">
        <v>1.2</v>
      </c>
      <c r="H8" s="83">
        <v>1.2</v>
      </c>
      <c r="I8" s="83">
        <v>1.2</v>
      </c>
      <c r="J8" s="83">
        <v>1.2</v>
      </c>
    </row>
    <row r="9" spans="1:10" x14ac:dyDescent="0.25">
      <c r="A9" s="191"/>
      <c r="B9" s="55" t="s">
        <v>372</v>
      </c>
      <c r="C9" s="55" t="s">
        <v>368</v>
      </c>
      <c r="D9" s="55" t="s">
        <v>422</v>
      </c>
      <c r="E9" s="55" t="s">
        <v>467</v>
      </c>
      <c r="F9" s="58">
        <f>F2/F8</f>
        <v>701.81666666666661</v>
      </c>
      <c r="G9" s="58">
        <f>G2/G8</f>
        <v>698.7166666666667</v>
      </c>
      <c r="H9" s="58">
        <f>H2/H8</f>
        <v>712.56666666666672</v>
      </c>
      <c r="I9" s="58">
        <f>I2/I8</f>
        <v>696.85833333333335</v>
      </c>
      <c r="J9" s="58">
        <f>J2/J8</f>
        <v>696.66666666666674</v>
      </c>
    </row>
    <row r="10" spans="1:10" hidden="1" x14ac:dyDescent="0.25">
      <c r="A10" s="191"/>
      <c r="B10" s="55" t="s">
        <v>373</v>
      </c>
      <c r="C10" s="55" t="s">
        <v>359</v>
      </c>
      <c r="D10" s="55"/>
      <c r="E10" s="55"/>
      <c r="F10" s="58">
        <v>850</v>
      </c>
      <c r="G10" s="58">
        <v>850</v>
      </c>
      <c r="H10" s="58">
        <v>825</v>
      </c>
      <c r="I10" s="58">
        <v>825</v>
      </c>
      <c r="J10" s="58">
        <v>825</v>
      </c>
    </row>
    <row r="11" spans="1:10" x14ac:dyDescent="0.25">
      <c r="A11" s="191"/>
      <c r="B11" s="55" t="s">
        <v>374</v>
      </c>
      <c r="C11" s="55" t="s">
        <v>360</v>
      </c>
      <c r="D11" s="55" t="s">
        <v>421</v>
      </c>
      <c r="E11" s="55" t="s">
        <v>449</v>
      </c>
      <c r="F11" s="58">
        <f>F10/F4</f>
        <v>77.272727272727266</v>
      </c>
      <c r="G11" s="58">
        <f>G10/G4</f>
        <v>77.272727272727266</v>
      </c>
      <c r="H11" s="58">
        <f>H10/H4</f>
        <v>75</v>
      </c>
      <c r="I11" s="58">
        <f>I10/I4</f>
        <v>75</v>
      </c>
      <c r="J11" s="58">
        <f>J10/J4</f>
        <v>75</v>
      </c>
    </row>
    <row r="12" spans="1:10" x14ac:dyDescent="0.25">
      <c r="A12" s="191"/>
      <c r="B12" s="55" t="s">
        <v>493</v>
      </c>
      <c r="C12" s="55" t="s">
        <v>358</v>
      </c>
      <c r="D12" s="55" t="s">
        <v>421</v>
      </c>
      <c r="E12" s="55" t="s">
        <v>492</v>
      </c>
      <c r="F12" s="55" t="s">
        <v>492</v>
      </c>
      <c r="G12" s="80" t="s">
        <v>522</v>
      </c>
      <c r="H12" s="80" t="s">
        <v>492</v>
      </c>
      <c r="I12" s="80" t="s">
        <v>532</v>
      </c>
      <c r="J12" s="80" t="s">
        <v>492</v>
      </c>
    </row>
    <row r="13" spans="1:10" hidden="1" x14ac:dyDescent="0.25">
      <c r="A13" s="191"/>
      <c r="B13" s="56" t="s">
        <v>494</v>
      </c>
      <c r="C13" s="55" t="s">
        <v>4</v>
      </c>
      <c r="D13" s="55"/>
      <c r="E13" s="55"/>
      <c r="F13" s="58">
        <v>979.4</v>
      </c>
      <c r="G13" s="58">
        <v>994.6</v>
      </c>
      <c r="H13" s="58">
        <v>960.1</v>
      </c>
      <c r="I13" s="58">
        <v>954</v>
      </c>
      <c r="J13" s="58">
        <v>950</v>
      </c>
    </row>
    <row r="14" spans="1:10" s="40" customFormat="1" hidden="1" x14ac:dyDescent="0.25">
      <c r="A14" s="191"/>
      <c r="B14" s="55" t="s">
        <v>376</v>
      </c>
      <c r="C14" s="55" t="s">
        <v>5</v>
      </c>
      <c r="D14" s="55"/>
      <c r="E14" s="55"/>
      <c r="F14" s="59">
        <v>1.32</v>
      </c>
      <c r="G14" s="82">
        <v>1.24</v>
      </c>
      <c r="H14" s="82">
        <v>1.42</v>
      </c>
      <c r="I14" s="82">
        <v>1.26</v>
      </c>
      <c r="J14" s="82">
        <v>1.25</v>
      </c>
    </row>
    <row r="15" spans="1:10" s="40" customFormat="1" hidden="1" x14ac:dyDescent="0.25">
      <c r="A15" s="191"/>
      <c r="B15" s="56" t="s">
        <v>440</v>
      </c>
      <c r="C15" s="55" t="s">
        <v>441</v>
      </c>
      <c r="D15" s="55"/>
      <c r="E15" s="55"/>
      <c r="F15" s="59">
        <v>11.721</v>
      </c>
      <c r="G15" s="82">
        <v>11.8</v>
      </c>
      <c r="H15" s="82">
        <v>11.8</v>
      </c>
      <c r="J15" s="77">
        <v>209.9</v>
      </c>
    </row>
    <row r="16" spans="1:10" s="42" customFormat="1" hidden="1" x14ac:dyDescent="0.25">
      <c r="A16" s="191"/>
      <c r="B16" s="55" t="s">
        <v>377</v>
      </c>
      <c r="C16" s="55" t="s">
        <v>6</v>
      </c>
      <c r="D16" s="55"/>
      <c r="E16" s="55"/>
      <c r="F16" s="61">
        <f>F14*F13/F3/F2</f>
        <v>0.93034743166543976</v>
      </c>
      <c r="G16" s="84">
        <f>G14*G13/G3/G2</f>
        <v>0.92510423047224788</v>
      </c>
      <c r="H16" s="84">
        <f>H14*H13/H3/H2</f>
        <v>0.92697840865698944</v>
      </c>
      <c r="I16" s="84">
        <f>I14*I13/I3/I2</f>
        <v>0.92738801217291278</v>
      </c>
      <c r="J16" s="84">
        <f>J14*J13/J3/J2</f>
        <v>0.92840166369578137</v>
      </c>
    </row>
    <row r="17" spans="1:10" s="50" customFormat="1" hidden="1" x14ac:dyDescent="0.25">
      <c r="A17" s="191"/>
      <c r="B17" s="62" t="s">
        <v>416</v>
      </c>
      <c r="C17" s="63" t="s">
        <v>417</v>
      </c>
      <c r="D17" s="63"/>
      <c r="E17" s="63"/>
      <c r="F17" s="64">
        <f>F14*(F13-F15)</f>
        <v>1277.33628</v>
      </c>
      <c r="G17" s="64">
        <f>G14*(G13-G15)</f>
        <v>1218.672</v>
      </c>
      <c r="H17" s="64">
        <f>H14*(H13-H15)</f>
        <v>1346.586</v>
      </c>
      <c r="I17" s="64">
        <f>I14*(I13-I15)</f>
        <v>1202.04</v>
      </c>
      <c r="J17" s="64">
        <f>J14*(J13-J15)</f>
        <v>925.125</v>
      </c>
    </row>
    <row r="18" spans="1:10" s="46" customFormat="1" x14ac:dyDescent="0.25">
      <c r="A18" s="44"/>
      <c r="B18" s="47"/>
      <c r="C18" s="47"/>
      <c r="D18" s="47"/>
      <c r="E18" s="47"/>
      <c r="F18" s="65"/>
    </row>
    <row r="19" spans="1:10" x14ac:dyDescent="0.25">
      <c r="A19" s="191" t="s">
        <v>539</v>
      </c>
      <c r="B19" s="55" t="s">
        <v>378</v>
      </c>
      <c r="C19" s="55" t="s">
        <v>8</v>
      </c>
      <c r="D19" s="55"/>
      <c r="E19" s="55" t="s">
        <v>468</v>
      </c>
      <c r="F19" s="58">
        <v>3781</v>
      </c>
      <c r="G19" s="58">
        <v>3781</v>
      </c>
      <c r="H19" s="58">
        <v>3781</v>
      </c>
      <c r="I19" s="58">
        <v>3781</v>
      </c>
      <c r="J19" s="58">
        <v>3781</v>
      </c>
    </row>
    <row r="20" spans="1:10" s="40" customFormat="1" x14ac:dyDescent="0.25">
      <c r="A20" s="191"/>
      <c r="B20" s="55" t="s">
        <v>9</v>
      </c>
      <c r="C20" s="55"/>
      <c r="D20" s="55"/>
      <c r="E20" s="55" t="s">
        <v>361</v>
      </c>
      <c r="F20" s="82">
        <v>1.1599999999999999</v>
      </c>
      <c r="G20" s="82">
        <v>1.1599999999999999</v>
      </c>
      <c r="H20" s="82">
        <v>1.1599999999999999</v>
      </c>
      <c r="I20" s="82">
        <v>1.1599999999999999</v>
      </c>
      <c r="J20" s="82">
        <v>1.1599999999999999</v>
      </c>
    </row>
    <row r="21" spans="1:10" s="52" customFormat="1" x14ac:dyDescent="0.25">
      <c r="A21" s="191"/>
      <c r="B21" s="63" t="s">
        <v>10</v>
      </c>
      <c r="C21" s="63" t="s">
        <v>11</v>
      </c>
      <c r="D21" s="63"/>
      <c r="E21" s="63" t="s">
        <v>12</v>
      </c>
      <c r="F21" s="66">
        <v>25.1</v>
      </c>
      <c r="G21" s="66">
        <v>25.1</v>
      </c>
      <c r="H21" s="66">
        <v>25.1</v>
      </c>
      <c r="I21" s="66">
        <v>25.1</v>
      </c>
      <c r="J21" s="66">
        <v>25.1</v>
      </c>
    </row>
    <row r="22" spans="1:10" s="41" customFormat="1" hidden="1" x14ac:dyDescent="0.25">
      <c r="A22" s="191"/>
      <c r="B22" s="55" t="s">
        <v>13</v>
      </c>
      <c r="C22" s="55" t="s">
        <v>14</v>
      </c>
      <c r="D22" s="55"/>
      <c r="E22" s="55"/>
      <c r="F22" s="60">
        <v>17.3</v>
      </c>
      <c r="G22" s="83">
        <v>17.3</v>
      </c>
      <c r="H22" s="83">
        <v>17.3</v>
      </c>
      <c r="I22" s="83">
        <v>17.3</v>
      </c>
      <c r="J22" s="83">
        <v>17.3</v>
      </c>
    </row>
    <row r="23" spans="1:10" hidden="1" x14ac:dyDescent="0.25">
      <c r="A23" s="191" t="s">
        <v>15</v>
      </c>
      <c r="B23" s="55" t="s">
        <v>379</v>
      </c>
      <c r="C23" s="55" t="s">
        <v>14</v>
      </c>
      <c r="D23" s="55"/>
      <c r="E23" s="55"/>
      <c r="F23" s="58">
        <v>327.10000000000002</v>
      </c>
      <c r="G23" s="58">
        <v>328.5</v>
      </c>
      <c r="H23" s="58">
        <v>317.3</v>
      </c>
      <c r="I23" s="58">
        <v>311.3</v>
      </c>
      <c r="J23" s="58">
        <v>248.2</v>
      </c>
    </row>
    <row r="24" spans="1:10" s="41" customFormat="1" x14ac:dyDescent="0.25">
      <c r="A24" s="191"/>
      <c r="B24" s="55" t="s">
        <v>380</v>
      </c>
      <c r="C24" s="55" t="s">
        <v>381</v>
      </c>
      <c r="D24" s="55" t="s">
        <v>451</v>
      </c>
      <c r="E24" s="55" t="s">
        <v>469</v>
      </c>
      <c r="F24" s="60">
        <f>F14*F23/F22</f>
        <v>24.95791907514451</v>
      </c>
      <c r="G24" s="83">
        <f>G14*G23/G22</f>
        <v>23.545664739884391</v>
      </c>
      <c r="H24" s="83">
        <f>H14*H23/H22</f>
        <v>26.044277456647396</v>
      </c>
      <c r="I24" s="83">
        <f>I14*I23/I22</f>
        <v>22.672716763005781</v>
      </c>
      <c r="J24" s="83">
        <f>J14*J23/J22</f>
        <v>17.933526011560694</v>
      </c>
    </row>
    <row r="25" spans="1:10" s="40" customFormat="1" ht="18" customHeight="1" x14ac:dyDescent="0.25">
      <c r="A25" s="191"/>
      <c r="B25" s="55" t="s">
        <v>382</v>
      </c>
      <c r="C25" s="55"/>
      <c r="D25" s="55" t="s">
        <v>424</v>
      </c>
      <c r="E25" s="55" t="s">
        <v>450</v>
      </c>
      <c r="F25" s="59">
        <v>3.57</v>
      </c>
      <c r="G25" s="82">
        <v>3.51</v>
      </c>
      <c r="H25" s="82">
        <v>3.52</v>
      </c>
      <c r="I25" s="82">
        <v>3.5</v>
      </c>
      <c r="J25" s="82">
        <v>3.54</v>
      </c>
    </row>
    <row r="26" spans="1:10" s="41" customFormat="1" hidden="1" x14ac:dyDescent="0.25">
      <c r="A26" s="191"/>
      <c r="B26" s="55" t="s">
        <v>383</v>
      </c>
      <c r="C26" s="55" t="s">
        <v>14</v>
      </c>
      <c r="D26" s="55"/>
      <c r="E26" s="55"/>
      <c r="F26" s="60">
        <v>19.2</v>
      </c>
      <c r="G26" s="83">
        <v>19</v>
      </c>
      <c r="H26" s="83">
        <v>20.399999999999999</v>
      </c>
      <c r="I26" s="83">
        <v>18.5</v>
      </c>
      <c r="J26" s="83">
        <v>17</v>
      </c>
    </row>
    <row r="27" spans="1:10" s="40" customFormat="1" hidden="1" x14ac:dyDescent="0.25">
      <c r="A27" s="191"/>
      <c r="B27" s="55" t="s">
        <v>384</v>
      </c>
      <c r="C27" s="55"/>
      <c r="D27" s="55"/>
      <c r="E27" s="55"/>
      <c r="F27" s="59">
        <f>F26/F22</f>
        <v>1.1098265895953756</v>
      </c>
      <c r="G27" s="82">
        <f>G26/G22</f>
        <v>1.0982658959537572</v>
      </c>
      <c r="H27" s="82">
        <f>H26/H22</f>
        <v>1.1791907514450866</v>
      </c>
      <c r="I27" s="82">
        <f>I26/I22</f>
        <v>1.0693641618497109</v>
      </c>
      <c r="J27" s="82">
        <f>J26/J22</f>
        <v>0.98265895953757221</v>
      </c>
    </row>
    <row r="28" spans="1:10" s="43" customFormat="1" ht="15" hidden="1" customHeight="1" x14ac:dyDescent="0.25">
      <c r="A28" s="191"/>
      <c r="B28" s="55" t="s">
        <v>386</v>
      </c>
      <c r="C28" s="55" t="s">
        <v>350</v>
      </c>
      <c r="D28" s="55"/>
      <c r="E28" s="55"/>
      <c r="F28" s="67">
        <v>0.9</v>
      </c>
      <c r="G28" s="86">
        <v>0.7</v>
      </c>
      <c r="H28" s="86">
        <v>0.7</v>
      </c>
      <c r="I28" s="86">
        <v>0.6</v>
      </c>
      <c r="J28" s="86">
        <v>0.16400000000000001</v>
      </c>
    </row>
    <row r="29" spans="1:10" s="41" customFormat="1" hidden="1" x14ac:dyDescent="0.25">
      <c r="A29" s="191"/>
      <c r="B29" s="55" t="s">
        <v>387</v>
      </c>
      <c r="C29" s="55" t="s">
        <v>14</v>
      </c>
      <c r="D29" s="55"/>
      <c r="E29" s="55"/>
      <c r="F29" s="60">
        <v>18.3</v>
      </c>
      <c r="G29" s="83">
        <v>18.3</v>
      </c>
      <c r="H29" s="83">
        <v>19.7</v>
      </c>
      <c r="I29" s="83">
        <v>17.899999999999999</v>
      </c>
      <c r="J29" s="83">
        <v>16.8</v>
      </c>
    </row>
    <row r="30" spans="1:10" s="40" customFormat="1" x14ac:dyDescent="0.25">
      <c r="A30" s="191"/>
      <c r="B30" s="55" t="s">
        <v>376</v>
      </c>
      <c r="C30" s="55" t="s">
        <v>16</v>
      </c>
      <c r="D30" s="55"/>
      <c r="E30" s="55" t="s">
        <v>470</v>
      </c>
      <c r="F30" s="68">
        <v>23.2</v>
      </c>
      <c r="G30" s="68">
        <v>19.899999999999999</v>
      </c>
      <c r="H30" s="68">
        <v>21.8</v>
      </c>
      <c r="I30" s="68">
        <v>20.399999999999999</v>
      </c>
      <c r="J30" s="68">
        <v>17.899999999999999</v>
      </c>
    </row>
    <row r="31" spans="1:10" s="42" customFormat="1" hidden="1" x14ac:dyDescent="0.25">
      <c r="A31" s="191"/>
      <c r="B31" s="56" t="s">
        <v>416</v>
      </c>
      <c r="C31" s="55" t="s">
        <v>418</v>
      </c>
      <c r="D31" s="55"/>
      <c r="E31" s="55"/>
      <c r="F31" s="68">
        <f>F29*F30</f>
        <v>424.56</v>
      </c>
      <c r="G31" s="68">
        <f>G30*G29</f>
        <v>364.17</v>
      </c>
      <c r="H31" s="68">
        <f>H30*H29</f>
        <v>429.46</v>
      </c>
      <c r="I31" s="68">
        <f>I30*I29</f>
        <v>365.15999999999997</v>
      </c>
      <c r="J31" s="68">
        <f>J30*J29</f>
        <v>300.71999999999997</v>
      </c>
    </row>
    <row r="32" spans="1:10" s="42" customFormat="1" x14ac:dyDescent="0.25">
      <c r="A32" s="191"/>
      <c r="B32" s="56" t="s">
        <v>495</v>
      </c>
      <c r="C32" s="55" t="s">
        <v>6</v>
      </c>
      <c r="D32" s="55"/>
      <c r="E32" s="55"/>
      <c r="F32" s="69">
        <f>F30*(F29+F28)/F23/F14</f>
        <v>1.0316555960090046</v>
      </c>
      <c r="G32" s="69">
        <f>G30*(G29+G28)/G23/G14</f>
        <v>0.92821721412088176</v>
      </c>
      <c r="H32" s="69">
        <f>H30*(H29+H28)/H23/H14</f>
        <v>0.98702520829356843</v>
      </c>
      <c r="I32" s="69">
        <f>I30*(I29+I28)/I23/I14</f>
        <v>0.96217092683523775</v>
      </c>
      <c r="J32" s="69">
        <f>J30*(J29+J28)/J23/J14</f>
        <v>0.97874488315874297</v>
      </c>
    </row>
    <row r="33" spans="1:10" s="41" customFormat="1" ht="15.75" x14ac:dyDescent="0.25">
      <c r="A33" s="191" t="s">
        <v>459</v>
      </c>
      <c r="B33" s="55" t="s">
        <v>389</v>
      </c>
      <c r="C33" s="55" t="s">
        <v>390</v>
      </c>
      <c r="D33" s="70" t="s">
        <v>423</v>
      </c>
      <c r="E33" s="55" t="s">
        <v>453</v>
      </c>
      <c r="F33" s="68">
        <v>21.44</v>
      </c>
      <c r="G33" s="68">
        <v>21.33</v>
      </c>
      <c r="H33" s="68">
        <v>21.23</v>
      </c>
      <c r="I33" s="68">
        <v>21.54</v>
      </c>
      <c r="J33" s="68">
        <v>21.34</v>
      </c>
    </row>
    <row r="34" spans="1:10" s="41" customFormat="1" x14ac:dyDescent="0.25">
      <c r="A34" s="191"/>
      <c r="B34" s="56" t="s">
        <v>454</v>
      </c>
      <c r="C34" s="55" t="s">
        <v>362</v>
      </c>
      <c r="D34" s="55"/>
      <c r="E34" s="55"/>
      <c r="F34" s="68">
        <v>0</v>
      </c>
      <c r="G34" s="68">
        <v>0</v>
      </c>
      <c r="H34" s="68">
        <v>0</v>
      </c>
      <c r="I34" s="68">
        <v>0</v>
      </c>
      <c r="J34" s="68">
        <v>0</v>
      </c>
    </row>
    <row r="35" spans="1:10" s="40" customFormat="1" x14ac:dyDescent="0.25">
      <c r="A35" s="191"/>
      <c r="B35" s="55" t="s">
        <v>391</v>
      </c>
      <c r="C35" s="55"/>
      <c r="D35" s="55"/>
      <c r="E35" s="55"/>
      <c r="F35" s="59">
        <v>4.09</v>
      </c>
      <c r="G35" s="82">
        <v>3.94</v>
      </c>
      <c r="H35" s="82">
        <v>4.01</v>
      </c>
      <c r="I35" s="82">
        <v>3.91</v>
      </c>
      <c r="J35" s="82">
        <v>3.87</v>
      </c>
    </row>
    <row r="36" spans="1:10" s="40" customFormat="1" x14ac:dyDescent="0.25">
      <c r="A36" s="191"/>
      <c r="B36" s="55" t="s">
        <v>392</v>
      </c>
      <c r="C36" s="55" t="s">
        <v>20</v>
      </c>
      <c r="D36" s="55"/>
      <c r="E36" s="55"/>
      <c r="F36" s="59">
        <v>0.4</v>
      </c>
      <c r="G36" s="82">
        <v>0.3</v>
      </c>
      <c r="H36" s="82">
        <v>0.3</v>
      </c>
      <c r="I36" s="82">
        <v>0.2</v>
      </c>
      <c r="J36" s="82">
        <v>0.2</v>
      </c>
    </row>
    <row r="37" spans="1:10" s="40" customFormat="1" x14ac:dyDescent="0.25">
      <c r="A37" s="191"/>
      <c r="B37" s="56" t="s">
        <v>432</v>
      </c>
      <c r="C37" s="55" t="s">
        <v>434</v>
      </c>
      <c r="D37" s="55"/>
      <c r="E37" s="55"/>
      <c r="F37" s="71">
        <f>F36/F29</f>
        <v>2.185792349726776E-2</v>
      </c>
      <c r="G37" s="88">
        <f>G36/G29</f>
        <v>1.6393442622950817E-2</v>
      </c>
      <c r="H37" s="88">
        <f>H36/H29</f>
        <v>1.5228426395939087E-2</v>
      </c>
      <c r="I37" s="88">
        <f>I36/I29</f>
        <v>1.1173184357541902E-2</v>
      </c>
      <c r="J37" s="88">
        <f>J36/J29</f>
        <v>1.1904761904761904E-2</v>
      </c>
    </row>
    <row r="38" spans="1:10" s="40" customFormat="1" ht="15.75" x14ac:dyDescent="0.25">
      <c r="A38" s="191"/>
      <c r="B38" s="55" t="s">
        <v>393</v>
      </c>
      <c r="C38" s="55"/>
      <c r="D38" s="70" t="s">
        <v>423</v>
      </c>
      <c r="E38" s="55" t="s">
        <v>455</v>
      </c>
      <c r="F38" s="59">
        <v>3.53</v>
      </c>
      <c r="G38" s="82">
        <v>3.53</v>
      </c>
      <c r="H38" s="82">
        <v>3.55</v>
      </c>
      <c r="I38" s="82">
        <v>3.55</v>
      </c>
      <c r="J38" s="82">
        <v>3.56</v>
      </c>
    </row>
    <row r="39" spans="1:10" ht="15.75" x14ac:dyDescent="0.25">
      <c r="A39" s="191"/>
      <c r="B39" s="55" t="s">
        <v>394</v>
      </c>
      <c r="C39" s="55" t="s">
        <v>21</v>
      </c>
      <c r="D39" s="70" t="s">
        <v>423</v>
      </c>
      <c r="E39" s="55" t="s">
        <v>456</v>
      </c>
      <c r="F39" s="58">
        <v>61</v>
      </c>
      <c r="G39" s="58">
        <v>61</v>
      </c>
      <c r="H39" s="58">
        <v>61</v>
      </c>
      <c r="I39" s="58">
        <v>61</v>
      </c>
      <c r="J39" s="58">
        <v>61</v>
      </c>
    </row>
    <row r="40" spans="1:10" s="40" customFormat="1" x14ac:dyDescent="0.25">
      <c r="A40" s="191"/>
      <c r="B40" s="55" t="s">
        <v>395</v>
      </c>
      <c r="C40" s="55" t="s">
        <v>20</v>
      </c>
      <c r="D40" s="55"/>
      <c r="E40" s="55"/>
      <c r="F40" s="59">
        <v>2.7</v>
      </c>
      <c r="G40" s="82">
        <v>2.2999999999999998</v>
      </c>
      <c r="H40" s="83">
        <v>2.6</v>
      </c>
      <c r="I40" s="83">
        <v>2.2000000000000002</v>
      </c>
      <c r="J40" s="83">
        <v>2</v>
      </c>
    </row>
    <row r="41" spans="1:10" s="40" customFormat="1" x14ac:dyDescent="0.25">
      <c r="A41" s="191"/>
      <c r="B41" s="56" t="s">
        <v>429</v>
      </c>
      <c r="C41" s="55" t="s">
        <v>433</v>
      </c>
      <c r="D41" s="55"/>
      <c r="E41" s="55"/>
      <c r="F41" s="71">
        <f>F40/F29</f>
        <v>0.14754098360655737</v>
      </c>
      <c r="G41" s="88">
        <f>G40/G29</f>
        <v>0.12568306010928959</v>
      </c>
      <c r="H41" s="88">
        <f>H40/H29</f>
        <v>0.13197969543147209</v>
      </c>
      <c r="I41" s="88">
        <f>I40/I29</f>
        <v>0.12290502793296092</v>
      </c>
      <c r="J41" s="88">
        <f>J40/J29</f>
        <v>0.11904761904761904</v>
      </c>
    </row>
    <row r="42" spans="1:10" s="40" customFormat="1" x14ac:dyDescent="0.25">
      <c r="A42" s="191"/>
      <c r="B42" s="55" t="s">
        <v>385</v>
      </c>
      <c r="C42" s="55"/>
      <c r="D42" s="55"/>
      <c r="E42" s="55" t="s">
        <v>457</v>
      </c>
      <c r="F42" s="59">
        <v>6.49</v>
      </c>
      <c r="G42" s="82">
        <v>6.47</v>
      </c>
      <c r="H42" s="82">
        <v>6.52</v>
      </c>
      <c r="I42" s="82">
        <v>6.5</v>
      </c>
      <c r="J42" s="82">
        <v>6.49</v>
      </c>
    </row>
    <row r="43" spans="1:10" s="43" customFormat="1" x14ac:dyDescent="0.25">
      <c r="A43" s="191"/>
      <c r="B43" s="55" t="s">
        <v>396</v>
      </c>
      <c r="C43" s="55" t="s">
        <v>4</v>
      </c>
      <c r="D43" s="55"/>
      <c r="E43" s="55"/>
      <c r="F43" s="67">
        <v>2E-3</v>
      </c>
      <c r="G43" s="86">
        <v>2E-3</v>
      </c>
      <c r="H43" s="86">
        <v>2E-3</v>
      </c>
      <c r="I43" s="86">
        <v>2E-3</v>
      </c>
      <c r="J43" s="86">
        <v>2E-3</v>
      </c>
    </row>
    <row r="44" spans="1:10" s="40" customFormat="1" x14ac:dyDescent="0.25">
      <c r="A44" s="191"/>
      <c r="B44" s="55" t="s">
        <v>397</v>
      </c>
      <c r="C44" s="55" t="s">
        <v>14</v>
      </c>
      <c r="D44" s="55"/>
      <c r="E44" s="55"/>
      <c r="F44" s="60">
        <v>21</v>
      </c>
      <c r="G44" s="83">
        <v>20.8</v>
      </c>
      <c r="H44" s="83">
        <v>22.3</v>
      </c>
      <c r="I44" s="83">
        <v>20.100000000000001</v>
      </c>
      <c r="J44" s="83">
        <v>19</v>
      </c>
    </row>
    <row r="45" spans="1:10" s="40" customFormat="1" x14ac:dyDescent="0.25">
      <c r="A45" s="191"/>
      <c r="B45" s="55" t="s">
        <v>376</v>
      </c>
      <c r="C45" s="55" t="s">
        <v>16</v>
      </c>
      <c r="D45" s="55"/>
      <c r="E45" s="55"/>
      <c r="F45" s="60">
        <v>20.5</v>
      </c>
      <c r="G45" s="83">
        <v>17.8</v>
      </c>
      <c r="H45" s="83">
        <v>18.899999999999999</v>
      </c>
      <c r="I45" s="83">
        <v>19</v>
      </c>
      <c r="J45" s="83">
        <v>16.100000000000001</v>
      </c>
    </row>
    <row r="46" spans="1:10" s="50" customFormat="1" x14ac:dyDescent="0.25">
      <c r="A46" s="191"/>
      <c r="B46" s="62" t="s">
        <v>446</v>
      </c>
      <c r="C46" s="63" t="s">
        <v>19</v>
      </c>
      <c r="D46" s="63"/>
      <c r="E46" s="63"/>
      <c r="F46" s="72">
        <f>F45*F44/F31</f>
        <v>1.0139909553420012</v>
      </c>
      <c r="G46" s="72">
        <f>G45*G44/G31</f>
        <v>1.0166680396518109</v>
      </c>
      <c r="H46" s="72">
        <f>H45*H44/H31</f>
        <v>0.9813952405346249</v>
      </c>
      <c r="I46" s="72">
        <f>I45*I44/I31</f>
        <v>1.0458429181728559</v>
      </c>
      <c r="J46" s="72">
        <f>J45*J44/J31</f>
        <v>1.0172253258845441</v>
      </c>
    </row>
    <row r="47" spans="1:10" s="50" customFormat="1" x14ac:dyDescent="0.25">
      <c r="A47" s="191"/>
      <c r="B47" s="62" t="s">
        <v>416</v>
      </c>
      <c r="C47" s="63" t="s">
        <v>417</v>
      </c>
      <c r="D47" s="63"/>
      <c r="E47" s="63"/>
      <c r="F47" s="66">
        <f>F45*F44</f>
        <v>430.5</v>
      </c>
      <c r="G47" s="66">
        <f>G45*G44</f>
        <v>370.24</v>
      </c>
      <c r="H47" s="66">
        <f>H45*H44</f>
        <v>421.46999999999997</v>
      </c>
      <c r="I47" s="66">
        <f>I45*I44</f>
        <v>381.90000000000003</v>
      </c>
      <c r="J47" s="66">
        <f>J45*J44</f>
        <v>305.90000000000003</v>
      </c>
    </row>
    <row r="48" spans="1:10" x14ac:dyDescent="0.25">
      <c r="A48" s="191" t="s">
        <v>17</v>
      </c>
      <c r="B48" s="55" t="s">
        <v>379</v>
      </c>
      <c r="C48" s="55" t="s">
        <v>14</v>
      </c>
      <c r="D48" s="55"/>
      <c r="E48" s="55"/>
      <c r="F48" s="58">
        <v>326.5</v>
      </c>
      <c r="G48" s="58">
        <v>325.7</v>
      </c>
      <c r="H48" s="58">
        <v>322.10000000000002</v>
      </c>
      <c r="I48" s="58">
        <v>320.60000000000002</v>
      </c>
      <c r="J48" s="58">
        <v>245.8</v>
      </c>
    </row>
    <row r="49" spans="1:10" s="41" customFormat="1" x14ac:dyDescent="0.25">
      <c r="A49" s="191"/>
      <c r="B49" s="55" t="s">
        <v>380</v>
      </c>
      <c r="C49" s="55" t="s">
        <v>381</v>
      </c>
      <c r="D49" s="80" t="s">
        <v>422</v>
      </c>
      <c r="E49" s="55" t="s">
        <v>469</v>
      </c>
      <c r="F49" s="60">
        <f>F14*F48/F22</f>
        <v>24.912138728323701</v>
      </c>
      <c r="G49" s="83">
        <f>G14*G48/G22</f>
        <v>23.344971098265894</v>
      </c>
      <c r="H49" s="83">
        <f>H14*H48/H22</f>
        <v>26.438265895953755</v>
      </c>
      <c r="I49" s="83">
        <f>I14*I48/I22</f>
        <v>23.350057803468207</v>
      </c>
      <c r="J49" s="83">
        <f>J14*J48/J22</f>
        <v>17.760115606936417</v>
      </c>
    </row>
    <row r="50" spans="1:10" s="40" customFormat="1" x14ac:dyDescent="0.25">
      <c r="A50" s="191"/>
      <c r="B50" s="55" t="s">
        <v>382</v>
      </c>
      <c r="C50" s="55"/>
      <c r="D50" s="55" t="s">
        <v>424</v>
      </c>
      <c r="E50" s="55" t="s">
        <v>450</v>
      </c>
      <c r="F50" s="59">
        <v>3.56</v>
      </c>
      <c r="G50" s="82">
        <v>3.57</v>
      </c>
      <c r="H50" s="82">
        <v>3.53</v>
      </c>
      <c r="I50" s="82">
        <v>3.51</v>
      </c>
      <c r="J50" s="82">
        <v>3.52</v>
      </c>
    </row>
    <row r="51" spans="1:10" s="41" customFormat="1" x14ac:dyDescent="0.25">
      <c r="A51" s="191"/>
      <c r="B51" s="55" t="s">
        <v>383</v>
      </c>
      <c r="C51" s="55" t="s">
        <v>14</v>
      </c>
      <c r="D51" s="55"/>
      <c r="E51" s="55"/>
      <c r="F51" s="60">
        <v>19.3</v>
      </c>
      <c r="G51" s="83">
        <v>19.8</v>
      </c>
      <c r="H51" s="83">
        <v>20.2</v>
      </c>
      <c r="I51" s="83">
        <v>18.899999999999999</v>
      </c>
      <c r="J51" s="83">
        <v>18.100000000000001</v>
      </c>
    </row>
    <row r="52" spans="1:10" s="40" customFormat="1" x14ac:dyDescent="0.25">
      <c r="A52" s="191"/>
      <c r="B52" s="55" t="s">
        <v>384</v>
      </c>
      <c r="C52" s="55"/>
      <c r="D52" s="55"/>
      <c r="E52" s="55"/>
      <c r="F52" s="59">
        <f>F51/F22</f>
        <v>1.1156069364161849</v>
      </c>
      <c r="G52" s="82">
        <f>G51/G22</f>
        <v>1.1445086705202312</v>
      </c>
      <c r="H52" s="82">
        <f>H51/H22</f>
        <v>1.1676300578034682</v>
      </c>
      <c r="I52" s="82">
        <f>I51/I22</f>
        <v>1.0924855491329479</v>
      </c>
      <c r="J52" s="82">
        <f>J51/J22</f>
        <v>1.046242774566474</v>
      </c>
    </row>
    <row r="53" spans="1:10" s="43" customFormat="1" x14ac:dyDescent="0.25">
      <c r="A53" s="191"/>
      <c r="B53" s="55" t="s">
        <v>386</v>
      </c>
      <c r="C53" s="55" t="s">
        <v>350</v>
      </c>
      <c r="D53" s="55"/>
      <c r="E53" s="55"/>
      <c r="F53" s="67">
        <v>0.2</v>
      </c>
      <c r="G53" s="86">
        <v>0.16400000000000001</v>
      </c>
      <c r="H53" s="86">
        <v>0.16400000000000001</v>
      </c>
      <c r="I53" s="86">
        <v>6.5000000000000002E-2</v>
      </c>
      <c r="J53" s="86">
        <v>0.16400000000000001</v>
      </c>
    </row>
    <row r="54" spans="1:10" s="41" customFormat="1" x14ac:dyDescent="0.25">
      <c r="A54" s="191"/>
      <c r="B54" s="55" t="s">
        <v>387</v>
      </c>
      <c r="C54" s="55" t="s">
        <v>14</v>
      </c>
      <c r="D54" s="55"/>
      <c r="E54" s="55"/>
      <c r="F54" s="60">
        <v>19.100000000000001</v>
      </c>
      <c r="G54" s="83">
        <v>19.600000000000001</v>
      </c>
      <c r="H54" s="83">
        <v>20</v>
      </c>
      <c r="I54" s="83">
        <v>18.8</v>
      </c>
      <c r="J54" s="83">
        <v>17.899999999999999</v>
      </c>
    </row>
    <row r="55" spans="1:10" s="40" customFormat="1" x14ac:dyDescent="0.25">
      <c r="A55" s="191"/>
      <c r="B55" s="55" t="s">
        <v>376</v>
      </c>
      <c r="C55" s="55" t="s">
        <v>3</v>
      </c>
      <c r="D55" s="55"/>
      <c r="E55" s="55" t="s">
        <v>470</v>
      </c>
      <c r="F55" s="83">
        <v>23.3</v>
      </c>
      <c r="G55" s="83">
        <v>19.5</v>
      </c>
      <c r="H55" s="83">
        <v>21.6</v>
      </c>
      <c r="I55" s="83">
        <v>20.2</v>
      </c>
      <c r="J55" s="83">
        <v>16.5</v>
      </c>
    </row>
    <row r="56" spans="1:10" s="40" customFormat="1" x14ac:dyDescent="0.25">
      <c r="A56" s="191"/>
      <c r="B56" s="56" t="s">
        <v>496</v>
      </c>
      <c r="C56" s="55" t="s">
        <v>6</v>
      </c>
      <c r="D56" s="55"/>
      <c r="E56" s="55"/>
      <c r="F56" s="61">
        <f>F55*(F54+F53)/F48/F14</f>
        <v>1.0434126873636829</v>
      </c>
      <c r="G56" s="84">
        <f>G55*(G54+G53)/G48/G14</f>
        <v>0.95426723582952866</v>
      </c>
      <c r="H56" s="84">
        <f>H55*(H54+H53)/H48/H14</f>
        <v>0.95225085377212049</v>
      </c>
      <c r="I56" s="84">
        <f>I55*(I54+I53)/I48/I14</f>
        <v>0.94335274138767589</v>
      </c>
      <c r="J56" s="84">
        <f>J55*(J54+J53)/J48/J14</f>
        <v>0.97007648494711129</v>
      </c>
    </row>
    <row r="57" spans="1:10" s="42" customFormat="1" x14ac:dyDescent="0.25">
      <c r="A57" s="191"/>
      <c r="B57" s="56" t="s">
        <v>416</v>
      </c>
      <c r="C57" s="55" t="s">
        <v>417</v>
      </c>
      <c r="D57" s="55"/>
      <c r="E57" s="55"/>
      <c r="F57" s="60">
        <f>F55*F54</f>
        <v>445.03000000000003</v>
      </c>
      <c r="G57" s="83">
        <f>G55*G54</f>
        <v>382.20000000000005</v>
      </c>
      <c r="H57" s="83">
        <f>H55*H54</f>
        <v>432</v>
      </c>
      <c r="I57" s="83">
        <f>I55*I54</f>
        <v>379.76</v>
      </c>
      <c r="J57" s="83">
        <f>J55*J54</f>
        <v>295.34999999999997</v>
      </c>
    </row>
    <row r="58" spans="1:10" s="41" customFormat="1" ht="15.75" x14ac:dyDescent="0.25">
      <c r="A58" s="191" t="s">
        <v>460</v>
      </c>
      <c r="B58" s="55" t="s">
        <v>389</v>
      </c>
      <c r="C58" s="55" t="s">
        <v>390</v>
      </c>
      <c r="D58" s="70" t="s">
        <v>423</v>
      </c>
      <c r="E58" s="55" t="s">
        <v>453</v>
      </c>
      <c r="F58" s="60">
        <v>21.33</v>
      </c>
      <c r="G58" s="83">
        <v>21.34</v>
      </c>
      <c r="H58" s="83">
        <v>21.35</v>
      </c>
      <c r="I58" s="83">
        <v>21.33</v>
      </c>
      <c r="J58" s="83">
        <v>21.23</v>
      </c>
    </row>
    <row r="59" spans="1:10" s="41" customFormat="1" x14ac:dyDescent="0.25">
      <c r="A59" s="191"/>
      <c r="B59" s="56" t="s">
        <v>454</v>
      </c>
      <c r="C59" s="55" t="s">
        <v>362</v>
      </c>
      <c r="D59" s="55"/>
      <c r="E59" s="55"/>
      <c r="F59" s="60">
        <v>0</v>
      </c>
      <c r="G59" s="83">
        <v>0</v>
      </c>
      <c r="H59" s="83">
        <v>0</v>
      </c>
      <c r="I59" s="83">
        <v>0</v>
      </c>
      <c r="J59" s="83">
        <v>0</v>
      </c>
    </row>
    <row r="60" spans="1:10" s="40" customFormat="1" x14ac:dyDescent="0.25">
      <c r="A60" s="191"/>
      <c r="B60" s="55" t="s">
        <v>391</v>
      </c>
      <c r="C60" s="55"/>
      <c r="D60" s="55"/>
      <c r="E60" s="55"/>
      <c r="F60" s="59">
        <v>4.07</v>
      </c>
      <c r="G60" s="82">
        <v>3.85</v>
      </c>
      <c r="H60" s="82">
        <v>4</v>
      </c>
      <c r="I60" s="82">
        <v>3.99</v>
      </c>
      <c r="J60" s="82">
        <v>3.87</v>
      </c>
    </row>
    <row r="61" spans="1:10" s="40" customFormat="1" x14ac:dyDescent="0.25">
      <c r="A61" s="191"/>
      <c r="B61" s="55" t="s">
        <v>392</v>
      </c>
      <c r="C61" s="55" t="s">
        <v>20</v>
      </c>
      <c r="D61" s="55"/>
      <c r="E61" s="55"/>
      <c r="F61" s="59">
        <v>0.3</v>
      </c>
      <c r="G61" s="82">
        <v>0.3</v>
      </c>
      <c r="H61" s="82">
        <v>0.4</v>
      </c>
      <c r="I61" s="82">
        <v>0.2</v>
      </c>
      <c r="J61" s="82">
        <v>0.2</v>
      </c>
    </row>
    <row r="62" spans="1:10" s="40" customFormat="1" x14ac:dyDescent="0.25">
      <c r="A62" s="191"/>
      <c r="B62" s="56" t="s">
        <v>431</v>
      </c>
      <c r="C62" s="55" t="s">
        <v>6</v>
      </c>
      <c r="D62" s="55"/>
      <c r="E62" s="55"/>
      <c r="F62" s="59">
        <f>F61/F54</f>
        <v>1.5706806282722512E-2</v>
      </c>
      <c r="G62" s="82">
        <f>G61/G54</f>
        <v>1.530612244897959E-2</v>
      </c>
      <c r="H62" s="82">
        <f>H61/H54</f>
        <v>0.02</v>
      </c>
      <c r="I62" s="82">
        <f>I61/I54</f>
        <v>1.0638297872340425E-2</v>
      </c>
      <c r="J62" s="82">
        <f>J61/J54</f>
        <v>1.1173184357541902E-2</v>
      </c>
    </row>
    <row r="63" spans="1:10" s="40" customFormat="1" ht="15.75" x14ac:dyDescent="0.25">
      <c r="A63" s="191"/>
      <c r="B63" s="55" t="s">
        <v>393</v>
      </c>
      <c r="C63" s="55"/>
      <c r="D63" s="70" t="s">
        <v>423</v>
      </c>
      <c r="E63" s="55" t="s">
        <v>455</v>
      </c>
      <c r="F63" s="59">
        <v>3.53</v>
      </c>
      <c r="G63" s="82">
        <v>3.53</v>
      </c>
      <c r="H63" s="82">
        <v>3.55</v>
      </c>
      <c r="I63" s="82">
        <v>3.54</v>
      </c>
      <c r="J63" s="82">
        <v>3.54</v>
      </c>
    </row>
    <row r="64" spans="1:10" ht="15.75" x14ac:dyDescent="0.25">
      <c r="A64" s="191"/>
      <c r="B64" s="55" t="s">
        <v>394</v>
      </c>
      <c r="C64" s="55" t="s">
        <v>21</v>
      </c>
      <c r="D64" s="70" t="s">
        <v>423</v>
      </c>
      <c r="E64" s="55" t="s">
        <v>456</v>
      </c>
      <c r="F64" s="58">
        <v>61</v>
      </c>
      <c r="G64" s="58">
        <v>61</v>
      </c>
      <c r="H64" s="58">
        <v>61</v>
      </c>
      <c r="I64" s="58">
        <v>61</v>
      </c>
      <c r="J64" s="58">
        <v>61</v>
      </c>
    </row>
    <row r="65" spans="1:10" s="40" customFormat="1" x14ac:dyDescent="0.25">
      <c r="A65" s="191"/>
      <c r="B65" s="55" t="s">
        <v>395</v>
      </c>
      <c r="C65" s="55" t="s">
        <v>20</v>
      </c>
      <c r="D65" s="55"/>
      <c r="E65" s="55"/>
      <c r="F65" s="59">
        <v>2.7</v>
      </c>
      <c r="G65" s="82">
        <v>2.2000000000000002</v>
      </c>
      <c r="H65" s="82">
        <v>2.6</v>
      </c>
      <c r="I65" s="82">
        <v>2.5</v>
      </c>
      <c r="J65" s="82">
        <v>2.2000000000000002</v>
      </c>
    </row>
    <row r="66" spans="1:10" s="40" customFormat="1" x14ac:dyDescent="0.25">
      <c r="A66" s="191"/>
      <c r="B66" s="56" t="s">
        <v>429</v>
      </c>
      <c r="C66" s="55" t="s">
        <v>433</v>
      </c>
      <c r="D66" s="55"/>
      <c r="E66" s="55"/>
      <c r="F66" s="71">
        <f>F65/F54</f>
        <v>0.14136125654450263</v>
      </c>
      <c r="G66" s="88">
        <f>G65/G54</f>
        <v>0.11224489795918367</v>
      </c>
      <c r="H66" s="88">
        <f>H65/H54</f>
        <v>0.13</v>
      </c>
      <c r="I66" s="88">
        <f>I65/I54</f>
        <v>0.13297872340425532</v>
      </c>
      <c r="J66" s="88">
        <f>J65/J54</f>
        <v>0.12290502793296092</v>
      </c>
    </row>
    <row r="67" spans="1:10" s="40" customFormat="1" x14ac:dyDescent="0.25">
      <c r="A67" s="191"/>
      <c r="B67" s="55" t="s">
        <v>385</v>
      </c>
      <c r="C67" s="55"/>
      <c r="D67" s="55"/>
      <c r="E67" s="55" t="s">
        <v>457</v>
      </c>
      <c r="F67" s="59">
        <v>6.5</v>
      </c>
      <c r="G67" s="82">
        <v>6.49</v>
      </c>
      <c r="H67" s="82">
        <v>6.48</v>
      </c>
      <c r="I67" s="82">
        <v>6.48</v>
      </c>
      <c r="J67" s="82">
        <v>6.47</v>
      </c>
    </row>
    <row r="68" spans="1:10" x14ac:dyDescent="0.25">
      <c r="A68" s="191" t="s">
        <v>461</v>
      </c>
      <c r="B68" s="55" t="s">
        <v>379</v>
      </c>
      <c r="C68" s="55" t="s">
        <v>1</v>
      </c>
      <c r="D68" s="55"/>
      <c r="E68" s="55"/>
      <c r="F68" s="58">
        <v>314.10000000000002</v>
      </c>
      <c r="G68" s="58">
        <v>328.4</v>
      </c>
      <c r="H68" s="58">
        <v>308.89999999999998</v>
      </c>
      <c r="I68" s="58">
        <v>309.5</v>
      </c>
      <c r="J68" s="58">
        <v>246.1</v>
      </c>
    </row>
    <row r="69" spans="1:10" s="41" customFormat="1" x14ac:dyDescent="0.25">
      <c r="A69" s="191"/>
      <c r="B69" s="55" t="s">
        <v>380</v>
      </c>
      <c r="C69" s="55" t="s">
        <v>381</v>
      </c>
      <c r="D69" s="80" t="s">
        <v>422</v>
      </c>
      <c r="E69" s="55" t="s">
        <v>469</v>
      </c>
      <c r="F69" s="60">
        <f>F68*F14/F22</f>
        <v>23.966011560693641</v>
      </c>
      <c r="G69" s="83">
        <f>G68*G14/G22</f>
        <v>23.538497109826586</v>
      </c>
      <c r="H69" s="83">
        <f>H68*H14/H22</f>
        <v>25.354797687861264</v>
      </c>
      <c r="I69" s="83">
        <f>I68*I14/I22</f>
        <v>22.541618497109827</v>
      </c>
      <c r="J69" s="83">
        <f>J68*J14/J22</f>
        <v>17.781791907514449</v>
      </c>
    </row>
    <row r="70" spans="1:10" s="40" customFormat="1" x14ac:dyDescent="0.25">
      <c r="A70" s="191"/>
      <c r="B70" s="55" t="s">
        <v>382</v>
      </c>
      <c r="C70" s="55"/>
      <c r="D70" s="55" t="s">
        <v>424</v>
      </c>
      <c r="E70" s="55" t="s">
        <v>450</v>
      </c>
      <c r="F70" s="59">
        <v>3.55</v>
      </c>
      <c r="G70" s="82">
        <v>3.5</v>
      </c>
      <c r="H70" s="82">
        <v>3.52</v>
      </c>
      <c r="I70" s="82">
        <v>3.49</v>
      </c>
      <c r="J70" s="82">
        <v>3.5</v>
      </c>
    </row>
    <row r="71" spans="1:10" s="41" customFormat="1" x14ac:dyDescent="0.25">
      <c r="A71" s="191"/>
      <c r="B71" s="55" t="s">
        <v>383</v>
      </c>
      <c r="C71" s="55" t="s">
        <v>1</v>
      </c>
      <c r="D71" s="55"/>
      <c r="E71" s="55"/>
      <c r="F71" s="60">
        <v>19.2</v>
      </c>
      <c r="G71" s="83">
        <v>19.399999999999999</v>
      </c>
      <c r="H71" s="83">
        <v>20.399999999999999</v>
      </c>
      <c r="I71" s="83">
        <v>18.8</v>
      </c>
      <c r="J71" s="83">
        <v>16.899999999999999</v>
      </c>
    </row>
    <row r="72" spans="1:10" s="40" customFormat="1" x14ac:dyDescent="0.25">
      <c r="A72" s="191"/>
      <c r="B72" s="55" t="s">
        <v>384</v>
      </c>
      <c r="C72" s="55"/>
      <c r="D72" s="55"/>
      <c r="E72" s="55"/>
      <c r="F72" s="59">
        <f>F71/F22</f>
        <v>1.1098265895953756</v>
      </c>
      <c r="G72" s="82">
        <f>G71/G22</f>
        <v>1.121387283236994</v>
      </c>
      <c r="H72" s="82">
        <f>H71/H22</f>
        <v>1.1791907514450866</v>
      </c>
      <c r="I72" s="82">
        <f>I71/I22</f>
        <v>1.0867052023121386</v>
      </c>
      <c r="J72" s="82">
        <f>J71/J22</f>
        <v>0.97687861271676291</v>
      </c>
    </row>
    <row r="73" spans="1:10" s="43" customFormat="1" x14ac:dyDescent="0.25">
      <c r="A73" s="191"/>
      <c r="B73" s="55" t="s">
        <v>386</v>
      </c>
      <c r="C73" s="55" t="s">
        <v>350</v>
      </c>
      <c r="D73" s="55"/>
      <c r="E73" s="55"/>
      <c r="F73" s="67">
        <v>0.2</v>
      </c>
      <c r="G73" s="86">
        <v>0.2</v>
      </c>
      <c r="H73" s="86">
        <v>0.2</v>
      </c>
      <c r="I73" s="86">
        <v>0.16400000000000001</v>
      </c>
      <c r="J73" s="86">
        <v>0.16400000000000001</v>
      </c>
    </row>
    <row r="74" spans="1:10" s="41" customFormat="1" x14ac:dyDescent="0.25">
      <c r="A74" s="191"/>
      <c r="B74" s="55" t="s">
        <v>387</v>
      </c>
      <c r="C74" s="55" t="s">
        <v>1</v>
      </c>
      <c r="D74" s="55"/>
      <c r="E74" s="55"/>
      <c r="F74" s="60">
        <v>19</v>
      </c>
      <c r="G74" s="83">
        <v>19.2</v>
      </c>
      <c r="H74" s="83">
        <v>20.2</v>
      </c>
      <c r="I74" s="83">
        <v>18.7</v>
      </c>
      <c r="J74" s="83">
        <v>16.7</v>
      </c>
    </row>
    <row r="75" spans="1:10" s="40" customFormat="1" x14ac:dyDescent="0.25">
      <c r="A75" s="191"/>
      <c r="B75" s="55" t="s">
        <v>376</v>
      </c>
      <c r="C75" s="55" t="s">
        <v>3</v>
      </c>
      <c r="D75" s="55"/>
      <c r="E75" s="55" t="s">
        <v>470</v>
      </c>
      <c r="F75" s="60">
        <v>23.3</v>
      </c>
      <c r="G75" s="83">
        <v>20.399999999999999</v>
      </c>
      <c r="H75" s="83">
        <v>20.7</v>
      </c>
      <c r="I75" s="83">
        <v>20.2</v>
      </c>
      <c r="J75" s="83">
        <v>17.3</v>
      </c>
    </row>
    <row r="76" spans="1:10" s="40" customFormat="1" x14ac:dyDescent="0.25">
      <c r="A76" s="191"/>
      <c r="B76" s="56" t="s">
        <v>496</v>
      </c>
      <c r="C76" s="55" t="s">
        <v>497</v>
      </c>
      <c r="D76" s="55"/>
      <c r="E76" s="55"/>
      <c r="F76" s="84">
        <f>F75*(F74+F73)/F68/F14</f>
        <v>1.0789846892998753</v>
      </c>
      <c r="G76" s="84">
        <f>G75*(G74+G73)/G68/G14</f>
        <v>0.97186751011748063</v>
      </c>
      <c r="H76" s="84">
        <f>H75*(H74+H73)/H68/H14</f>
        <v>0.9627072893821329</v>
      </c>
      <c r="I76" s="84">
        <f>I75*(I74+I73)/I68/I14</f>
        <v>0.97713362566351258</v>
      </c>
      <c r="J76" s="84">
        <f>J75*(J74+J73)/J68/J14</f>
        <v>0.94838585940674525</v>
      </c>
    </row>
    <row r="77" spans="1:10" s="42" customFormat="1" x14ac:dyDescent="0.25">
      <c r="A77" s="191"/>
      <c r="B77" s="56" t="s">
        <v>416</v>
      </c>
      <c r="C77" s="55" t="s">
        <v>417</v>
      </c>
      <c r="D77" s="55"/>
      <c r="E77" s="55"/>
      <c r="F77" s="60">
        <f>F75*F74</f>
        <v>442.7</v>
      </c>
      <c r="G77" s="83">
        <f>G75*G74</f>
        <v>391.67999999999995</v>
      </c>
      <c r="H77" s="83">
        <f>H75*H74</f>
        <v>418.14</v>
      </c>
      <c r="I77" s="83">
        <f>I75*I74</f>
        <v>377.73999999999995</v>
      </c>
      <c r="J77" s="83">
        <f>J75*J74</f>
        <v>288.91000000000003</v>
      </c>
    </row>
    <row r="78" spans="1:10" s="41" customFormat="1" ht="15.75" x14ac:dyDescent="0.25">
      <c r="A78" s="191" t="s">
        <v>462</v>
      </c>
      <c r="B78" s="55" t="s">
        <v>389</v>
      </c>
      <c r="C78" s="55" t="s">
        <v>390</v>
      </c>
      <c r="D78" s="70" t="s">
        <v>423</v>
      </c>
      <c r="E78" s="55" t="s">
        <v>453</v>
      </c>
      <c r="F78" s="60">
        <v>21.34</v>
      </c>
      <c r="G78" s="83">
        <v>21.17</v>
      </c>
      <c r="H78" s="83">
        <v>21.34</v>
      </c>
      <c r="I78" s="83">
        <v>21.24</v>
      </c>
      <c r="J78" s="83">
        <v>21.24</v>
      </c>
    </row>
    <row r="79" spans="1:10" s="41" customFormat="1" x14ac:dyDescent="0.25">
      <c r="A79" s="191"/>
      <c r="B79" s="56" t="s">
        <v>454</v>
      </c>
      <c r="C79" s="55" t="s">
        <v>362</v>
      </c>
      <c r="D79" s="55"/>
      <c r="E79" s="55"/>
      <c r="F79" s="60">
        <v>0</v>
      </c>
      <c r="G79" s="83">
        <v>0</v>
      </c>
      <c r="H79" s="83">
        <v>0</v>
      </c>
      <c r="I79" s="83">
        <v>0</v>
      </c>
      <c r="J79" s="83">
        <v>0</v>
      </c>
    </row>
    <row r="80" spans="1:10" s="40" customFormat="1" x14ac:dyDescent="0.25">
      <c r="A80" s="191"/>
      <c r="B80" s="55" t="s">
        <v>391</v>
      </c>
      <c r="C80" s="55"/>
      <c r="D80" s="55"/>
      <c r="E80" s="55"/>
      <c r="F80" s="59">
        <v>3.99</v>
      </c>
      <c r="G80" s="82">
        <v>3.85</v>
      </c>
      <c r="H80" s="82">
        <v>3.99</v>
      </c>
      <c r="I80" s="82">
        <v>3.9</v>
      </c>
      <c r="J80" s="82">
        <v>3.88</v>
      </c>
    </row>
    <row r="81" spans="1:10" s="40" customFormat="1" x14ac:dyDescent="0.25">
      <c r="A81" s="191"/>
      <c r="B81" s="55" t="s">
        <v>392</v>
      </c>
      <c r="C81" s="55" t="s">
        <v>20</v>
      </c>
      <c r="D81" s="55"/>
      <c r="E81" s="55"/>
      <c r="F81" s="59">
        <v>0.4</v>
      </c>
      <c r="G81" s="82">
        <v>0.2</v>
      </c>
      <c r="H81" s="82">
        <v>0.3</v>
      </c>
      <c r="I81" s="82">
        <v>0.2</v>
      </c>
      <c r="J81" s="82">
        <v>0.2</v>
      </c>
    </row>
    <row r="82" spans="1:10" s="40" customFormat="1" x14ac:dyDescent="0.25">
      <c r="A82" s="191"/>
      <c r="B82" s="56" t="s">
        <v>431</v>
      </c>
      <c r="C82" s="55" t="s">
        <v>6</v>
      </c>
      <c r="D82" s="55"/>
      <c r="E82" s="55"/>
      <c r="F82" s="71">
        <f>F81/F74</f>
        <v>2.1052631578947368E-2</v>
      </c>
      <c r="G82" s="88">
        <f>G81/G74</f>
        <v>1.0416666666666668E-2</v>
      </c>
      <c r="H82" s="88">
        <f>H81/H74</f>
        <v>1.4851485148514851E-2</v>
      </c>
      <c r="I82" s="88">
        <f>I81/I74</f>
        <v>1.0695187165775402E-2</v>
      </c>
      <c r="J82" s="88">
        <f>J81/J74</f>
        <v>1.1976047904191617E-2</v>
      </c>
    </row>
    <row r="83" spans="1:10" s="40" customFormat="1" ht="15.75" x14ac:dyDescent="0.25">
      <c r="A83" s="191"/>
      <c r="B83" s="55" t="s">
        <v>393</v>
      </c>
      <c r="C83" s="55"/>
      <c r="D83" s="70" t="s">
        <v>423</v>
      </c>
      <c r="E83" s="55" t="s">
        <v>455</v>
      </c>
      <c r="F83" s="59">
        <v>3.53</v>
      </c>
      <c r="G83" s="82">
        <v>3.54</v>
      </c>
      <c r="H83" s="82">
        <v>3.55</v>
      </c>
      <c r="I83" s="82">
        <v>3.55</v>
      </c>
      <c r="J83" s="82">
        <v>3.57</v>
      </c>
    </row>
    <row r="84" spans="1:10" ht="15.75" x14ac:dyDescent="0.25">
      <c r="A84" s="191"/>
      <c r="B84" s="55" t="s">
        <v>394</v>
      </c>
      <c r="C84" s="55" t="s">
        <v>21</v>
      </c>
      <c r="D84" s="70" t="s">
        <v>423</v>
      </c>
      <c r="E84" s="55" t="s">
        <v>456</v>
      </c>
      <c r="F84" s="58">
        <v>62</v>
      </c>
      <c r="G84" s="58">
        <v>61</v>
      </c>
      <c r="H84" s="58">
        <v>61</v>
      </c>
      <c r="I84" s="58">
        <v>61</v>
      </c>
      <c r="J84" s="58">
        <v>61</v>
      </c>
    </row>
    <row r="85" spans="1:10" s="40" customFormat="1" x14ac:dyDescent="0.25">
      <c r="A85" s="191"/>
      <c r="B85" s="55" t="s">
        <v>395</v>
      </c>
      <c r="C85" s="55" t="s">
        <v>20</v>
      </c>
      <c r="D85" s="55"/>
      <c r="E85" s="55"/>
      <c r="F85" s="83">
        <v>2.4</v>
      </c>
      <c r="G85" s="83">
        <v>2.2999999999999998</v>
      </c>
      <c r="H85" s="83">
        <v>2.7</v>
      </c>
      <c r="I85" s="83">
        <v>2.2999999999999998</v>
      </c>
      <c r="J85" s="83">
        <v>2</v>
      </c>
    </row>
    <row r="86" spans="1:10" s="40" customFormat="1" x14ac:dyDescent="0.25">
      <c r="A86" s="191"/>
      <c r="B86" s="56" t="s">
        <v>429</v>
      </c>
      <c r="C86" s="55" t="s">
        <v>433</v>
      </c>
      <c r="D86" s="55"/>
      <c r="E86" s="55"/>
      <c r="F86" s="71">
        <f>F85/F74</f>
        <v>0.12631578947368421</v>
      </c>
      <c r="G86" s="88">
        <f>G85/G74</f>
        <v>0.11979166666666666</v>
      </c>
      <c r="H86" s="88">
        <f>H85/H74</f>
        <v>0.13366336633663367</v>
      </c>
      <c r="I86" s="88">
        <f>I85/I74</f>
        <v>0.1229946524064171</v>
      </c>
      <c r="J86" s="88">
        <f>J85/J74</f>
        <v>0.11976047904191617</v>
      </c>
    </row>
    <row r="87" spans="1:10" s="40" customFormat="1" x14ac:dyDescent="0.25">
      <c r="A87" s="191"/>
      <c r="B87" s="55" t="s">
        <v>385</v>
      </c>
      <c r="C87" s="55"/>
      <c r="D87" s="55"/>
      <c r="E87" s="55" t="s">
        <v>457</v>
      </c>
      <c r="F87" s="59">
        <v>6.49</v>
      </c>
      <c r="G87" s="82">
        <v>6.53</v>
      </c>
      <c r="H87" s="82">
        <v>6.49</v>
      </c>
      <c r="I87" s="82">
        <v>6.57</v>
      </c>
      <c r="J87" s="82">
        <v>6.5</v>
      </c>
    </row>
    <row r="88" spans="1:10" s="42" customFormat="1" x14ac:dyDescent="0.25">
      <c r="A88" s="191" t="s">
        <v>452</v>
      </c>
      <c r="B88" s="55" t="s">
        <v>388</v>
      </c>
      <c r="C88" s="55" t="s">
        <v>19</v>
      </c>
      <c r="D88" s="55"/>
      <c r="E88" s="55"/>
      <c r="F88" s="61">
        <f>(F75*(F74+F73)+F55*(F54+F53)+F30*(F29+F28))/(F14*(F23+F48+F68))</f>
        <v>1.0509846840837851</v>
      </c>
      <c r="G88" s="84">
        <f>(G75*(G74+G73)+G55*(G54+G53)+G30*(G29+G28))/(G14*(G23+G48+G68))</f>
        <v>0.95144054943106837</v>
      </c>
      <c r="H88" s="84">
        <f>(H75*(H74+H73)+H55*(H54+H53)+H30*(H29+H28))/(H14*(H23+H48+H68))</f>
        <v>0.96729239721785321</v>
      </c>
      <c r="I88" s="84">
        <f>(I75*(I74+I73)+I55*(I54+I53)+I30*(I29+I28))/(I14*(I23+I48+I68))</f>
        <v>0.96068149092368316</v>
      </c>
      <c r="J88" s="84">
        <f>(J75*(J74+J73)+J55*(J54+J53)+J30*(J29+J28))/(J14*(J23+J48+J68))</f>
        <v>0.96577089582488862</v>
      </c>
    </row>
    <row r="89" spans="1:10" s="50" customFormat="1" x14ac:dyDescent="0.25">
      <c r="A89" s="191"/>
      <c r="B89" s="62" t="s">
        <v>445</v>
      </c>
      <c r="C89" s="63" t="s">
        <v>417</v>
      </c>
      <c r="D89" s="63"/>
      <c r="E89" s="63"/>
      <c r="F89" s="66">
        <f>F77+F57+F31</f>
        <v>1312.29</v>
      </c>
      <c r="G89" s="66">
        <f>G77+G57+G31</f>
        <v>1138.05</v>
      </c>
      <c r="H89" s="66">
        <f>H77+H57+H31</f>
        <v>1279.5999999999999</v>
      </c>
      <c r="I89" s="66">
        <f>I77+I57+I31</f>
        <v>1122.6599999999999</v>
      </c>
      <c r="J89" s="66">
        <f>J77+J57+J31</f>
        <v>884.98</v>
      </c>
    </row>
    <row r="90" spans="1:10" s="42" customFormat="1" x14ac:dyDescent="0.25">
      <c r="A90" s="191" t="s">
        <v>540</v>
      </c>
      <c r="B90" s="55" t="s">
        <v>498</v>
      </c>
      <c r="C90" s="55" t="s">
        <v>499</v>
      </c>
      <c r="D90" s="55"/>
      <c r="E90" s="55"/>
      <c r="F90" s="60">
        <v>20</v>
      </c>
      <c r="G90" s="83">
        <v>17.899999999999999</v>
      </c>
      <c r="H90" s="83">
        <v>18.600000000000001</v>
      </c>
      <c r="I90" s="83">
        <v>17.2</v>
      </c>
      <c r="J90" s="83">
        <v>15.1</v>
      </c>
    </row>
    <row r="91" spans="1:10" s="50" customFormat="1" x14ac:dyDescent="0.25">
      <c r="A91" s="191"/>
      <c r="B91" s="62" t="s">
        <v>438</v>
      </c>
      <c r="C91" s="63" t="s">
        <v>1</v>
      </c>
      <c r="D91" s="63"/>
      <c r="E91" s="63"/>
      <c r="F91" s="60">
        <v>0.2</v>
      </c>
      <c r="G91" s="82">
        <v>0.03</v>
      </c>
      <c r="H91" s="82">
        <v>0.03</v>
      </c>
      <c r="I91" s="82">
        <v>0.03</v>
      </c>
      <c r="J91" s="82">
        <v>0.03</v>
      </c>
    </row>
    <row r="92" spans="1:10" s="50" customFormat="1" x14ac:dyDescent="0.25">
      <c r="A92" s="191"/>
      <c r="B92" s="62" t="s">
        <v>444</v>
      </c>
      <c r="C92" s="63" t="s">
        <v>1</v>
      </c>
      <c r="D92" s="63"/>
      <c r="E92" s="63"/>
      <c r="F92" s="60">
        <v>64.400000000000006</v>
      </c>
      <c r="G92" s="83">
        <v>64.099999999999994</v>
      </c>
      <c r="H92" s="83">
        <v>68.2</v>
      </c>
      <c r="I92" s="83">
        <v>62.6</v>
      </c>
      <c r="J92" s="83">
        <v>57.6</v>
      </c>
    </row>
    <row r="93" spans="1:10" s="50" customFormat="1" x14ac:dyDescent="0.25">
      <c r="A93" s="191"/>
      <c r="B93" s="62" t="s">
        <v>442</v>
      </c>
      <c r="C93" s="63"/>
      <c r="D93" s="63"/>
      <c r="E93" s="63"/>
      <c r="F93" s="72">
        <f>(F92+F91)*F90/F89</f>
        <v>0.98453847853751864</v>
      </c>
      <c r="G93" s="72">
        <f>(G92+G91)*G90/G89</f>
        <v>1.0086788805412767</v>
      </c>
      <c r="H93" s="72">
        <f>(H92+H91)*H90/H89</f>
        <v>0.99177711784932809</v>
      </c>
      <c r="I93" s="72">
        <f>(I92+I91)*I90/I89</f>
        <v>0.95953895213154494</v>
      </c>
      <c r="J93" s="72">
        <f>(J92+J91)*J90/J89</f>
        <v>0.98331374720332654</v>
      </c>
    </row>
    <row r="94" spans="1:10" s="50" customFormat="1" x14ac:dyDescent="0.25">
      <c r="A94" s="191"/>
      <c r="B94" s="62" t="s">
        <v>445</v>
      </c>
      <c r="C94" s="63" t="s">
        <v>417</v>
      </c>
      <c r="D94" s="63"/>
      <c r="E94" s="63"/>
      <c r="F94" s="66">
        <f>F92*F90</f>
        <v>1288</v>
      </c>
      <c r="G94" s="66">
        <f>G92*G90</f>
        <v>1147.3899999999999</v>
      </c>
      <c r="H94" s="66">
        <f>H92*H90</f>
        <v>1268.5200000000002</v>
      </c>
      <c r="I94" s="66">
        <f>I92*I90</f>
        <v>1076.72</v>
      </c>
      <c r="J94" s="66">
        <f>J92*J90</f>
        <v>869.76</v>
      </c>
    </row>
    <row r="95" spans="1:10" s="46" customFormat="1" x14ac:dyDescent="0.25">
      <c r="A95" s="44"/>
      <c r="B95" s="47"/>
      <c r="C95" s="47"/>
      <c r="D95" s="47"/>
      <c r="E95" s="47"/>
      <c r="F95" s="65"/>
    </row>
    <row r="96" spans="1:10" s="53" customFormat="1" x14ac:dyDescent="0.25">
      <c r="A96" s="191" t="s">
        <v>541</v>
      </c>
      <c r="B96" s="63" t="s">
        <v>369</v>
      </c>
      <c r="C96" s="63" t="s">
        <v>234</v>
      </c>
      <c r="D96" s="63"/>
      <c r="E96" s="63"/>
      <c r="F96" s="74">
        <v>0.55000000000000004</v>
      </c>
      <c r="G96" s="74">
        <v>0.55000000000000004</v>
      </c>
      <c r="H96" s="74">
        <v>0.55000000000000004</v>
      </c>
      <c r="I96" s="74">
        <v>0.55000000000000004</v>
      </c>
      <c r="J96" s="74">
        <v>0.55000000000000004</v>
      </c>
    </row>
    <row r="97" spans="1:10" s="52" customFormat="1" x14ac:dyDescent="0.25">
      <c r="A97" s="191"/>
      <c r="B97" s="85" t="s">
        <v>380</v>
      </c>
      <c r="C97" s="85" t="s">
        <v>368</v>
      </c>
      <c r="D97" s="85" t="s">
        <v>425</v>
      </c>
      <c r="E97" s="85" t="s">
        <v>471</v>
      </c>
      <c r="F97" s="66">
        <f>F92/F96</f>
        <v>117.09090909090909</v>
      </c>
      <c r="G97" s="66">
        <f>G92/G96</f>
        <v>116.54545454545453</v>
      </c>
      <c r="H97" s="66">
        <f>H92/H96</f>
        <v>124</v>
      </c>
      <c r="I97" s="66">
        <f>I92/I96</f>
        <v>113.81818181818181</v>
      </c>
      <c r="J97" s="66">
        <f>J92/J96</f>
        <v>104.72727272727272</v>
      </c>
    </row>
    <row r="98" spans="1:10" s="52" customFormat="1" x14ac:dyDescent="0.25">
      <c r="A98" s="191"/>
      <c r="B98" s="63" t="s">
        <v>373</v>
      </c>
      <c r="C98" s="63" t="s">
        <v>359</v>
      </c>
      <c r="D98" s="63"/>
      <c r="E98" s="63"/>
      <c r="F98" s="66">
        <v>110</v>
      </c>
      <c r="G98" s="66">
        <v>110</v>
      </c>
      <c r="H98" s="66">
        <v>110</v>
      </c>
      <c r="I98" s="66">
        <v>110</v>
      </c>
      <c r="J98" s="66">
        <v>110</v>
      </c>
    </row>
    <row r="99" spans="1:10" s="52" customFormat="1" x14ac:dyDescent="0.25">
      <c r="A99" s="191"/>
      <c r="B99" s="63" t="s">
        <v>374</v>
      </c>
      <c r="C99" s="63" t="s">
        <v>360</v>
      </c>
      <c r="D99" s="63" t="s">
        <v>425</v>
      </c>
      <c r="E99" s="63" t="s">
        <v>464</v>
      </c>
      <c r="F99" s="64">
        <v>200</v>
      </c>
      <c r="G99" s="64">
        <v>200</v>
      </c>
      <c r="H99" s="64">
        <v>200</v>
      </c>
      <c r="I99" s="64">
        <v>200</v>
      </c>
      <c r="J99" s="64">
        <v>200</v>
      </c>
    </row>
    <row r="100" spans="1:10" s="54" customFormat="1" x14ac:dyDescent="0.25">
      <c r="A100" s="191"/>
      <c r="B100" s="63" t="s">
        <v>396</v>
      </c>
      <c r="C100" s="63" t="s">
        <v>4</v>
      </c>
      <c r="D100" s="63"/>
      <c r="E100" s="63"/>
      <c r="F100" s="75">
        <v>1.6</v>
      </c>
      <c r="G100" s="75">
        <v>1.552</v>
      </c>
      <c r="H100" s="75">
        <v>1.6519999999999999</v>
      </c>
      <c r="I100" s="75">
        <v>1.4990000000000001</v>
      </c>
      <c r="J100" s="75"/>
    </row>
    <row r="101" spans="1:10" s="52" customFormat="1" x14ac:dyDescent="0.25">
      <c r="A101" s="191"/>
      <c r="B101" s="62" t="s">
        <v>458</v>
      </c>
      <c r="C101" s="63" t="s">
        <v>14</v>
      </c>
      <c r="D101" s="63"/>
      <c r="E101" s="63"/>
      <c r="F101" s="66">
        <v>76.8</v>
      </c>
      <c r="G101" s="66">
        <v>79.900000000000006</v>
      </c>
      <c r="H101" s="66">
        <v>81.5</v>
      </c>
      <c r="I101" s="66">
        <v>78.7</v>
      </c>
      <c r="J101" s="66">
        <v>72.400000000000006</v>
      </c>
    </row>
    <row r="102" spans="1:10" s="52" customFormat="1" x14ac:dyDescent="0.25">
      <c r="A102" s="191"/>
      <c r="B102" s="63" t="s">
        <v>376</v>
      </c>
      <c r="C102" s="63" t="s">
        <v>16</v>
      </c>
      <c r="D102" s="63"/>
      <c r="E102" s="63"/>
      <c r="F102" s="66">
        <v>16.100000000000001</v>
      </c>
      <c r="G102" s="66">
        <v>14.8</v>
      </c>
      <c r="H102" s="66">
        <v>15.3</v>
      </c>
      <c r="I102" s="66">
        <v>14.1</v>
      </c>
      <c r="J102" s="66">
        <v>12.4</v>
      </c>
    </row>
    <row r="103" spans="1:10" s="50" customFormat="1" x14ac:dyDescent="0.25">
      <c r="A103" s="191"/>
      <c r="B103" s="63" t="s">
        <v>377</v>
      </c>
      <c r="C103" s="63" t="s">
        <v>19</v>
      </c>
      <c r="D103" s="63"/>
      <c r="E103" s="63"/>
      <c r="F103" s="72">
        <f>F102*(F101+F100)/F94</f>
        <v>0.98</v>
      </c>
      <c r="G103" s="101">
        <f>G102*(G101+G100)/G94</f>
        <v>1.0506363137207058</v>
      </c>
      <c r="H103" s="101">
        <f>H102*(H101+H100)/H94</f>
        <v>1.002921199508088</v>
      </c>
      <c r="I103" s="101">
        <f>I102*(I101+I100)/I94</f>
        <v>1.0502320937662528</v>
      </c>
      <c r="J103" s="101">
        <f>J102*(J101+J100)/J94</f>
        <v>1.0321927888153055</v>
      </c>
    </row>
    <row r="104" spans="1:10" s="50" customFormat="1" x14ac:dyDescent="0.25">
      <c r="A104" s="191"/>
      <c r="B104" s="62" t="s">
        <v>416</v>
      </c>
      <c r="C104" s="63" t="s">
        <v>417</v>
      </c>
      <c r="D104" s="63"/>
      <c r="E104" s="63"/>
      <c r="F104" s="66">
        <f>F102*F101</f>
        <v>1236.48</v>
      </c>
      <c r="G104" s="66">
        <f>G102*G101</f>
        <v>1182.5200000000002</v>
      </c>
      <c r="H104" s="66">
        <f>H102*H101</f>
        <v>1246.95</v>
      </c>
      <c r="I104" s="66">
        <f>I102*I101</f>
        <v>1109.67</v>
      </c>
      <c r="J104" s="66">
        <f>J102*J101</f>
        <v>897.7600000000001</v>
      </c>
    </row>
    <row r="105" spans="1:10" s="46" customFormat="1" x14ac:dyDescent="0.25">
      <c r="A105" s="44"/>
      <c r="B105" s="47"/>
      <c r="C105" s="47"/>
      <c r="D105" s="47"/>
      <c r="E105" s="47"/>
      <c r="F105" s="65"/>
      <c r="G105" s="65"/>
    </row>
    <row r="106" spans="1:10" s="51" customFormat="1" x14ac:dyDescent="0.25">
      <c r="A106" s="191" t="s">
        <v>542</v>
      </c>
      <c r="B106" s="63" t="s">
        <v>354</v>
      </c>
      <c r="C106" s="63"/>
      <c r="D106" s="63"/>
      <c r="E106" s="63" t="s">
        <v>468</v>
      </c>
      <c r="F106" s="64">
        <v>4627</v>
      </c>
      <c r="G106" s="64">
        <v>4627</v>
      </c>
      <c r="H106" s="64">
        <v>4627</v>
      </c>
      <c r="I106" s="64">
        <v>4627</v>
      </c>
      <c r="J106" s="64">
        <v>4627</v>
      </c>
    </row>
    <row r="107" spans="1:10" s="53" customFormat="1" x14ac:dyDescent="0.25">
      <c r="A107" s="191"/>
      <c r="B107" s="85" t="s">
        <v>22</v>
      </c>
      <c r="C107" s="85"/>
      <c r="D107" s="85"/>
      <c r="E107" s="85" t="s">
        <v>347</v>
      </c>
      <c r="F107" s="74">
        <v>0.91</v>
      </c>
      <c r="G107" s="74">
        <v>0.91</v>
      </c>
      <c r="H107" s="74">
        <v>0.91</v>
      </c>
      <c r="I107" s="74">
        <v>0.91</v>
      </c>
      <c r="J107" s="74">
        <v>0.91</v>
      </c>
    </row>
    <row r="108" spans="1:10" s="52" customFormat="1" x14ac:dyDescent="0.25">
      <c r="A108" s="191"/>
      <c r="B108" s="63" t="s">
        <v>23</v>
      </c>
      <c r="C108" s="63" t="s">
        <v>24</v>
      </c>
      <c r="D108" s="63" t="s">
        <v>426</v>
      </c>
      <c r="E108" s="63" t="s">
        <v>473</v>
      </c>
      <c r="F108" s="66">
        <v>18.899999999999999</v>
      </c>
      <c r="G108" s="66">
        <v>18.899999999999999</v>
      </c>
      <c r="H108" s="66">
        <v>18.899999999999999</v>
      </c>
      <c r="I108" s="66">
        <v>18.899999999999999</v>
      </c>
      <c r="J108" s="66">
        <v>18.899999999999999</v>
      </c>
    </row>
    <row r="109" spans="1:10" s="52" customFormat="1" x14ac:dyDescent="0.25">
      <c r="A109" s="191"/>
      <c r="B109" s="63" t="s">
        <v>355</v>
      </c>
      <c r="C109" s="63" t="s">
        <v>351</v>
      </c>
      <c r="D109" s="63"/>
      <c r="E109" s="63"/>
      <c r="F109" s="66">
        <v>13.4</v>
      </c>
      <c r="G109" s="66">
        <v>13.4</v>
      </c>
      <c r="H109" s="66">
        <v>13.4</v>
      </c>
      <c r="I109" s="66">
        <v>13.4</v>
      </c>
      <c r="J109" s="66">
        <v>13.4</v>
      </c>
    </row>
    <row r="110" spans="1:10" s="41" customFormat="1" x14ac:dyDescent="0.25">
      <c r="A110" s="191" t="s">
        <v>357</v>
      </c>
      <c r="B110" s="55" t="s">
        <v>482</v>
      </c>
      <c r="C110" s="55" t="s">
        <v>483</v>
      </c>
      <c r="D110" s="55"/>
      <c r="E110" s="55"/>
      <c r="F110" s="60">
        <v>26.1</v>
      </c>
      <c r="G110" s="83">
        <v>26.4</v>
      </c>
      <c r="H110" s="83">
        <v>27.4</v>
      </c>
      <c r="I110" s="83">
        <v>26.1</v>
      </c>
      <c r="J110" s="83">
        <v>28.1</v>
      </c>
    </row>
    <row r="111" spans="1:10" s="41" customFormat="1" x14ac:dyDescent="0.25">
      <c r="A111" s="191"/>
      <c r="B111" s="56" t="s">
        <v>484</v>
      </c>
      <c r="C111" s="55" t="s">
        <v>483</v>
      </c>
      <c r="D111" s="55"/>
      <c r="E111" s="55"/>
      <c r="F111" s="60">
        <v>130.5</v>
      </c>
      <c r="G111" s="83">
        <v>132</v>
      </c>
      <c r="H111" s="83">
        <v>136.9</v>
      </c>
      <c r="I111" s="83">
        <v>130.5</v>
      </c>
      <c r="J111" s="83">
        <v>140.30000000000001</v>
      </c>
    </row>
    <row r="112" spans="1:10" s="41" customFormat="1" x14ac:dyDescent="0.25">
      <c r="A112" s="191"/>
      <c r="B112" s="55" t="s">
        <v>430</v>
      </c>
      <c r="C112" s="55" t="s">
        <v>356</v>
      </c>
      <c r="D112" s="55"/>
      <c r="E112" s="55"/>
      <c r="F112" s="60">
        <v>0.7</v>
      </c>
      <c r="G112" s="83">
        <v>0.7</v>
      </c>
      <c r="H112" s="83">
        <v>0.6</v>
      </c>
      <c r="I112" s="83">
        <v>0.8</v>
      </c>
      <c r="J112" s="83">
        <v>0.7</v>
      </c>
    </row>
    <row r="113" spans="1:10" s="41" customFormat="1" x14ac:dyDescent="0.25">
      <c r="A113" s="191"/>
      <c r="B113" s="56" t="s">
        <v>431</v>
      </c>
      <c r="C113" s="55" t="s">
        <v>433</v>
      </c>
      <c r="D113" s="55"/>
      <c r="E113" s="55"/>
      <c r="F113" s="73">
        <f>F112/F111</f>
        <v>5.3639846743295016E-3</v>
      </c>
      <c r="G113" s="89">
        <f>G112/G111</f>
        <v>5.3030303030303025E-3</v>
      </c>
      <c r="H113" s="89">
        <f>H112/H111</f>
        <v>4.3827611395178961E-3</v>
      </c>
      <c r="I113" s="89">
        <f>I112/I111</f>
        <v>6.1302681992337167E-3</v>
      </c>
      <c r="J113" s="89">
        <f>J112/J111</f>
        <v>4.9893086243763358E-3</v>
      </c>
    </row>
    <row r="114" spans="1:10" s="40" customFormat="1" ht="15.75" x14ac:dyDescent="0.25">
      <c r="A114" s="191"/>
      <c r="B114" s="55" t="s">
        <v>398</v>
      </c>
      <c r="C114" s="55"/>
      <c r="D114" s="70" t="s">
        <v>480</v>
      </c>
      <c r="E114" s="55" t="s">
        <v>474</v>
      </c>
      <c r="F114" s="59">
        <v>5.0199999999999996</v>
      </c>
      <c r="G114" s="82">
        <v>5.0199999999999996</v>
      </c>
      <c r="H114" s="82">
        <v>5.03</v>
      </c>
      <c r="I114" s="82">
        <v>5</v>
      </c>
      <c r="J114" s="82">
        <v>5.01</v>
      </c>
    </row>
    <row r="115" spans="1:10" s="40" customFormat="1" ht="15.75" x14ac:dyDescent="0.25">
      <c r="A115" s="191"/>
      <c r="B115" s="55" t="s">
        <v>399</v>
      </c>
      <c r="C115" s="55" t="s">
        <v>349</v>
      </c>
      <c r="D115" s="70" t="s">
        <v>480</v>
      </c>
      <c r="E115" s="63" t="s">
        <v>481</v>
      </c>
      <c r="F115" s="59">
        <v>4.07</v>
      </c>
      <c r="G115" s="82">
        <v>3.9</v>
      </c>
      <c r="H115" s="82">
        <v>4.09</v>
      </c>
      <c r="I115" s="82">
        <v>3.82</v>
      </c>
      <c r="J115" s="82">
        <v>3.81</v>
      </c>
    </row>
    <row r="116" spans="1:10" s="41" customFormat="1" ht="15.75" x14ac:dyDescent="0.25">
      <c r="A116" s="191"/>
      <c r="B116" s="55" t="s">
        <v>380</v>
      </c>
      <c r="C116" s="55" t="s">
        <v>381</v>
      </c>
      <c r="D116" s="70" t="s">
        <v>423</v>
      </c>
      <c r="E116" s="55" t="s">
        <v>479</v>
      </c>
      <c r="F116" s="60">
        <f>F110*F102/F109</f>
        <v>31.358955223880599</v>
      </c>
      <c r="G116" s="83">
        <f>G110*G102/G109</f>
        <v>29.158208955223877</v>
      </c>
      <c r="H116" s="83">
        <f>H110*H102/H109</f>
        <v>31.285074626865669</v>
      </c>
      <c r="I116" s="83">
        <f>I110*I102/I109</f>
        <v>27.463432835820893</v>
      </c>
      <c r="J116" s="83">
        <f>J110*J102/J109</f>
        <v>26.002985074626871</v>
      </c>
    </row>
    <row r="117" spans="1:10" s="40" customFormat="1" ht="15.75" x14ac:dyDescent="0.25">
      <c r="A117" s="191"/>
      <c r="B117" s="55" t="s">
        <v>475</v>
      </c>
      <c r="C117" s="55"/>
      <c r="D117" s="70" t="s">
        <v>423</v>
      </c>
      <c r="E117" s="55" t="s">
        <v>477</v>
      </c>
      <c r="F117" s="59">
        <v>6.03</v>
      </c>
      <c r="G117" s="82">
        <v>5.95</v>
      </c>
      <c r="H117" s="82">
        <v>6.02</v>
      </c>
      <c r="I117" s="82">
        <v>6.03</v>
      </c>
      <c r="J117" s="82">
        <v>6.02</v>
      </c>
    </row>
    <row r="118" spans="1:10" s="40" customFormat="1" ht="15.75" x14ac:dyDescent="0.25">
      <c r="A118" s="191"/>
      <c r="B118" s="56" t="s">
        <v>476</v>
      </c>
      <c r="C118" s="55" t="s">
        <v>349</v>
      </c>
      <c r="D118" s="70" t="s">
        <v>423</v>
      </c>
      <c r="E118" s="55" t="s">
        <v>478</v>
      </c>
      <c r="F118" s="59">
        <v>17.93</v>
      </c>
      <c r="G118" s="82">
        <v>17.899999999999999</v>
      </c>
      <c r="H118" s="82">
        <v>18.09</v>
      </c>
      <c r="I118" s="82">
        <v>17.809999999999999</v>
      </c>
      <c r="J118" s="82">
        <v>17.91</v>
      </c>
    </row>
    <row r="119" spans="1:10" s="41" customFormat="1" hidden="1" x14ac:dyDescent="0.25">
      <c r="A119" s="191"/>
      <c r="B119" s="55" t="s">
        <v>375</v>
      </c>
      <c r="C119" s="55" t="s">
        <v>14</v>
      </c>
      <c r="D119" s="55"/>
      <c r="E119" s="55"/>
      <c r="F119" s="60">
        <v>83.5</v>
      </c>
      <c r="G119" s="83">
        <v>68</v>
      </c>
      <c r="H119" s="83">
        <v>74</v>
      </c>
      <c r="I119" s="83">
        <v>74.2</v>
      </c>
      <c r="J119" s="83">
        <v>70.599999999999994</v>
      </c>
    </row>
    <row r="120" spans="1:10" s="40" customFormat="1" hidden="1" x14ac:dyDescent="0.25">
      <c r="A120" s="191"/>
      <c r="B120" s="55" t="s">
        <v>384</v>
      </c>
      <c r="C120" s="55"/>
      <c r="D120" s="55"/>
      <c r="E120" s="55"/>
      <c r="F120" s="59">
        <f>F119/F109</f>
        <v>6.2313432835820892</v>
      </c>
      <c r="G120" s="82">
        <f>G119/G109</f>
        <v>5.0746268656716413</v>
      </c>
      <c r="H120" s="82">
        <f>H119/H109</f>
        <v>5.522388059701492</v>
      </c>
      <c r="I120" s="82">
        <f>I119/I109</f>
        <v>5.5373134328358207</v>
      </c>
      <c r="J120" s="82">
        <f>J119/J109</f>
        <v>5.2686567164179099</v>
      </c>
    </row>
    <row r="121" spans="1:10" s="43" customFormat="1" hidden="1" x14ac:dyDescent="0.25">
      <c r="A121" s="191"/>
      <c r="B121" s="56" t="s">
        <v>500</v>
      </c>
      <c r="C121" s="55" t="s">
        <v>14</v>
      </c>
      <c r="D121" s="55"/>
      <c r="E121" s="55"/>
      <c r="F121" s="67">
        <v>2E-3</v>
      </c>
      <c r="G121" s="86">
        <v>2E-3</v>
      </c>
      <c r="H121" s="86">
        <v>2E-3</v>
      </c>
      <c r="I121" s="86">
        <v>2E-3</v>
      </c>
      <c r="J121" s="86">
        <v>2E-3</v>
      </c>
    </row>
    <row r="122" spans="1:10" s="41" customFormat="1" hidden="1" x14ac:dyDescent="0.25">
      <c r="A122" s="191"/>
      <c r="B122" s="55" t="s">
        <v>397</v>
      </c>
      <c r="C122" s="55" t="s">
        <v>350</v>
      </c>
      <c r="D122" s="55"/>
      <c r="E122" s="55"/>
      <c r="F122" s="60">
        <v>83.5</v>
      </c>
      <c r="G122" s="83">
        <v>68</v>
      </c>
      <c r="H122" s="83">
        <v>74</v>
      </c>
      <c r="I122" s="83">
        <v>74.2</v>
      </c>
      <c r="J122" s="83">
        <v>70.599999999999994</v>
      </c>
    </row>
    <row r="123" spans="1:10" s="40" customFormat="1" hidden="1" x14ac:dyDescent="0.25">
      <c r="A123" s="191"/>
      <c r="B123" s="55" t="s">
        <v>376</v>
      </c>
      <c r="C123" s="55" t="s">
        <v>16</v>
      </c>
      <c r="D123" s="55"/>
      <c r="E123" s="55"/>
      <c r="F123" s="83">
        <v>3.4</v>
      </c>
      <c r="G123" s="83">
        <v>3.6</v>
      </c>
      <c r="H123" s="83">
        <v>3.6</v>
      </c>
      <c r="I123" s="83">
        <v>3.3</v>
      </c>
      <c r="J123" s="83">
        <v>3.2</v>
      </c>
    </row>
    <row r="124" spans="1:10" s="42" customFormat="1" x14ac:dyDescent="0.25">
      <c r="A124" s="191"/>
      <c r="B124" s="55" t="s">
        <v>377</v>
      </c>
      <c r="C124" s="55" t="s">
        <v>353</v>
      </c>
      <c r="D124" s="55"/>
      <c r="E124" s="55"/>
      <c r="F124" s="61">
        <f>F123*(F122+F121)/F102/F110</f>
        <v>0.67563075605054601</v>
      </c>
      <c r="G124" s="84">
        <f>G123*(G122+G121)/G102/G110</f>
        <v>0.62655405405405407</v>
      </c>
      <c r="H124" s="84">
        <f>H123*(H122+H121)/H102/H110</f>
        <v>0.63548303993130095</v>
      </c>
      <c r="I124" s="84">
        <f>I123*(I122+I121)/I102/I110</f>
        <v>0.66538028857911458</v>
      </c>
      <c r="J124" s="84">
        <f>J123*(J122+J121)/J102/J110</f>
        <v>0.64839398461715059</v>
      </c>
    </row>
    <row r="125" spans="1:10" s="42" customFormat="1" x14ac:dyDescent="0.25">
      <c r="A125" s="191"/>
      <c r="B125" s="56" t="s">
        <v>485</v>
      </c>
      <c r="C125" s="55" t="s">
        <v>418</v>
      </c>
      <c r="D125" s="55"/>
      <c r="E125" s="55"/>
      <c r="F125" s="60">
        <f>F123*F122</f>
        <v>283.89999999999998</v>
      </c>
      <c r="G125" s="83">
        <f>G123*G122</f>
        <v>244.8</v>
      </c>
      <c r="H125" s="83">
        <f>H123*H122</f>
        <v>266.40000000000003</v>
      </c>
      <c r="I125" s="83">
        <f>I123*I122</f>
        <v>244.85999999999999</v>
      </c>
      <c r="J125" s="83">
        <f>J123*J122</f>
        <v>225.92</v>
      </c>
    </row>
    <row r="126" spans="1:10" s="40" customFormat="1" hidden="1" x14ac:dyDescent="0.25">
      <c r="A126" s="193" t="s">
        <v>439</v>
      </c>
      <c r="B126" s="38" t="s">
        <v>482</v>
      </c>
      <c r="C126" s="38" t="s">
        <v>483</v>
      </c>
      <c r="D126" s="80"/>
      <c r="E126" s="80"/>
      <c r="F126" s="60">
        <v>25.7</v>
      </c>
      <c r="G126" s="83">
        <v>26.8</v>
      </c>
      <c r="H126" s="83">
        <v>26.9</v>
      </c>
      <c r="I126" s="83">
        <v>26.1</v>
      </c>
      <c r="J126" s="83">
        <v>28.3</v>
      </c>
    </row>
    <row r="127" spans="1:10" s="40" customFormat="1" hidden="1" x14ac:dyDescent="0.25">
      <c r="A127" s="193"/>
      <c r="B127" s="49" t="s">
        <v>484</v>
      </c>
      <c r="C127" s="38" t="s">
        <v>483</v>
      </c>
      <c r="D127" s="80"/>
      <c r="E127" s="80"/>
      <c r="F127" s="60">
        <v>128.5</v>
      </c>
      <c r="G127" s="83">
        <v>133.69999999999999</v>
      </c>
      <c r="H127" s="83">
        <v>134.6</v>
      </c>
      <c r="I127" s="83">
        <v>130.5</v>
      </c>
      <c r="J127" s="83">
        <v>141</v>
      </c>
    </row>
    <row r="128" spans="1:10" s="41" customFormat="1" hidden="1" x14ac:dyDescent="0.25">
      <c r="A128" s="193"/>
      <c r="B128" s="38" t="s">
        <v>430</v>
      </c>
      <c r="C128" s="38" t="s">
        <v>356</v>
      </c>
      <c r="D128" s="80"/>
      <c r="E128" s="80"/>
      <c r="F128" s="60">
        <v>0.8</v>
      </c>
      <c r="G128" s="83">
        <v>0.6</v>
      </c>
      <c r="H128" s="83">
        <v>0.8</v>
      </c>
      <c r="I128" s="83">
        <v>0.8</v>
      </c>
      <c r="J128" s="83">
        <v>0.6</v>
      </c>
    </row>
    <row r="129" spans="1:10" s="40" customFormat="1" hidden="1" x14ac:dyDescent="0.25">
      <c r="A129" s="193"/>
      <c r="B129" s="49" t="s">
        <v>431</v>
      </c>
      <c r="C129" s="38" t="s">
        <v>433</v>
      </c>
      <c r="D129" s="80"/>
      <c r="E129" s="80"/>
      <c r="F129" s="71">
        <f>F128/F127</f>
        <v>6.2256809338521405E-3</v>
      </c>
      <c r="G129" s="88">
        <f>G128/G127</f>
        <v>4.4876589379207179E-3</v>
      </c>
      <c r="H129" s="88">
        <f>H128/H127</f>
        <v>5.9435364041604761E-3</v>
      </c>
      <c r="I129" s="88">
        <f>I128/I127</f>
        <v>6.1302681992337167E-3</v>
      </c>
      <c r="J129" s="88">
        <f>J128/J127</f>
        <v>4.2553191489361703E-3</v>
      </c>
    </row>
    <row r="130" spans="1:10" s="40" customFormat="1" ht="15.75" x14ac:dyDescent="0.25">
      <c r="A130" s="193"/>
      <c r="B130" s="80" t="s">
        <v>398</v>
      </c>
      <c r="C130" s="80"/>
      <c r="D130" s="87" t="s">
        <v>480</v>
      </c>
      <c r="E130" s="80" t="s">
        <v>474</v>
      </c>
      <c r="F130" s="59">
        <v>5.0199999999999996</v>
      </c>
      <c r="G130" s="82">
        <v>5.0199999999999996</v>
      </c>
      <c r="H130" s="82">
        <v>4.92</v>
      </c>
      <c r="I130" s="82">
        <v>5</v>
      </c>
      <c r="J130" s="82">
        <v>4.9800000000000004</v>
      </c>
    </row>
    <row r="131" spans="1:10" s="40" customFormat="1" ht="15.75" x14ac:dyDescent="0.25">
      <c r="A131" s="193"/>
      <c r="B131" s="80" t="s">
        <v>399</v>
      </c>
      <c r="C131" s="80" t="s">
        <v>349</v>
      </c>
      <c r="D131" s="87" t="s">
        <v>480</v>
      </c>
      <c r="E131" s="85" t="s">
        <v>481</v>
      </c>
      <c r="F131" s="59">
        <v>4.1100000000000003</v>
      </c>
      <c r="G131" s="82">
        <v>3.9</v>
      </c>
      <c r="H131" s="82">
        <v>4.04</v>
      </c>
      <c r="I131" s="82">
        <v>3.95</v>
      </c>
      <c r="J131" s="82">
        <v>3.75</v>
      </c>
    </row>
    <row r="132" spans="1:10" s="41" customFormat="1" ht="15.75" x14ac:dyDescent="0.25">
      <c r="A132" s="193"/>
      <c r="B132" s="80" t="s">
        <v>380</v>
      </c>
      <c r="C132" s="80" t="s">
        <v>381</v>
      </c>
      <c r="D132" s="87" t="s">
        <v>423</v>
      </c>
      <c r="E132" s="80" t="s">
        <v>479</v>
      </c>
      <c r="F132" s="60">
        <f>F126*F102/F109</f>
        <v>30.878358208955227</v>
      </c>
      <c r="G132" s="83">
        <f>G126*G102/G109</f>
        <v>29.6</v>
      </c>
      <c r="H132" s="83">
        <f>H126*H102/H109</f>
        <v>30.714179104477612</v>
      </c>
      <c r="I132" s="83">
        <f>I126*I102/I109</f>
        <v>27.463432835820893</v>
      </c>
      <c r="J132" s="83">
        <f>J126*J102/J109</f>
        <v>26.188059701492538</v>
      </c>
    </row>
    <row r="133" spans="1:10" s="40" customFormat="1" ht="15.75" x14ac:dyDescent="0.25">
      <c r="A133" s="193"/>
      <c r="B133" s="80" t="s">
        <v>475</v>
      </c>
      <c r="C133" s="80"/>
      <c r="D133" s="87" t="s">
        <v>423</v>
      </c>
      <c r="E133" s="80" t="s">
        <v>477</v>
      </c>
      <c r="F133" s="59">
        <v>6.05</v>
      </c>
      <c r="G133" s="82">
        <v>5.95</v>
      </c>
      <c r="H133" s="82">
        <v>6.03</v>
      </c>
      <c r="I133" s="82">
        <v>6.03</v>
      </c>
      <c r="J133" s="82">
        <v>6.02</v>
      </c>
    </row>
    <row r="134" spans="1:10" s="41" customFormat="1" ht="14.25" customHeight="1" x14ac:dyDescent="0.25">
      <c r="A134" s="193"/>
      <c r="B134" s="81" t="s">
        <v>476</v>
      </c>
      <c r="C134" s="80" t="s">
        <v>349</v>
      </c>
      <c r="D134" s="87" t="s">
        <v>423</v>
      </c>
      <c r="E134" s="80" t="s">
        <v>478</v>
      </c>
      <c r="F134" s="59">
        <v>17.899999999999999</v>
      </c>
      <c r="G134" s="82">
        <v>18.03</v>
      </c>
      <c r="H134" s="82">
        <v>18.12</v>
      </c>
      <c r="I134" s="82">
        <v>17.88</v>
      </c>
      <c r="J134" s="82">
        <v>17.88</v>
      </c>
    </row>
    <row r="135" spans="1:10" s="41" customFormat="1" ht="14.25" hidden="1" customHeight="1" x14ac:dyDescent="0.25">
      <c r="A135" s="193"/>
      <c r="B135" s="80" t="s">
        <v>375</v>
      </c>
      <c r="C135" s="80" t="s">
        <v>1</v>
      </c>
      <c r="D135" s="80"/>
      <c r="E135" s="80"/>
      <c r="F135" s="60">
        <v>83.8</v>
      </c>
      <c r="G135" s="83">
        <v>79.400000000000006</v>
      </c>
      <c r="H135" s="83">
        <v>69.400000000000006</v>
      </c>
      <c r="I135" s="83">
        <v>70.2</v>
      </c>
      <c r="J135" s="83">
        <v>66.900000000000006</v>
      </c>
    </row>
    <row r="136" spans="1:10" s="40" customFormat="1" hidden="1" x14ac:dyDescent="0.25">
      <c r="A136" s="193"/>
      <c r="B136" s="80" t="s">
        <v>384</v>
      </c>
      <c r="C136" s="80"/>
      <c r="D136" s="80"/>
      <c r="E136" s="80"/>
      <c r="F136" s="59">
        <f>F135/F109</f>
        <v>6.2537313432835813</v>
      </c>
      <c r="G136" s="82">
        <f>G135/G109</f>
        <v>5.9253731343283587</v>
      </c>
      <c r="H136" s="82">
        <f>H135/H109</f>
        <v>5.1791044776119408</v>
      </c>
      <c r="I136" s="82">
        <f>I135/I109</f>
        <v>5.2388059701492535</v>
      </c>
      <c r="J136" s="82">
        <f>J135/J109</f>
        <v>4.9925373134328357</v>
      </c>
    </row>
    <row r="137" spans="1:10" s="43" customFormat="1" hidden="1" x14ac:dyDescent="0.25">
      <c r="A137" s="193"/>
      <c r="B137" s="80" t="s">
        <v>402</v>
      </c>
      <c r="C137" s="80" t="s">
        <v>1</v>
      </c>
      <c r="D137" s="80"/>
      <c r="E137" s="80"/>
      <c r="F137" s="67">
        <v>2E-3</v>
      </c>
      <c r="G137" s="86">
        <v>2E-3</v>
      </c>
      <c r="H137" s="86">
        <v>2E-3</v>
      </c>
      <c r="I137" s="86">
        <v>2E-3</v>
      </c>
      <c r="J137" s="86">
        <v>2E-3</v>
      </c>
    </row>
    <row r="138" spans="1:10" s="41" customFormat="1" hidden="1" x14ac:dyDescent="0.25">
      <c r="A138" s="193"/>
      <c r="B138" s="80" t="s">
        <v>397</v>
      </c>
      <c r="C138" s="80" t="s">
        <v>350</v>
      </c>
      <c r="D138" s="80"/>
      <c r="E138" s="80"/>
      <c r="F138" s="60">
        <v>83.8</v>
      </c>
      <c r="G138" s="83">
        <v>79.400000000000006</v>
      </c>
      <c r="H138" s="83">
        <v>69.400000000000006</v>
      </c>
      <c r="I138" s="83">
        <v>70.2</v>
      </c>
      <c r="J138" s="83">
        <v>66.900000000000006</v>
      </c>
    </row>
    <row r="139" spans="1:10" s="40" customFormat="1" hidden="1" x14ac:dyDescent="0.25">
      <c r="A139" s="193"/>
      <c r="B139" s="80" t="s">
        <v>376</v>
      </c>
      <c r="C139" s="80" t="s">
        <v>16</v>
      </c>
      <c r="D139" s="80"/>
      <c r="E139" s="80"/>
      <c r="F139" s="60">
        <v>3.4</v>
      </c>
      <c r="G139" s="83">
        <v>3.3</v>
      </c>
      <c r="H139" s="83">
        <v>3.8</v>
      </c>
      <c r="I139" s="83">
        <v>3.4</v>
      </c>
      <c r="J139" s="83">
        <v>3</v>
      </c>
    </row>
    <row r="140" spans="1:10" s="42" customFormat="1" x14ac:dyDescent="0.25">
      <c r="A140" s="193"/>
      <c r="B140" s="80" t="s">
        <v>377</v>
      </c>
      <c r="C140" s="80" t="s">
        <v>353</v>
      </c>
      <c r="D140" s="80"/>
      <c r="E140" s="80"/>
      <c r="F140" s="61">
        <f>(F138+F137)*F139/F126/F102</f>
        <v>0.68861154747806741</v>
      </c>
      <c r="G140" s="84">
        <f>(G138+G137)*G139/G126/G102</f>
        <v>0.66061567164179091</v>
      </c>
      <c r="H140" s="84">
        <f>(H138+H137)*H139/H126/H102</f>
        <v>0.64078431372549016</v>
      </c>
      <c r="I140" s="84">
        <f>(I138+I137)*I139/I126/I102</f>
        <v>0.64858781011385547</v>
      </c>
      <c r="J140" s="84">
        <f>(J138+J137)*J139/J126/J102</f>
        <v>0.57194232303658954</v>
      </c>
    </row>
    <row r="141" spans="1:10" s="42" customFormat="1" x14ac:dyDescent="0.25">
      <c r="A141" s="193"/>
      <c r="B141" s="81" t="s">
        <v>485</v>
      </c>
      <c r="C141" s="80" t="s">
        <v>417</v>
      </c>
      <c r="D141" s="80"/>
      <c r="E141" s="80"/>
      <c r="F141" s="76">
        <f>F138*F139</f>
        <v>284.91999999999996</v>
      </c>
      <c r="G141" s="76">
        <f>G138*G139</f>
        <v>262.02</v>
      </c>
      <c r="H141" s="76">
        <f>H138*H139</f>
        <v>263.72000000000003</v>
      </c>
      <c r="I141" s="76">
        <f>I138*I139</f>
        <v>238.68</v>
      </c>
      <c r="J141" s="76">
        <f>J138*J139</f>
        <v>200.70000000000002</v>
      </c>
    </row>
    <row r="142" spans="1:10" s="40" customFormat="1" x14ac:dyDescent="0.25">
      <c r="A142" s="191" t="s">
        <v>486</v>
      </c>
      <c r="B142" s="80" t="s">
        <v>482</v>
      </c>
      <c r="C142" s="80" t="s">
        <v>483</v>
      </c>
      <c r="D142" s="80"/>
      <c r="E142" s="80"/>
      <c r="F142" s="83">
        <v>25</v>
      </c>
      <c r="G142" s="83">
        <v>26.7</v>
      </c>
      <c r="H142" s="83">
        <v>27.2</v>
      </c>
      <c r="I142" s="83">
        <v>26.5</v>
      </c>
      <c r="J142" s="83">
        <v>0</v>
      </c>
    </row>
    <row r="143" spans="1:10" s="40" customFormat="1" x14ac:dyDescent="0.25">
      <c r="A143" s="191"/>
      <c r="B143" s="81" t="s">
        <v>484</v>
      </c>
      <c r="C143" s="80" t="s">
        <v>483</v>
      </c>
      <c r="D143" s="80"/>
      <c r="E143" s="80"/>
      <c r="F143" s="83">
        <v>125.5</v>
      </c>
      <c r="G143" s="83">
        <v>133.19999999999999</v>
      </c>
      <c r="H143" s="83">
        <v>136.80000000000001</v>
      </c>
      <c r="I143" s="83">
        <v>132.5</v>
      </c>
      <c r="J143" s="83">
        <v>0</v>
      </c>
    </row>
    <row r="144" spans="1:10" s="41" customFormat="1" x14ac:dyDescent="0.25">
      <c r="A144" s="191"/>
      <c r="B144" s="80" t="s">
        <v>430</v>
      </c>
      <c r="C144" s="80" t="s">
        <v>356</v>
      </c>
      <c r="D144" s="80"/>
      <c r="E144" s="80"/>
      <c r="F144" s="83">
        <v>0.7</v>
      </c>
      <c r="G144" s="83">
        <v>0.7</v>
      </c>
      <c r="H144" s="83">
        <v>0.7</v>
      </c>
      <c r="I144" s="83">
        <v>0.5</v>
      </c>
      <c r="J144" s="83">
        <v>0</v>
      </c>
    </row>
    <row r="145" spans="1:10" s="40" customFormat="1" x14ac:dyDescent="0.25">
      <c r="A145" s="191"/>
      <c r="B145" s="81" t="s">
        <v>431</v>
      </c>
      <c r="C145" s="80" t="s">
        <v>433</v>
      </c>
      <c r="D145" s="80"/>
      <c r="E145" s="80"/>
      <c r="F145" s="88">
        <f>F144/F143</f>
        <v>5.577689243027888E-3</v>
      </c>
      <c r="G145" s="88">
        <f>G144/G143</f>
        <v>5.2552552552552556E-3</v>
      </c>
      <c r="H145" s="88">
        <f>H144/H143</f>
        <v>5.1169590643274842E-3</v>
      </c>
      <c r="I145" s="88">
        <f>I144/I143</f>
        <v>3.7735849056603774E-3</v>
      </c>
      <c r="J145" s="83">
        <v>0</v>
      </c>
    </row>
    <row r="146" spans="1:10" s="40" customFormat="1" ht="15.75" x14ac:dyDescent="0.25">
      <c r="A146" s="191"/>
      <c r="B146" s="80" t="s">
        <v>398</v>
      </c>
      <c r="C146" s="80"/>
      <c r="D146" s="87" t="s">
        <v>480</v>
      </c>
      <c r="E146" s="80" t="s">
        <v>474</v>
      </c>
      <c r="F146" s="82">
        <v>5.01</v>
      </c>
      <c r="G146" s="82">
        <v>4.99</v>
      </c>
      <c r="H146" s="82">
        <v>5.01</v>
      </c>
      <c r="I146" s="82">
        <v>5.0199999999999996</v>
      </c>
      <c r="J146" s="83">
        <v>0</v>
      </c>
    </row>
    <row r="147" spans="1:10" s="40" customFormat="1" ht="15.75" x14ac:dyDescent="0.25">
      <c r="A147" s="191"/>
      <c r="B147" s="80" t="s">
        <v>399</v>
      </c>
      <c r="C147" s="80" t="s">
        <v>349</v>
      </c>
      <c r="D147" s="87" t="s">
        <v>480</v>
      </c>
      <c r="E147" s="85" t="s">
        <v>481</v>
      </c>
      <c r="F147" s="82">
        <v>4.09</v>
      </c>
      <c r="G147" s="82">
        <v>3.84</v>
      </c>
      <c r="H147" s="82">
        <v>3.98</v>
      </c>
      <c r="I147" s="82">
        <v>3.84</v>
      </c>
      <c r="J147" s="83">
        <v>0</v>
      </c>
    </row>
    <row r="148" spans="1:10" s="41" customFormat="1" ht="15.75" x14ac:dyDescent="0.25">
      <c r="A148" s="191"/>
      <c r="B148" s="80" t="s">
        <v>380</v>
      </c>
      <c r="C148" s="80" t="s">
        <v>381</v>
      </c>
      <c r="D148" s="87" t="s">
        <v>423</v>
      </c>
      <c r="E148" s="80" t="s">
        <v>479</v>
      </c>
      <c r="F148" s="83">
        <f>F142*F102/F109</f>
        <v>30.037313432835823</v>
      </c>
      <c r="G148" s="83">
        <f>G142*G102/G109</f>
        <v>29.48955223880597</v>
      </c>
      <c r="H148" s="83">
        <f>H142*H102/H109</f>
        <v>31.056716417910447</v>
      </c>
      <c r="I148" s="83">
        <f>I142*I102/I109</f>
        <v>27.884328358208954</v>
      </c>
      <c r="J148" s="83">
        <v>0</v>
      </c>
    </row>
    <row r="149" spans="1:10" s="40" customFormat="1" ht="15.75" x14ac:dyDescent="0.25">
      <c r="A149" s="191"/>
      <c r="B149" s="80" t="s">
        <v>475</v>
      </c>
      <c r="C149" s="80"/>
      <c r="D149" s="87" t="s">
        <v>423</v>
      </c>
      <c r="E149" s="80" t="s">
        <v>477</v>
      </c>
      <c r="F149" s="82">
        <v>6.02</v>
      </c>
      <c r="G149" s="82">
        <v>6.02</v>
      </c>
      <c r="H149" s="82">
        <v>6.01</v>
      </c>
      <c r="I149" s="82">
        <v>6</v>
      </c>
      <c r="J149" s="83">
        <v>0</v>
      </c>
    </row>
    <row r="150" spans="1:10" s="41" customFormat="1" ht="14.25" customHeight="1" x14ac:dyDescent="0.25">
      <c r="A150" s="191"/>
      <c r="B150" s="81" t="s">
        <v>476</v>
      </c>
      <c r="C150" s="80" t="s">
        <v>349</v>
      </c>
      <c r="D150" s="87" t="s">
        <v>423</v>
      </c>
      <c r="E150" s="80" t="s">
        <v>478</v>
      </c>
      <c r="F150" s="82">
        <v>17.399999999999999</v>
      </c>
      <c r="G150" s="82">
        <v>18.190000000000001</v>
      </c>
      <c r="H150" s="82">
        <v>18.04</v>
      </c>
      <c r="I150" s="82">
        <v>18.02</v>
      </c>
      <c r="J150" s="83">
        <v>0</v>
      </c>
    </row>
    <row r="151" spans="1:10" s="41" customFormat="1" ht="14.25" customHeight="1" x14ac:dyDescent="0.25">
      <c r="A151" s="191"/>
      <c r="B151" s="80" t="s">
        <v>375</v>
      </c>
      <c r="C151" s="80" t="s">
        <v>1</v>
      </c>
      <c r="D151" s="80"/>
      <c r="E151" s="80"/>
      <c r="F151" s="83">
        <v>74.099999999999994</v>
      </c>
      <c r="G151" s="83">
        <v>73</v>
      </c>
      <c r="H151" s="83">
        <v>77.3</v>
      </c>
      <c r="I151" s="83">
        <v>67</v>
      </c>
      <c r="J151" s="83">
        <v>0</v>
      </c>
    </row>
    <row r="152" spans="1:10" s="40" customFormat="1" x14ac:dyDescent="0.25">
      <c r="A152" s="191"/>
      <c r="B152" s="80" t="s">
        <v>384</v>
      </c>
      <c r="C152" s="80"/>
      <c r="D152" s="80"/>
      <c r="E152" s="80"/>
      <c r="F152" s="82">
        <f>F151/F109</f>
        <v>5.5298507462686564</v>
      </c>
      <c r="G152" s="82">
        <f>G151/G109</f>
        <v>5.4477611940298507</v>
      </c>
      <c r="H152" s="82">
        <f>H151/H109</f>
        <v>5.7686567164179099</v>
      </c>
      <c r="I152" s="82">
        <f>I151/I109</f>
        <v>5</v>
      </c>
      <c r="J152" s="83">
        <v>0</v>
      </c>
    </row>
    <row r="153" spans="1:10" s="43" customFormat="1" x14ac:dyDescent="0.25">
      <c r="A153" s="191"/>
      <c r="B153" s="80" t="s">
        <v>402</v>
      </c>
      <c r="C153" s="80" t="s">
        <v>1</v>
      </c>
      <c r="D153" s="80"/>
      <c r="E153" s="80"/>
      <c r="F153" s="86">
        <v>2E-3</v>
      </c>
      <c r="G153" s="86">
        <v>2E-3</v>
      </c>
      <c r="H153" s="86">
        <v>2E-3</v>
      </c>
      <c r="I153" s="86">
        <v>2E-3</v>
      </c>
      <c r="J153" s="83">
        <v>0</v>
      </c>
    </row>
    <row r="154" spans="1:10" s="41" customFormat="1" x14ac:dyDescent="0.25">
      <c r="A154" s="191"/>
      <c r="B154" s="80" t="s">
        <v>397</v>
      </c>
      <c r="C154" s="80" t="s">
        <v>350</v>
      </c>
      <c r="D154" s="80"/>
      <c r="E154" s="80"/>
      <c r="F154" s="83">
        <v>74.099999999999994</v>
      </c>
      <c r="G154" s="83">
        <v>73</v>
      </c>
      <c r="H154" s="83">
        <v>77.3</v>
      </c>
      <c r="I154" s="83">
        <v>67</v>
      </c>
      <c r="J154" s="83">
        <v>0</v>
      </c>
    </row>
    <row r="155" spans="1:10" s="40" customFormat="1" x14ac:dyDescent="0.25">
      <c r="A155" s="191"/>
      <c r="B155" s="80" t="s">
        <v>376</v>
      </c>
      <c r="C155" s="80" t="s">
        <v>16</v>
      </c>
      <c r="D155" s="80"/>
      <c r="E155" s="80"/>
      <c r="F155" s="83">
        <v>3.6</v>
      </c>
      <c r="G155" s="83">
        <v>3.5</v>
      </c>
      <c r="H155" s="83">
        <v>3.6</v>
      </c>
      <c r="I155" s="83">
        <v>3.4</v>
      </c>
      <c r="J155" s="83">
        <v>0</v>
      </c>
    </row>
    <row r="156" spans="1:10" s="42" customFormat="1" x14ac:dyDescent="0.25">
      <c r="A156" s="191"/>
      <c r="B156" s="80" t="s">
        <v>377</v>
      </c>
      <c r="C156" s="80" t="s">
        <v>353</v>
      </c>
      <c r="D156" s="80"/>
      <c r="E156" s="80"/>
      <c r="F156" s="84">
        <f>F155*F154/F142/F102</f>
        <v>0.66275776397515518</v>
      </c>
      <c r="G156" s="84">
        <f>G155*G154/G142/G102</f>
        <v>0.64657353983196675</v>
      </c>
      <c r="H156" s="84">
        <f>H155*H154/H142/H102</f>
        <v>0.66868512110726641</v>
      </c>
      <c r="I156" s="84">
        <f>I155*I154/I142/I102</f>
        <v>0.6096614478790312</v>
      </c>
      <c r="J156" s="83">
        <v>0</v>
      </c>
    </row>
    <row r="157" spans="1:10" s="42" customFormat="1" x14ac:dyDescent="0.25">
      <c r="A157" s="191"/>
      <c r="B157" s="81" t="s">
        <v>485</v>
      </c>
      <c r="C157" s="80" t="s">
        <v>417</v>
      </c>
      <c r="D157" s="80"/>
      <c r="E157" s="80"/>
      <c r="F157" s="83">
        <f>F155*F154</f>
        <v>266.76</v>
      </c>
      <c r="G157" s="83">
        <f>G155*G154</f>
        <v>255.5</v>
      </c>
      <c r="H157" s="83">
        <f>H155*H154</f>
        <v>278.27999999999997</v>
      </c>
      <c r="I157" s="83">
        <f>I155*I154</f>
        <v>227.79999999999998</v>
      </c>
      <c r="J157" s="83">
        <v>0</v>
      </c>
    </row>
    <row r="158" spans="1:10" s="42" customFormat="1" x14ac:dyDescent="0.25">
      <c r="A158" s="193" t="s">
        <v>18</v>
      </c>
      <c r="B158" s="80" t="s">
        <v>388</v>
      </c>
      <c r="C158" s="80" t="s">
        <v>6</v>
      </c>
      <c r="D158" s="80"/>
      <c r="E158" s="80"/>
      <c r="F158" s="84">
        <f>(F155*(F154+F153)+F139*(F138+F137)+F123*(F122+F121))/(F102*(F110+F126+F142))</f>
        <v>0.67578998447204963</v>
      </c>
      <c r="G158" s="84">
        <f t="shared" ref="G158:I158" si="0">(G155*(G154+G153)+G139*(G138+G137)+G123*(G122+G121))/(G102*(G110+G126+G142))</f>
        <v>0.64467476237188359</v>
      </c>
      <c r="H158" s="84">
        <f t="shared" si="0"/>
        <v>0.64831949957897261</v>
      </c>
      <c r="I158" s="84">
        <f t="shared" si="0"/>
        <v>0.64105562915100878</v>
      </c>
      <c r="J158" s="84">
        <f>(J155*(J154+J153)+J139*(J138+J137)+J123*(J122+J121))/(J102*(J110+J126+J142))</f>
        <v>0.61003260123541503</v>
      </c>
    </row>
    <row r="159" spans="1:10" s="42" customFormat="1" x14ac:dyDescent="0.25">
      <c r="A159" s="193"/>
      <c r="B159" s="80" t="s">
        <v>437</v>
      </c>
      <c r="C159" s="80" t="s">
        <v>3</v>
      </c>
      <c r="D159" s="80"/>
      <c r="E159" s="80"/>
      <c r="F159" s="83">
        <v>3.6</v>
      </c>
      <c r="G159" s="83">
        <v>3.5</v>
      </c>
      <c r="H159" s="83">
        <v>3.6</v>
      </c>
      <c r="I159" s="83">
        <v>3.3</v>
      </c>
      <c r="J159" s="83">
        <v>3.2</v>
      </c>
    </row>
    <row r="160" spans="1:10" s="42" customFormat="1" x14ac:dyDescent="0.25">
      <c r="A160" s="193"/>
      <c r="B160" s="80" t="s">
        <v>438</v>
      </c>
      <c r="C160" s="80" t="s">
        <v>1</v>
      </c>
      <c r="D160" s="80"/>
      <c r="E160" s="80"/>
      <c r="F160" s="82">
        <v>28.32</v>
      </c>
      <c r="G160" s="82">
        <v>28.4</v>
      </c>
      <c r="H160" s="82">
        <v>28.4</v>
      </c>
      <c r="I160" s="82">
        <v>28.45</v>
      </c>
      <c r="J160" s="82">
        <v>80.400000000000006</v>
      </c>
    </row>
    <row r="161" spans="1:10" s="42" customFormat="1" x14ac:dyDescent="0.25">
      <c r="A161" s="193"/>
      <c r="B161" s="80" t="s">
        <v>444</v>
      </c>
      <c r="C161" s="80" t="s">
        <v>1</v>
      </c>
      <c r="D161" s="80"/>
      <c r="E161" s="80"/>
      <c r="F161" s="83">
        <v>211.4</v>
      </c>
      <c r="G161" s="83">
        <v>191.3</v>
      </c>
      <c r="H161" s="83">
        <v>190.5</v>
      </c>
      <c r="I161" s="83">
        <v>183</v>
      </c>
      <c r="J161" s="83">
        <v>57.1</v>
      </c>
    </row>
    <row r="162" spans="1:10" s="42" customFormat="1" x14ac:dyDescent="0.25">
      <c r="A162" s="193"/>
      <c r="B162" s="80" t="s">
        <v>447</v>
      </c>
      <c r="C162" s="80" t="s">
        <v>6</v>
      </c>
      <c r="D162" s="80"/>
      <c r="E162" s="80"/>
      <c r="F162" s="84">
        <f>F159*(F161+F160)/(F157+F141+F125)</f>
        <v>1.0328059551449293</v>
      </c>
      <c r="G162" s="84">
        <f>G159*(G161+G160)/(G157+G141+G125)</f>
        <v>1.0086971350613916</v>
      </c>
      <c r="H162" s="84">
        <f>H159*(H161+H160)/(H157+H141+H125)</f>
        <v>0.9748144482929243</v>
      </c>
      <c r="I162" s="84">
        <f>I159*(I161+I160)/(I157+I141+I125)</f>
        <v>0.98094441476649696</v>
      </c>
      <c r="J162" s="84">
        <f>J159*(J161+J160)/(J157+J141+J125)</f>
        <v>1.0313628053068304</v>
      </c>
    </row>
    <row r="163" spans="1:10" s="42" customFormat="1" x14ac:dyDescent="0.25">
      <c r="A163" s="193"/>
      <c r="B163" s="80" t="s">
        <v>442</v>
      </c>
      <c r="C163" s="80" t="s">
        <v>6</v>
      </c>
      <c r="D163" s="80"/>
      <c r="E163" s="80"/>
      <c r="F163" s="84">
        <f>F158*F162</f>
        <v>0.69795992039003218</v>
      </c>
      <c r="G163" s="84">
        <f>G158*G162</f>
        <v>0.65028158585090234</v>
      </c>
      <c r="H163" s="84">
        <f>H158*H162</f>
        <v>0.63199121529962099</v>
      </c>
      <c r="I163" s="84">
        <f>I158*I162</f>
        <v>0.62883993897030477</v>
      </c>
      <c r="J163" s="84">
        <f>J158*J162</f>
        <v>0.62916493493878067</v>
      </c>
    </row>
    <row r="164" spans="1:10" s="42" customFormat="1" x14ac:dyDescent="0.25">
      <c r="A164" s="194"/>
      <c r="B164" s="80" t="s">
        <v>416</v>
      </c>
      <c r="C164" s="80" t="s">
        <v>417</v>
      </c>
      <c r="D164" s="80"/>
      <c r="E164" s="80"/>
      <c r="F164" s="83">
        <f>F159*F161</f>
        <v>761.04000000000008</v>
      </c>
      <c r="G164" s="83">
        <f>G159*G161</f>
        <v>669.55000000000007</v>
      </c>
      <c r="H164" s="83">
        <f>H159*H161</f>
        <v>685.80000000000007</v>
      </c>
      <c r="I164" s="83">
        <f>I159*I161</f>
        <v>603.9</v>
      </c>
      <c r="J164" s="83">
        <f>J159*J161</f>
        <v>182.72000000000003</v>
      </c>
    </row>
    <row r="165" spans="1:10" s="46" customFormat="1" x14ac:dyDescent="0.25">
      <c r="A165" s="90"/>
      <c r="B165" s="45"/>
      <c r="C165" s="45"/>
      <c r="D165" s="45"/>
      <c r="E165" s="45"/>
    </row>
    <row r="166" spans="1:10" x14ac:dyDescent="0.25">
      <c r="A166" s="192" t="s">
        <v>543</v>
      </c>
      <c r="B166" s="91" t="s">
        <v>354</v>
      </c>
      <c r="C166" s="91"/>
      <c r="D166" s="91"/>
      <c r="E166" s="91" t="s">
        <v>468</v>
      </c>
      <c r="F166" s="91">
        <v>6393</v>
      </c>
      <c r="G166" s="91">
        <v>6393</v>
      </c>
      <c r="H166" s="91">
        <v>6393</v>
      </c>
      <c r="I166" s="91">
        <v>6393</v>
      </c>
      <c r="J166" s="91">
        <v>6393</v>
      </c>
    </row>
    <row r="167" spans="1:10" s="40" customFormat="1" x14ac:dyDescent="0.25">
      <c r="A167" s="192"/>
      <c r="B167" s="91" t="s">
        <v>22</v>
      </c>
      <c r="C167" s="91"/>
      <c r="D167" s="91"/>
      <c r="E167" s="91" t="s">
        <v>363</v>
      </c>
      <c r="F167" s="91">
        <v>1.03</v>
      </c>
      <c r="G167" s="91">
        <v>1.03</v>
      </c>
      <c r="H167" s="91">
        <v>1.03</v>
      </c>
      <c r="I167" s="91">
        <v>1.03</v>
      </c>
      <c r="J167" s="91">
        <v>1.03</v>
      </c>
    </row>
    <row r="168" spans="1:10" s="41" customFormat="1" x14ac:dyDescent="0.25">
      <c r="A168" s="192"/>
      <c r="B168" s="91" t="s">
        <v>23</v>
      </c>
      <c r="C168" s="91" t="s">
        <v>24</v>
      </c>
      <c r="D168" s="91"/>
      <c r="E168" s="91" t="s">
        <v>352</v>
      </c>
      <c r="F168" s="91">
        <v>23.4</v>
      </c>
      <c r="G168" s="91">
        <v>23.4</v>
      </c>
      <c r="H168" s="91">
        <v>23.4</v>
      </c>
      <c r="I168" s="91">
        <v>23.4</v>
      </c>
      <c r="J168" s="91">
        <v>23.4</v>
      </c>
    </row>
    <row r="169" spans="1:10" s="41" customFormat="1" x14ac:dyDescent="0.25">
      <c r="A169" s="192"/>
      <c r="B169" s="91" t="s">
        <v>13</v>
      </c>
      <c r="C169" s="91" t="s">
        <v>14</v>
      </c>
      <c r="D169" s="91"/>
      <c r="E169" s="91"/>
      <c r="F169" s="91">
        <v>66.099999999999994</v>
      </c>
      <c r="G169" s="91">
        <v>66.099999999999994</v>
      </c>
      <c r="H169" s="91">
        <v>66.099999999999994</v>
      </c>
      <c r="I169" s="91">
        <v>66.099999999999994</v>
      </c>
      <c r="J169" s="91">
        <v>66.099999999999994</v>
      </c>
    </row>
    <row r="170" spans="1:10" s="41" customFormat="1" x14ac:dyDescent="0.25">
      <c r="A170" s="192"/>
      <c r="B170" s="91" t="s">
        <v>380</v>
      </c>
      <c r="C170" s="91" t="s">
        <v>381</v>
      </c>
      <c r="D170" s="91" t="s">
        <v>422</v>
      </c>
      <c r="E170" s="91" t="s">
        <v>489</v>
      </c>
      <c r="F170" s="97">
        <f>F164/F169</f>
        <v>11.513464447806356</v>
      </c>
      <c r="G170" s="97">
        <f>G164/G169</f>
        <v>10.129349470499246</v>
      </c>
      <c r="H170" s="97">
        <f>H164/H169</f>
        <v>10.375189107413012</v>
      </c>
      <c r="I170" s="97">
        <f>I164/I169</f>
        <v>9.1361573373676244</v>
      </c>
      <c r="J170" s="68">
        <f>J164/J169</f>
        <v>2.7642965204236014</v>
      </c>
    </row>
    <row r="171" spans="1:10" s="41" customFormat="1" x14ac:dyDescent="0.25">
      <c r="A171" s="192"/>
      <c r="B171" s="91" t="s">
        <v>400</v>
      </c>
      <c r="C171" s="91"/>
      <c r="D171" s="91" t="s">
        <v>426</v>
      </c>
      <c r="E171" s="91" t="s">
        <v>490</v>
      </c>
      <c r="F171" s="91">
        <v>7.87</v>
      </c>
      <c r="G171" s="91">
        <v>7.8</v>
      </c>
      <c r="H171" s="91">
        <v>7.75</v>
      </c>
      <c r="I171" s="91">
        <v>7.74</v>
      </c>
      <c r="J171" s="103">
        <v>7.78</v>
      </c>
    </row>
    <row r="172" spans="1:10" s="78" customFormat="1" ht="15.75" x14ac:dyDescent="0.25">
      <c r="A172" s="192"/>
      <c r="B172" s="92" t="s">
        <v>507</v>
      </c>
      <c r="C172" s="91" t="s">
        <v>349</v>
      </c>
      <c r="D172" s="93" t="s">
        <v>422</v>
      </c>
      <c r="E172" s="91" t="s">
        <v>511</v>
      </c>
      <c r="F172" s="98">
        <v>1.319</v>
      </c>
      <c r="G172" s="98">
        <v>1.33</v>
      </c>
      <c r="H172" s="98">
        <v>1.323</v>
      </c>
      <c r="I172" s="98">
        <v>1.325</v>
      </c>
      <c r="J172" s="104">
        <v>1.3109999999999999</v>
      </c>
    </row>
    <row r="173" spans="1:10" s="41" customFormat="1" x14ac:dyDescent="0.25">
      <c r="A173" s="192"/>
      <c r="B173" s="94" t="s">
        <v>443</v>
      </c>
      <c r="C173" s="91"/>
      <c r="D173" s="91" t="s">
        <v>426</v>
      </c>
      <c r="E173" s="91" t="s">
        <v>490</v>
      </c>
      <c r="F173" s="91">
        <v>7.8</v>
      </c>
      <c r="G173" s="91">
        <v>7.75</v>
      </c>
      <c r="H173" s="91">
        <v>7.8</v>
      </c>
      <c r="I173" s="91">
        <v>7.8</v>
      </c>
      <c r="J173" s="103">
        <v>7.8</v>
      </c>
    </row>
    <row r="174" spans="1:10" s="41" customFormat="1" ht="20.25" customHeight="1" x14ac:dyDescent="0.25">
      <c r="A174" s="192"/>
      <c r="B174" s="92" t="s">
        <v>487</v>
      </c>
      <c r="C174" s="91" t="s">
        <v>356</v>
      </c>
      <c r="D174" s="91"/>
      <c r="E174" s="91"/>
      <c r="F174" s="91">
        <v>0.6</v>
      </c>
      <c r="G174" s="83">
        <v>0.9</v>
      </c>
      <c r="H174" s="83">
        <v>1.1000000000000001</v>
      </c>
      <c r="I174" s="83">
        <v>0.7</v>
      </c>
      <c r="J174" s="83">
        <v>0.4</v>
      </c>
    </row>
    <row r="175" spans="1:10" s="41" customFormat="1" ht="14.25" customHeight="1" x14ac:dyDescent="0.25">
      <c r="A175" s="192"/>
      <c r="B175" s="92" t="s">
        <v>488</v>
      </c>
      <c r="C175" s="91" t="s">
        <v>433</v>
      </c>
      <c r="D175" s="91"/>
      <c r="E175" s="91"/>
      <c r="F175" s="91">
        <f>F174/F161</f>
        <v>2.8382213812677389E-3</v>
      </c>
      <c r="G175" s="98">
        <f>G174/G161</f>
        <v>4.7046523784631464E-3</v>
      </c>
      <c r="H175" s="98">
        <f>H174/H161</f>
        <v>5.7742782152230979E-3</v>
      </c>
      <c r="I175" s="98">
        <f>I174/I161</f>
        <v>3.8251366120218575E-3</v>
      </c>
      <c r="J175" s="86">
        <f>J174/J161</f>
        <v>7.0052539404553416E-3</v>
      </c>
    </row>
    <row r="176" spans="1:10" s="41" customFormat="1" x14ac:dyDescent="0.25">
      <c r="A176" s="192"/>
      <c r="B176" s="91" t="s">
        <v>375</v>
      </c>
      <c r="C176" s="91" t="s">
        <v>14</v>
      </c>
      <c r="D176" s="91"/>
      <c r="E176" s="91"/>
      <c r="F176" s="91">
        <v>532.6</v>
      </c>
      <c r="G176" s="83">
        <v>480</v>
      </c>
      <c r="H176" s="83">
        <v>480.3</v>
      </c>
      <c r="I176" s="83">
        <v>462.2</v>
      </c>
      <c r="J176" s="83">
        <v>147</v>
      </c>
    </row>
    <row r="177" spans="1:11" s="78" customFormat="1" ht="14.25" customHeight="1" x14ac:dyDescent="0.25">
      <c r="A177" s="192"/>
      <c r="B177" s="92" t="s">
        <v>508</v>
      </c>
      <c r="C177" s="91" t="s">
        <v>356</v>
      </c>
      <c r="D177" s="91"/>
      <c r="E177" s="91"/>
      <c r="F177" s="91">
        <v>0.3</v>
      </c>
      <c r="G177" s="83">
        <v>0.4</v>
      </c>
      <c r="H177" s="83">
        <v>0.4</v>
      </c>
      <c r="I177" s="83">
        <v>0.3</v>
      </c>
      <c r="J177" s="83">
        <v>0.1</v>
      </c>
    </row>
    <row r="178" spans="1:11" s="78" customFormat="1" ht="14.25" customHeight="1" x14ac:dyDescent="0.25">
      <c r="A178" s="192"/>
      <c r="B178" s="92" t="s">
        <v>509</v>
      </c>
      <c r="C178" s="91" t="s">
        <v>433</v>
      </c>
      <c r="D178" s="91"/>
      <c r="E178" s="91"/>
      <c r="F178" s="91">
        <f>F177/F176</f>
        <v>5.6327450244085617E-4</v>
      </c>
      <c r="G178" s="98">
        <f>G177/G176</f>
        <v>8.3333333333333339E-4</v>
      </c>
      <c r="H178" s="98">
        <f>H177/H176</f>
        <v>8.3281282531750991E-4</v>
      </c>
      <c r="I178" s="98">
        <f>I177/I176</f>
        <v>6.490696668109044E-4</v>
      </c>
      <c r="J178" s="86">
        <f>J177/J176</f>
        <v>6.8027210884353748E-4</v>
      </c>
    </row>
    <row r="179" spans="1:11" s="78" customFormat="1" x14ac:dyDescent="0.25">
      <c r="A179" s="192"/>
      <c r="B179" s="91" t="s">
        <v>401</v>
      </c>
      <c r="C179" s="91"/>
      <c r="D179" s="91"/>
      <c r="E179" s="91" t="s">
        <v>510</v>
      </c>
      <c r="F179" s="91">
        <v>6.49</v>
      </c>
      <c r="G179" s="91">
        <v>6.5</v>
      </c>
      <c r="H179" s="91">
        <v>6.51</v>
      </c>
      <c r="I179" s="83">
        <v>6.52</v>
      </c>
      <c r="J179" s="82">
        <v>6.52</v>
      </c>
    </row>
    <row r="180" spans="1:11" s="43" customFormat="1" x14ac:dyDescent="0.25">
      <c r="A180" s="192"/>
      <c r="B180" s="91" t="s">
        <v>402</v>
      </c>
      <c r="C180" s="91" t="s">
        <v>14</v>
      </c>
      <c r="D180" s="91"/>
      <c r="E180" s="91"/>
      <c r="F180" s="91">
        <f>0.002+0.015+0.002+0.02+0.14+0.004+0.1+0.02</f>
        <v>0.30300000000000005</v>
      </c>
      <c r="G180" s="86">
        <v>0.3</v>
      </c>
      <c r="H180" s="86">
        <v>0.4</v>
      </c>
      <c r="I180" s="86">
        <v>0.14799999999999999</v>
      </c>
      <c r="J180" s="86">
        <v>147</v>
      </c>
    </row>
    <row r="181" spans="1:11" s="41" customFormat="1" x14ac:dyDescent="0.25">
      <c r="A181" s="192"/>
      <c r="B181" s="91" t="s">
        <v>397</v>
      </c>
      <c r="C181" s="91" t="s">
        <v>350</v>
      </c>
      <c r="D181" s="91"/>
      <c r="E181" s="91"/>
      <c r="F181" s="91">
        <v>532.6</v>
      </c>
      <c r="G181" s="83">
        <v>480.1</v>
      </c>
      <c r="H181" s="83">
        <v>480.3</v>
      </c>
      <c r="I181" s="83">
        <v>462.3</v>
      </c>
      <c r="J181" s="83">
        <v>0</v>
      </c>
    </row>
    <row r="182" spans="1:11" s="41" customFormat="1" x14ac:dyDescent="0.25">
      <c r="A182" s="192"/>
      <c r="B182" s="91" t="s">
        <v>376</v>
      </c>
      <c r="C182" s="91" t="s">
        <v>16</v>
      </c>
      <c r="D182" s="91"/>
      <c r="E182" s="91"/>
      <c r="F182" s="97">
        <v>1.4</v>
      </c>
      <c r="G182" s="83">
        <v>1.3</v>
      </c>
      <c r="H182" s="83">
        <v>1.4</v>
      </c>
      <c r="I182" s="83">
        <v>1.3</v>
      </c>
      <c r="J182" s="83">
        <v>1.2</v>
      </c>
      <c r="K182" s="77"/>
    </row>
    <row r="183" spans="1:11" s="42" customFormat="1" x14ac:dyDescent="0.25">
      <c r="A183" s="192"/>
      <c r="B183" s="91" t="s">
        <v>377</v>
      </c>
      <c r="C183" s="91" t="s">
        <v>353</v>
      </c>
      <c r="D183" s="91"/>
      <c r="E183" s="91"/>
      <c r="F183" s="84">
        <f>F182*(F181+F180)/F164</f>
        <v>0.98032192788815298</v>
      </c>
      <c r="G183" s="84">
        <f>G182*(G181+G180)/G164</f>
        <v>0.93274587409454113</v>
      </c>
      <c r="H183" s="84">
        <f>H182*(H181+H180)/H164</f>
        <v>0.98130650335374725</v>
      </c>
      <c r="I183" s="84">
        <f>I182*(I181+I180)/I164</f>
        <v>0.99549991720483533</v>
      </c>
      <c r="J183" s="84">
        <f>J182*(J181+J180)/J164</f>
        <v>0.96541155866900163</v>
      </c>
    </row>
    <row r="184" spans="1:11" s="42" customFormat="1" x14ac:dyDescent="0.25">
      <c r="A184" s="192"/>
      <c r="B184" s="92" t="s">
        <v>416</v>
      </c>
      <c r="C184" s="91" t="s">
        <v>418</v>
      </c>
      <c r="D184" s="91"/>
      <c r="E184" s="91"/>
      <c r="F184" s="97">
        <f>F182*F181</f>
        <v>745.64</v>
      </c>
      <c r="G184" s="97">
        <f>G182*G181</f>
        <v>624.13</v>
      </c>
      <c r="H184" s="97">
        <f>H182*H181</f>
        <v>672.42</v>
      </c>
      <c r="I184" s="97">
        <f>I182*I181</f>
        <v>600.99</v>
      </c>
      <c r="J184" s="97">
        <v>0</v>
      </c>
    </row>
    <row r="185" spans="1:11" s="46" customFormat="1" x14ac:dyDescent="0.25">
      <c r="A185" s="95"/>
      <c r="B185" s="96"/>
      <c r="C185" s="96"/>
      <c r="D185" s="96"/>
      <c r="E185" s="96"/>
      <c r="F185" s="96"/>
    </row>
    <row r="186" spans="1:11" x14ac:dyDescent="0.25">
      <c r="A186" s="192" t="s">
        <v>544</v>
      </c>
      <c r="B186" s="91" t="s">
        <v>403</v>
      </c>
      <c r="C186" s="91" t="s">
        <v>25</v>
      </c>
      <c r="D186" s="91"/>
      <c r="E186" s="91"/>
      <c r="F186" s="97">
        <v>279.39999999999998</v>
      </c>
      <c r="G186" s="97">
        <v>279.39999999999998</v>
      </c>
      <c r="H186" s="97">
        <v>279.39999999999998</v>
      </c>
      <c r="I186" s="97">
        <v>279.39999999999998</v>
      </c>
    </row>
    <row r="187" spans="1:11" s="40" customFormat="1" x14ac:dyDescent="0.25">
      <c r="A187" s="192"/>
      <c r="B187" s="91" t="s">
        <v>404</v>
      </c>
      <c r="C187" s="91" t="s">
        <v>234</v>
      </c>
      <c r="D187" s="91"/>
      <c r="E187" s="91"/>
      <c r="F187" s="91">
        <v>3</v>
      </c>
      <c r="G187" s="91">
        <v>3</v>
      </c>
      <c r="H187" s="91">
        <v>3</v>
      </c>
      <c r="I187" s="91">
        <v>3</v>
      </c>
    </row>
    <row r="188" spans="1:11" s="40" customFormat="1" ht="15.75" x14ac:dyDescent="0.25">
      <c r="A188" s="192"/>
      <c r="B188" s="91" t="s">
        <v>405</v>
      </c>
      <c r="C188" s="91" t="s">
        <v>406</v>
      </c>
      <c r="D188" s="93" t="s">
        <v>420</v>
      </c>
      <c r="E188" s="91" t="s">
        <v>503</v>
      </c>
      <c r="F188" s="99">
        <v>6</v>
      </c>
      <c r="G188" s="99">
        <v>6</v>
      </c>
      <c r="H188" s="99">
        <v>6</v>
      </c>
      <c r="I188" s="99">
        <v>6</v>
      </c>
    </row>
    <row r="189" spans="1:11" s="41" customFormat="1" ht="15.75" x14ac:dyDescent="0.25">
      <c r="A189" s="192"/>
      <c r="B189" s="91" t="s">
        <v>26</v>
      </c>
      <c r="C189" s="91" t="s">
        <v>27</v>
      </c>
      <c r="D189" s="93" t="s">
        <v>420</v>
      </c>
      <c r="E189" s="91" t="s">
        <v>502</v>
      </c>
      <c r="F189" s="91" t="s">
        <v>501</v>
      </c>
      <c r="G189" s="91" t="s">
        <v>524</v>
      </c>
      <c r="H189" s="91" t="s">
        <v>528</v>
      </c>
      <c r="I189" s="91" t="s">
        <v>533</v>
      </c>
    </row>
    <row r="190" spans="1:11" s="41" customFormat="1" ht="15.75" x14ac:dyDescent="0.25">
      <c r="A190" s="192"/>
      <c r="B190" s="91" t="s">
        <v>380</v>
      </c>
      <c r="C190" s="91" t="s">
        <v>368</v>
      </c>
      <c r="D190" s="93" t="s">
        <v>505</v>
      </c>
      <c r="E190" s="91" t="s">
        <v>504</v>
      </c>
      <c r="F190" s="99">
        <f>F181/F187</f>
        <v>177.53333333333333</v>
      </c>
      <c r="G190" s="99">
        <f>G181/G187</f>
        <v>160.03333333333333</v>
      </c>
      <c r="H190" s="99">
        <f>H181/H187</f>
        <v>160.1</v>
      </c>
      <c r="I190" s="99">
        <f>I181/I187</f>
        <v>154.1</v>
      </c>
    </row>
    <row r="191" spans="1:11" s="41" customFormat="1" ht="18.75" customHeight="1" x14ac:dyDescent="0.25">
      <c r="A191" s="192"/>
      <c r="B191" s="91" t="s">
        <v>407</v>
      </c>
      <c r="C191" s="91" t="s">
        <v>14</v>
      </c>
      <c r="D191" s="91"/>
      <c r="E191" s="91"/>
      <c r="F191" s="91">
        <v>82.8</v>
      </c>
      <c r="G191" s="83">
        <v>69.3</v>
      </c>
      <c r="H191" s="83">
        <v>74.599999999999994</v>
      </c>
      <c r="I191" s="83">
        <v>60.8</v>
      </c>
    </row>
    <row r="192" spans="1:11" s="43" customFormat="1" x14ac:dyDescent="0.25">
      <c r="A192" s="192"/>
      <c r="B192" s="91" t="s">
        <v>402</v>
      </c>
      <c r="C192" s="91" t="s">
        <v>14</v>
      </c>
      <c r="D192" s="91"/>
      <c r="E192" s="91"/>
      <c r="F192" s="91">
        <v>1.1890000000000001</v>
      </c>
      <c r="G192" s="86">
        <v>1.2</v>
      </c>
      <c r="H192" s="86">
        <v>1.1850000000000001</v>
      </c>
      <c r="I192" s="86">
        <v>1.0449999999999999</v>
      </c>
    </row>
    <row r="193" spans="1:9" s="41" customFormat="1" x14ac:dyDescent="0.25">
      <c r="A193" s="192"/>
      <c r="B193" s="91" t="s">
        <v>397</v>
      </c>
      <c r="C193" s="91" t="s">
        <v>350</v>
      </c>
      <c r="D193" s="91"/>
      <c r="E193" s="91"/>
      <c r="F193" s="91">
        <v>81.599999999999994</v>
      </c>
      <c r="G193" s="83">
        <v>68.099999999999994</v>
      </c>
      <c r="H193" s="83">
        <v>73.400000000000006</v>
      </c>
      <c r="I193" s="83">
        <v>65.7</v>
      </c>
    </row>
    <row r="194" spans="1:9" s="41" customFormat="1" x14ac:dyDescent="0.25">
      <c r="A194" s="192"/>
      <c r="B194" s="91" t="s">
        <v>376</v>
      </c>
      <c r="C194" s="91" t="s">
        <v>16</v>
      </c>
      <c r="D194" s="91"/>
      <c r="E194" s="91" t="s">
        <v>506</v>
      </c>
      <c r="F194" s="97">
        <v>8.6</v>
      </c>
      <c r="G194" s="83">
        <v>8.9</v>
      </c>
      <c r="H194" s="83">
        <v>9.1999999999999993</v>
      </c>
      <c r="I194" s="83">
        <v>9.1</v>
      </c>
    </row>
    <row r="195" spans="1:9" ht="15" customHeight="1" x14ac:dyDescent="0.25">
      <c r="A195" s="192"/>
      <c r="B195" s="91" t="s">
        <v>410</v>
      </c>
      <c r="C195" s="91"/>
      <c r="D195" s="91"/>
      <c r="E195" s="91" t="s">
        <v>472</v>
      </c>
      <c r="F195" s="91"/>
      <c r="G195" s="84"/>
      <c r="H195" s="58"/>
      <c r="I195" s="58"/>
    </row>
    <row r="196" spans="1:9" s="42" customFormat="1" x14ac:dyDescent="0.25">
      <c r="A196" s="192"/>
      <c r="B196" s="91" t="s">
        <v>377</v>
      </c>
      <c r="C196" s="91" t="s">
        <v>19</v>
      </c>
      <c r="D196" s="91"/>
      <c r="E196" s="91"/>
      <c r="F196" s="84">
        <f>F194*(F193+F192)/F184</f>
        <v>0.95486481411941404</v>
      </c>
      <c r="G196" s="84">
        <f>G194*(G193+G192)/G184</f>
        <v>0.98820758495826189</v>
      </c>
      <c r="H196" s="84">
        <f>H194*(H193+H192)/H184</f>
        <v>1.0204663751821779</v>
      </c>
      <c r="I196" s="84">
        <f>I194*(I193+I192)/I184</f>
        <v>1.0106316244862643</v>
      </c>
    </row>
    <row r="197" spans="1:9" s="42" customFormat="1" x14ac:dyDescent="0.25">
      <c r="A197" s="192"/>
      <c r="B197" s="92" t="s">
        <v>416</v>
      </c>
      <c r="C197" s="91" t="s">
        <v>417</v>
      </c>
      <c r="D197" s="91"/>
      <c r="E197" s="91"/>
      <c r="F197" s="97">
        <f>F194*F193</f>
        <v>701.75999999999988</v>
      </c>
      <c r="G197" s="97">
        <f>G194*G193</f>
        <v>606.08999999999992</v>
      </c>
      <c r="H197" s="97">
        <f>H194*H193</f>
        <v>675.28</v>
      </c>
      <c r="I197" s="97">
        <f>I194*I193</f>
        <v>597.87</v>
      </c>
    </row>
    <row r="198" spans="1:9" s="79" customFormat="1" x14ac:dyDescent="0.25">
      <c r="A198" s="192"/>
      <c r="B198" s="91" t="s">
        <v>512</v>
      </c>
      <c r="C198" s="91" t="s">
        <v>25</v>
      </c>
      <c r="D198" s="91"/>
      <c r="E198" s="91"/>
      <c r="F198" s="97">
        <v>269.10000000000002</v>
      </c>
      <c r="G198" s="97">
        <v>237.5</v>
      </c>
      <c r="H198" s="97">
        <v>237.5</v>
      </c>
      <c r="I198" s="97">
        <v>222</v>
      </c>
    </row>
    <row r="199" spans="1:9" s="79" customFormat="1" x14ac:dyDescent="0.25">
      <c r="A199" s="192"/>
      <c r="B199" s="92" t="s">
        <v>513</v>
      </c>
      <c r="C199" s="91" t="s">
        <v>514</v>
      </c>
      <c r="D199" s="91"/>
      <c r="E199" s="91"/>
      <c r="F199" s="89">
        <f>F198/F186</f>
        <v>0.96313528990694364</v>
      </c>
      <c r="G199" s="89">
        <f>G198/G186</f>
        <v>0.85003579098067295</v>
      </c>
      <c r="H199" s="89">
        <f>H198/H186</f>
        <v>0.85003579098067295</v>
      </c>
      <c r="I199" s="89">
        <f>I198/I186</f>
        <v>0.79455977093772379</v>
      </c>
    </row>
    <row r="200" spans="1:9" s="46" customFormat="1" x14ac:dyDescent="0.25">
      <c r="A200" s="95"/>
      <c r="B200" s="96"/>
      <c r="C200" s="96"/>
      <c r="D200" s="96"/>
      <c r="E200" s="96"/>
      <c r="F200" s="96"/>
    </row>
    <row r="201" spans="1:9" s="41" customFormat="1" x14ac:dyDescent="0.25">
      <c r="A201" s="192" t="s">
        <v>545</v>
      </c>
      <c r="B201" s="92" t="s">
        <v>436</v>
      </c>
      <c r="C201" s="91" t="s">
        <v>14</v>
      </c>
      <c r="D201" s="91"/>
      <c r="E201" s="91"/>
      <c r="F201" s="91">
        <v>81.599999999999994</v>
      </c>
      <c r="G201" s="83">
        <v>68.099999999999994</v>
      </c>
      <c r="H201" s="83">
        <v>73.400000000000006</v>
      </c>
      <c r="I201" s="83">
        <v>65.7</v>
      </c>
    </row>
    <row r="202" spans="1:9" s="40" customFormat="1" x14ac:dyDescent="0.25">
      <c r="A202" s="192"/>
      <c r="B202" s="91" t="s">
        <v>411</v>
      </c>
      <c r="C202" s="91" t="s">
        <v>234</v>
      </c>
      <c r="D202" s="91"/>
      <c r="E202" s="91"/>
      <c r="F202" s="91">
        <v>0.51</v>
      </c>
      <c r="G202" s="91">
        <v>0.51</v>
      </c>
      <c r="H202" s="91">
        <v>0.51</v>
      </c>
      <c r="I202" s="91">
        <v>0.51</v>
      </c>
    </row>
    <row r="203" spans="1:9" s="41" customFormat="1" ht="15.75" x14ac:dyDescent="0.25">
      <c r="A203" s="192"/>
      <c r="B203" s="91" t="s">
        <v>412</v>
      </c>
      <c r="C203" s="91" t="s">
        <v>368</v>
      </c>
      <c r="D203" s="93" t="s">
        <v>423</v>
      </c>
      <c r="E203" s="91" t="s">
        <v>515</v>
      </c>
      <c r="F203" s="99">
        <f>F201/F202</f>
        <v>160</v>
      </c>
      <c r="G203" s="99">
        <f>G201/G202</f>
        <v>133.52941176470586</v>
      </c>
      <c r="H203" s="99">
        <f>H201/H202</f>
        <v>143.92156862745099</v>
      </c>
      <c r="I203" s="99">
        <f>I201/I202</f>
        <v>128.8235294117647</v>
      </c>
    </row>
    <row r="204" spans="1:9" s="41" customFormat="1" ht="15.75" x14ac:dyDescent="0.25">
      <c r="A204" s="192"/>
      <c r="B204" s="91" t="s">
        <v>413</v>
      </c>
      <c r="C204" s="91" t="s">
        <v>358</v>
      </c>
      <c r="D204" s="93"/>
      <c r="E204" s="91" t="s">
        <v>516</v>
      </c>
      <c r="F204" s="99">
        <v>22</v>
      </c>
      <c r="G204" s="99">
        <v>22</v>
      </c>
      <c r="H204" s="99">
        <v>22</v>
      </c>
      <c r="I204" s="99">
        <v>22</v>
      </c>
    </row>
    <row r="205" spans="1:9" s="43" customFormat="1" x14ac:dyDescent="0.25">
      <c r="A205" s="192"/>
      <c r="B205" s="91" t="s">
        <v>396</v>
      </c>
      <c r="C205" s="91" t="s">
        <v>14</v>
      </c>
      <c r="D205" s="91"/>
      <c r="E205" s="91"/>
      <c r="F205" s="91">
        <v>2.5000000000000001E-2</v>
      </c>
      <c r="G205" s="86">
        <v>2.1000000000000001E-2</v>
      </c>
      <c r="H205" s="86">
        <v>2.1000000000000001E-2</v>
      </c>
      <c r="I205" s="86">
        <v>2.1000000000000001E-2</v>
      </c>
    </row>
    <row r="206" spans="1:9" s="41" customFormat="1" x14ac:dyDescent="0.25">
      <c r="A206" s="192"/>
      <c r="B206" s="91" t="s">
        <v>397</v>
      </c>
      <c r="C206" s="91" t="s">
        <v>350</v>
      </c>
      <c r="D206" s="91"/>
      <c r="E206" s="91"/>
      <c r="F206" s="97">
        <v>90.2</v>
      </c>
      <c r="G206" s="83">
        <v>76.7</v>
      </c>
      <c r="H206" s="83">
        <v>82.8</v>
      </c>
      <c r="I206" s="83">
        <v>74.2</v>
      </c>
    </row>
    <row r="207" spans="1:9" s="41" customFormat="1" x14ac:dyDescent="0.25">
      <c r="A207" s="192"/>
      <c r="B207" s="91" t="s">
        <v>414</v>
      </c>
      <c r="C207" s="91" t="s">
        <v>16</v>
      </c>
      <c r="D207" s="91"/>
      <c r="E207" s="91"/>
      <c r="F207" s="97">
        <v>7.7</v>
      </c>
      <c r="G207" s="83">
        <v>8.1</v>
      </c>
      <c r="H207" s="83">
        <v>7.7</v>
      </c>
      <c r="I207" s="83">
        <v>7.7</v>
      </c>
    </row>
    <row r="208" spans="1:9" s="42" customFormat="1" x14ac:dyDescent="0.25">
      <c r="A208" s="192"/>
      <c r="B208" s="91" t="s">
        <v>377</v>
      </c>
      <c r="C208" s="91" t="s">
        <v>19</v>
      </c>
      <c r="D208" s="91"/>
      <c r="E208" s="91"/>
      <c r="F208" s="84">
        <f>F207*(F206+F205)/F197</f>
        <v>0.98998589261285941</v>
      </c>
      <c r="G208" s="84">
        <f>G207*(G206+G205)/G197</f>
        <v>1.0253264366678219</v>
      </c>
      <c r="H208" s="84">
        <f>H207*(H206+H205)/H197</f>
        <v>0.94438114559886277</v>
      </c>
      <c r="I208" s="84">
        <f>I207*(I206+I205)/I197</f>
        <v>0.95589626507434733</v>
      </c>
    </row>
    <row r="209" spans="1:9" s="42" customFormat="1" x14ac:dyDescent="0.25">
      <c r="A209" s="192"/>
      <c r="B209" s="92" t="s">
        <v>416</v>
      </c>
      <c r="C209" s="91" t="s">
        <v>417</v>
      </c>
      <c r="D209" s="91"/>
      <c r="E209" s="91"/>
      <c r="F209" s="97">
        <f>F207*F206</f>
        <v>694.54000000000008</v>
      </c>
      <c r="G209" s="97">
        <f>G207*G206</f>
        <v>621.27</v>
      </c>
      <c r="H209" s="97">
        <f>H207*H206</f>
        <v>637.55999999999995</v>
      </c>
      <c r="I209" s="97">
        <f>I207*I206</f>
        <v>571.34</v>
      </c>
    </row>
    <row r="210" spans="1:9" s="46" customFormat="1" x14ac:dyDescent="0.25">
      <c r="A210" s="102"/>
      <c r="B210" s="45"/>
      <c r="C210" s="45"/>
      <c r="D210" s="45"/>
      <c r="E210" s="45"/>
    </row>
    <row r="211" spans="1:9" x14ac:dyDescent="0.25">
      <c r="A211" s="191" t="s">
        <v>546</v>
      </c>
      <c r="B211" s="80" t="s">
        <v>403</v>
      </c>
      <c r="C211" s="80" t="s">
        <v>25</v>
      </c>
      <c r="D211" s="80"/>
      <c r="E211" s="80"/>
      <c r="F211" s="58">
        <v>284.5</v>
      </c>
      <c r="G211" s="58">
        <v>284.5</v>
      </c>
      <c r="H211" s="58">
        <v>284.5</v>
      </c>
      <c r="I211" s="58">
        <v>284.5</v>
      </c>
    </row>
    <row r="212" spans="1:9" s="40" customFormat="1" x14ac:dyDescent="0.25">
      <c r="A212" s="191"/>
      <c r="B212" s="80" t="s">
        <v>404</v>
      </c>
      <c r="C212" s="80" t="s">
        <v>234</v>
      </c>
      <c r="D212" s="80"/>
      <c r="E212" s="80"/>
      <c r="F212" s="83">
        <v>3</v>
      </c>
      <c r="G212" s="83">
        <v>3</v>
      </c>
      <c r="H212" s="83">
        <v>3</v>
      </c>
      <c r="I212" s="83">
        <v>3</v>
      </c>
    </row>
    <row r="213" spans="1:9" s="40" customFormat="1" ht="15.75" x14ac:dyDescent="0.25">
      <c r="A213" s="191"/>
      <c r="B213" s="80" t="s">
        <v>405</v>
      </c>
      <c r="C213" s="80" t="s">
        <v>406</v>
      </c>
      <c r="D213" s="87" t="s">
        <v>420</v>
      </c>
      <c r="E213" s="80" t="s">
        <v>503</v>
      </c>
      <c r="F213" s="58">
        <v>6</v>
      </c>
      <c r="G213" s="58">
        <v>6</v>
      </c>
      <c r="H213" s="58">
        <v>6</v>
      </c>
      <c r="I213" s="58">
        <v>6</v>
      </c>
    </row>
    <row r="214" spans="1:9" s="41" customFormat="1" ht="15.75" x14ac:dyDescent="0.25">
      <c r="A214" s="191"/>
      <c r="B214" s="80" t="s">
        <v>428</v>
      </c>
      <c r="C214" s="80" t="s">
        <v>27</v>
      </c>
      <c r="D214" s="87" t="s">
        <v>420</v>
      </c>
      <c r="E214" s="80" t="s">
        <v>517</v>
      </c>
      <c r="F214" s="83" t="s">
        <v>519</v>
      </c>
      <c r="G214" s="83" t="s">
        <v>525</v>
      </c>
      <c r="H214" s="83" t="s">
        <v>529</v>
      </c>
      <c r="I214" s="83" t="s">
        <v>534</v>
      </c>
    </row>
    <row r="215" spans="1:9" s="41" customFormat="1" ht="15.75" x14ac:dyDescent="0.25">
      <c r="A215" s="191"/>
      <c r="B215" s="80" t="s">
        <v>380</v>
      </c>
      <c r="C215" s="80" t="s">
        <v>368</v>
      </c>
      <c r="D215" s="87" t="s">
        <v>420</v>
      </c>
      <c r="E215" s="80" t="s">
        <v>518</v>
      </c>
      <c r="F215" s="83">
        <f>F206/F212</f>
        <v>30.066666666666666</v>
      </c>
      <c r="G215" s="83">
        <f>G206/G212</f>
        <v>25.566666666666666</v>
      </c>
      <c r="H215" s="83">
        <f>H206/H212</f>
        <v>27.599999999999998</v>
      </c>
      <c r="I215" s="83">
        <f>I206/I212</f>
        <v>24.733333333333334</v>
      </c>
    </row>
    <row r="216" spans="1:9" s="41" customFormat="1" ht="18.75" customHeight="1" x14ac:dyDescent="0.25">
      <c r="A216" s="191"/>
      <c r="B216" s="80" t="s">
        <v>435</v>
      </c>
      <c r="C216" s="80" t="s">
        <v>1</v>
      </c>
      <c r="D216" s="87"/>
      <c r="E216" s="80"/>
      <c r="F216" s="83">
        <v>39.799999999999997</v>
      </c>
      <c r="G216" s="83">
        <v>36.5</v>
      </c>
      <c r="H216" s="83">
        <v>36.5</v>
      </c>
      <c r="I216" s="83">
        <v>32.6</v>
      </c>
    </row>
    <row r="217" spans="1:9" s="41" customFormat="1" ht="15.75" x14ac:dyDescent="0.25">
      <c r="A217" s="191"/>
      <c r="B217" s="80" t="s">
        <v>408</v>
      </c>
      <c r="C217" s="80" t="s">
        <v>14</v>
      </c>
      <c r="D217" s="87"/>
      <c r="E217" s="80"/>
      <c r="F217" s="83">
        <v>266.10000000000002</v>
      </c>
      <c r="G217" s="83">
        <v>237.5</v>
      </c>
      <c r="H217" s="83">
        <v>244.4</v>
      </c>
      <c r="I217" s="83">
        <v>218.6</v>
      </c>
    </row>
    <row r="218" spans="1:9" s="41" customFormat="1" ht="15.75" x14ac:dyDescent="0.25">
      <c r="A218" s="191"/>
      <c r="B218" s="80" t="s">
        <v>409</v>
      </c>
      <c r="C218" s="80"/>
      <c r="D218" s="87"/>
      <c r="E218" s="80"/>
      <c r="F218" s="83">
        <f>F217/F216</f>
        <v>6.6859296482412072</v>
      </c>
      <c r="G218" s="83">
        <f>G217/G216</f>
        <v>6.506849315068493</v>
      </c>
      <c r="H218" s="83">
        <f>H217/H216</f>
        <v>6.6958904109589046</v>
      </c>
      <c r="I218" s="83">
        <f>I217/I216</f>
        <v>6.705521472392638</v>
      </c>
    </row>
    <row r="219" spans="1:9" s="41" customFormat="1" ht="15" customHeight="1" x14ac:dyDescent="0.25">
      <c r="A219" s="191"/>
      <c r="B219" s="80" t="s">
        <v>427</v>
      </c>
      <c r="C219" s="80" t="s">
        <v>27</v>
      </c>
      <c r="D219" s="87" t="s">
        <v>420</v>
      </c>
      <c r="E219" s="80" t="s">
        <v>517</v>
      </c>
      <c r="F219" s="83" t="s">
        <v>520</v>
      </c>
      <c r="G219" s="83" t="s">
        <v>526</v>
      </c>
      <c r="H219" s="83" t="s">
        <v>530</v>
      </c>
      <c r="I219" s="83" t="s">
        <v>535</v>
      </c>
    </row>
    <row r="220" spans="1:9" s="78" customFormat="1" ht="15" customHeight="1" x14ac:dyDescent="0.25">
      <c r="A220" s="191"/>
      <c r="B220" s="80" t="s">
        <v>410</v>
      </c>
      <c r="C220" s="80"/>
      <c r="D220" s="87"/>
      <c r="E220" s="80"/>
      <c r="F220" s="58">
        <v>259.2</v>
      </c>
      <c r="G220" s="58">
        <v>228.9</v>
      </c>
      <c r="H220" s="58"/>
    </row>
    <row r="221" spans="1:9" s="43" customFormat="1" x14ac:dyDescent="0.25">
      <c r="A221" s="191"/>
      <c r="B221" s="80" t="s">
        <v>402</v>
      </c>
      <c r="C221" s="80" t="s">
        <v>14</v>
      </c>
      <c r="D221" s="80"/>
      <c r="E221" s="80"/>
      <c r="F221" s="86">
        <v>0.4</v>
      </c>
      <c r="G221" s="86">
        <f>0.007+0.001+0.02+0.14+0.004+0.02+0.15</f>
        <v>0.34199999999999997</v>
      </c>
      <c r="H221" s="86">
        <f>0.007+0.001+0.02+0.14+0.004+0.02+0.15</f>
        <v>0.34199999999999997</v>
      </c>
    </row>
    <row r="222" spans="1:9" s="41" customFormat="1" x14ac:dyDescent="0.25">
      <c r="A222" s="191"/>
      <c r="B222" s="62" t="s">
        <v>458</v>
      </c>
      <c r="C222" s="80" t="s">
        <v>233</v>
      </c>
      <c r="D222" s="80"/>
      <c r="E222" s="80"/>
      <c r="F222" s="83">
        <v>43</v>
      </c>
      <c r="G222" s="83">
        <v>38.1</v>
      </c>
      <c r="H222" s="83">
        <v>39</v>
      </c>
      <c r="I222" s="78">
        <v>35.6</v>
      </c>
    </row>
    <row r="223" spans="1:9" s="41" customFormat="1" x14ac:dyDescent="0.25">
      <c r="A223" s="191"/>
      <c r="B223" s="80" t="s">
        <v>376</v>
      </c>
      <c r="C223" s="80" t="s">
        <v>16</v>
      </c>
      <c r="D223" s="80"/>
      <c r="E223" s="80"/>
      <c r="F223" s="83">
        <v>15.8</v>
      </c>
      <c r="G223" s="83">
        <v>15.9</v>
      </c>
      <c r="H223" s="83">
        <v>16.600000000000001</v>
      </c>
      <c r="I223" s="83">
        <v>16</v>
      </c>
    </row>
    <row r="224" spans="1:9" x14ac:dyDescent="0.25">
      <c r="A224" s="191"/>
      <c r="B224" s="80" t="s">
        <v>410</v>
      </c>
      <c r="C224" s="80"/>
      <c r="D224" s="80"/>
      <c r="E224" s="80" t="s">
        <v>472</v>
      </c>
      <c r="F224" s="84">
        <f>F220/F211</f>
        <v>0.91107205623901577</v>
      </c>
      <c r="G224" s="84">
        <f>G220/G211</f>
        <v>0.80456942003514942</v>
      </c>
      <c r="H224" s="84">
        <f>H220/H211</f>
        <v>0</v>
      </c>
    </row>
    <row r="225" spans="1:10" s="42" customFormat="1" x14ac:dyDescent="0.25">
      <c r="A225" s="191"/>
      <c r="B225" s="80" t="s">
        <v>377</v>
      </c>
      <c r="C225" s="80" t="s">
        <v>19</v>
      </c>
      <c r="D225" s="80"/>
      <c r="E225" s="80"/>
      <c r="F225" s="84">
        <f>(F222+F221)*F223/F209</f>
        <v>0.98730094738963914</v>
      </c>
      <c r="G225" s="84">
        <f>(G222+G221)*G223/G209</f>
        <v>0.98383601332753878</v>
      </c>
      <c r="H225" s="84">
        <f>(H222+H221)*H223/H209</f>
        <v>1.0243384152079806</v>
      </c>
      <c r="I225" s="84">
        <f>(I222+I221)*I223/I209</f>
        <v>0.99695452795183248</v>
      </c>
    </row>
    <row r="226" spans="1:10" s="42" customFormat="1" x14ac:dyDescent="0.25">
      <c r="A226" s="191"/>
      <c r="B226" s="81" t="s">
        <v>416</v>
      </c>
      <c r="C226" s="80" t="s">
        <v>417</v>
      </c>
      <c r="D226" s="80"/>
      <c r="E226" s="80"/>
      <c r="F226" s="83">
        <f>F222*F223</f>
        <v>679.4</v>
      </c>
      <c r="G226" s="83">
        <f>G222*G223</f>
        <v>605.79000000000008</v>
      </c>
      <c r="H226" s="83">
        <f>H222*H223</f>
        <v>647.40000000000009</v>
      </c>
      <c r="I226" s="83">
        <f>I222*I223</f>
        <v>569.6</v>
      </c>
    </row>
    <row r="227" spans="1:10" s="46" customFormat="1" x14ac:dyDescent="0.25">
      <c r="A227" s="48"/>
      <c r="B227" s="45"/>
      <c r="C227" s="45"/>
      <c r="D227" s="45"/>
      <c r="E227" s="45"/>
      <c r="F227" s="100"/>
    </row>
    <row r="228" spans="1:10" s="42" customFormat="1" x14ac:dyDescent="0.25">
      <c r="A228" s="38" t="s">
        <v>415</v>
      </c>
      <c r="B228" s="39" t="s">
        <v>448</v>
      </c>
      <c r="C228" s="38"/>
      <c r="D228" s="38"/>
      <c r="E228" s="38"/>
      <c r="F228" s="79">
        <f>F16*F88*F93*F103*F163*F183*F196*F225</f>
        <v>0.60854257196472927</v>
      </c>
      <c r="G228" s="79">
        <f t="shared" ref="G228:I228" si="1">G16*G88*G93*G103*G163*G183*G196*G225</f>
        <v>0.55006416206800668</v>
      </c>
      <c r="H228" s="79">
        <f t="shared" si="1"/>
        <v>0.5781841290518227</v>
      </c>
      <c r="I228" s="79">
        <f t="shared" si="1"/>
        <v>0.56628932574886637</v>
      </c>
      <c r="J228" s="79"/>
    </row>
    <row r="229" spans="1:10" ht="16.5" customHeight="1" x14ac:dyDescent="0.25"/>
    <row r="230" spans="1:10" ht="43.5" x14ac:dyDescent="0.25">
      <c r="B230" s="105" t="s">
        <v>537</v>
      </c>
      <c r="F230" s="79">
        <f>F226/F3/F2</f>
        <v>0.48891872967486261</v>
      </c>
      <c r="G230" s="79">
        <f t="shared" ref="G230:I230" si="2">G226/G3/G2</f>
        <v>0.4544045034945019</v>
      </c>
      <c r="H230" s="79">
        <f t="shared" si="2"/>
        <v>0.44018729105722199</v>
      </c>
      <c r="I230" s="79">
        <f t="shared" si="2"/>
        <v>0.43945310616426336</v>
      </c>
    </row>
    <row r="231" spans="1:10" x14ac:dyDescent="0.25">
      <c r="F231" s="79"/>
    </row>
  </sheetData>
  <protectedRanges>
    <protectedRange sqref="B8:D8 B10:E10 D116 A129:A132 F25:F26 F50:F51 G126:XFD127 B98:E98 E25 E11 A25:C25 A50:C50 D97 B99:D99 A96:E96 D203:D204 C159:C161 A191:F195 A26:E26 A51:E51 G130:XFD131 A48:F48 B106:E115 A134:A139 A28:F30 G100:H101 A22:F23 A205:F207 A1:F4 B198:C199 A216:E217 A119:XFD119 B172:E172 A6:F6 A186:F189 A13:F15 A102:H102 C91:C93 E50 A70:C70 A71:E71 E70 A73:E76 G78:H81 A33:F45 B11:C12 G70:H71 A106:A111 A113 A115 G134:XFD135 D132 B126:E131 B133:E135 B137:E139 A145:A148 F142:XFD142 A150:A155 D148 B142:E147 B149:E151 B153:E155 D170:D171 E170 E12:F12 A68:E68 A53:F56 A58:F67 A117:E118 H117:XFD118 G73:H75 G68:H68 G87:H87 G96:H96 A100:E101 F149 F151:F155 D173 A166:F169 A174:F182 A201:F202 A211:E214 G214 A219:E224 I25:XFD26 H50:H51 H48 I28:XFD28 I23:XFD23 I2:XFD3 J6:XFD6 I13:XFD15 I33:XFD33 H53:H55 H58:H61 G83:H85 H110:XFD112 K129:XFD129 K132:XFD132 K136:XFD136 H174 J191:XFD195 J186:XFD189 J205:XFD207 J201:XFD202 H63:H65 H67 A78:E87 K106:XFD109 H114:XFD115 K113:XFD113 A121:XFD123 G137:XFD139 H176 G216:H217 G220:H223 J211:XFD214 G219 K1:XFD1 A19:E21 K19:XFD22 J4:XFD4 I30:XFD30 J29:XFD29 I35:XFD36 J34:XFD34 I38:XFD40 K37:XFD37 I42:XFD45 K41:XFD41 J100:XFD102 J70:XFD71 J74:XFD75 J96:XFD96 J50:XFD51 J48:XFD48 J53:XFD55 J78:XFD81 J58:XFD61 F145:I148 G150:I155 J174:XFD182 J216:XFD217 J219:XFD224 J63:XFD65 K62:XFD62 J67:XFD68 K66:XFD66 K56:XFD56 K73:XFD73 J83:XFD85 K82:XFD82 J87:XFD87 K86:XFD86 K76:XFD76 F143:I143 K143:XFD143 K145:XFD148 K150:XFD155 J143:J157 K166:XFD169" name="区域1"/>
    <protectedRange sqref="F106:F115 F117:F118" name="区域1_1"/>
    <protectedRange sqref="F73:F76 F70:F71 F68 G76:H76" name="区域1_3"/>
    <protectedRange sqref="G86:H86 G82:H82 F78:F87" name="区域1_4"/>
    <protectedRange sqref="F90" name="区域1_5"/>
    <protectedRange sqref="F96 F100:F101" name="区域1_6"/>
    <protectedRange sqref="B90:C90" name="区域1_7"/>
    <protectedRange sqref="F126:F127 F129:F132 F134:F139 G129:J129 G132:J132 G136:J136" name="区域1_8"/>
    <protectedRange sqref="F216:F217 F219:F224 F211:F214 G211:H213 G224:H224" name="区域1_10"/>
    <protectedRange sqref="G25:G26 G50:G51 G48 G28:G30 G22:G23 G1:G4 G6 G33:G45 G12:G15 G53:G56 G58:G67 H62 H66 H56" name="区域1_2"/>
    <protectedRange sqref="G106:G111 H106:J109" name="区域1_9"/>
    <protectedRange sqref="G112 G114:G115" name="区域1_11"/>
    <protectedRange sqref="G113:J113" name="区域1_1_1"/>
    <protectedRange sqref="G117:G118" name="区域1_12"/>
    <protectedRange sqref="G174:G182 G166:H169 H175" name="区域1_13"/>
    <protectedRange sqref="G186:G189 G191:G195" name="区域1_14"/>
    <protectedRange sqref="G205:G207 G201:G202" name="区域1_15"/>
    <protectedRange sqref="H25:H26 H23 H2:H3 H13:H14 H33 H35 H38 H40 H42 H44:H45 H29:I29" name="区域1_16"/>
    <protectedRange sqref="H28 H36:H37 H15 H30 H39 H43 F19:G21 H4:I4 H6:I6 H34:I34 H1:J1 H12:J12 H19:J22 I37:J37 H41:J41" name="区域1_2_1"/>
    <protectedRange sqref="H191:H195 H189 H207 H201 H177 H179:H182" name="区域1_18"/>
    <protectedRange sqref="H178" name="区域1_13_1"/>
    <protectedRange sqref="H186:H188" name="区域1_14_2"/>
    <protectedRange sqref="H202 H205:H206" name="区域1_15_2"/>
    <protectedRange sqref="H214" name="区域1_17"/>
    <protectedRange sqref="H219" name="区域1_19"/>
    <protectedRange sqref="I100:I102 I70:I71 I73:I75 I87 I50:I51 I48 I53:I55 I63:I65 I58:I61 I67:I68 I78:I81 I83:I85 I96 J73" name="区域1_20"/>
    <protectedRange sqref="I76:J76" name="区域1_3_1"/>
    <protectedRange sqref="I82:J82 I86:J86" name="区域1_4_1"/>
    <protectedRange sqref="I62:J62 I66:J66 I56:J56" name="区域1_2_2"/>
    <protectedRange sqref="I174 I191:I195 I189 I206:I207 I201 I176:I177 I216:I217 I214 I219:I224 I179:I182" name="区域1_21"/>
    <protectedRange sqref="I211:I213" name="区域1_10_1"/>
    <protectedRange sqref="I175 I166:J169" name="区域1_13_2"/>
    <protectedRange sqref="I178" name="区域1_13_1_1"/>
    <protectedRange sqref="I186:I188" name="区域1_14_2_1"/>
    <protectedRange sqref="I202 I205" name="区域1_15_2_1"/>
  </protectedRanges>
  <mergeCells count="20">
    <mergeCell ref="A201:A209"/>
    <mergeCell ref="A211:A226"/>
    <mergeCell ref="A19:A22"/>
    <mergeCell ref="A96:A104"/>
    <mergeCell ref="A106:A109"/>
    <mergeCell ref="A158:A164"/>
    <mergeCell ref="A126:A141"/>
    <mergeCell ref="A58:A67"/>
    <mergeCell ref="A68:A77"/>
    <mergeCell ref="A78:A87"/>
    <mergeCell ref="A90:A94"/>
    <mergeCell ref="A110:A125"/>
    <mergeCell ref="A142:A157"/>
    <mergeCell ref="A23:A32"/>
    <mergeCell ref="A2:A17"/>
    <mergeCell ref="A48:A57"/>
    <mergeCell ref="A88:A89"/>
    <mergeCell ref="A33:A47"/>
    <mergeCell ref="A186:A199"/>
    <mergeCell ref="A166:A184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C41" sqref="C41"/>
    </sheetView>
  </sheetViews>
  <sheetFormatPr defaultColWidth="9" defaultRowHeight="13.5" x14ac:dyDescent="0.15"/>
  <cols>
    <col min="1" max="1" width="30.125" style="2" customWidth="1"/>
    <col min="2" max="2" width="11.625" style="2" bestFit="1" customWidth="1"/>
    <col min="3" max="3" width="9" style="2"/>
    <col min="4" max="4" width="11.375" style="2" bestFit="1" customWidth="1"/>
    <col min="5" max="7" width="9" style="2"/>
    <col min="8" max="8" width="10.5" style="2" bestFit="1" customWidth="1"/>
    <col min="9" max="10" width="9" style="2"/>
    <col min="11" max="11" width="11" style="2" bestFit="1" customWidth="1"/>
    <col min="12" max="12" width="9" style="2"/>
    <col min="13" max="13" width="9.5" style="2" customWidth="1"/>
    <col min="14" max="14" width="12" style="2" customWidth="1"/>
    <col min="15" max="16384" width="9" style="2"/>
  </cols>
  <sheetData>
    <row r="1" spans="1:13" x14ac:dyDescent="0.15">
      <c r="A1" s="2" t="s">
        <v>28</v>
      </c>
      <c r="B1" s="2" t="s">
        <v>29</v>
      </c>
      <c r="C1" s="195" t="s">
        <v>30</v>
      </c>
      <c r="D1" s="195"/>
      <c r="E1" s="195" t="s">
        <v>31</v>
      </c>
      <c r="F1" s="195"/>
      <c r="G1" s="3" t="s">
        <v>32</v>
      </c>
      <c r="H1" s="2" t="s">
        <v>33</v>
      </c>
      <c r="I1" s="195" t="s">
        <v>34</v>
      </c>
      <c r="J1" s="195"/>
      <c r="K1" s="2" t="s">
        <v>35</v>
      </c>
      <c r="L1" s="2" t="s">
        <v>36</v>
      </c>
      <c r="M1" s="2" t="s">
        <v>37</v>
      </c>
    </row>
    <row r="2" spans="1:13" x14ac:dyDescent="0.15">
      <c r="A2" s="2" t="s">
        <v>38</v>
      </c>
      <c r="B2" s="4">
        <v>2.11</v>
      </c>
      <c r="C2" s="3">
        <v>1.88</v>
      </c>
      <c r="D2" s="3">
        <v>1.88</v>
      </c>
      <c r="E2" s="3">
        <v>19.2</v>
      </c>
      <c r="F2" s="3">
        <v>14.9</v>
      </c>
      <c r="G2" s="3" t="s">
        <v>39</v>
      </c>
      <c r="H2" s="3">
        <v>3.6</v>
      </c>
      <c r="I2" s="3">
        <v>5.2</v>
      </c>
      <c r="J2" s="3">
        <v>5.2</v>
      </c>
      <c r="K2" s="3">
        <v>3.8</v>
      </c>
      <c r="L2" s="3">
        <v>3</v>
      </c>
      <c r="M2" s="3"/>
    </row>
    <row r="3" spans="1:13" x14ac:dyDescent="0.15">
      <c r="A3" s="2" t="s">
        <v>40</v>
      </c>
      <c r="B3" s="3">
        <v>855.5</v>
      </c>
      <c r="C3" s="3">
        <v>464.4</v>
      </c>
      <c r="D3" s="3">
        <v>466.6</v>
      </c>
      <c r="E3" s="3">
        <v>46</v>
      </c>
      <c r="F3" s="3">
        <v>50</v>
      </c>
      <c r="G3" s="3">
        <v>103.2</v>
      </c>
      <c r="H3" s="3">
        <v>456.3</v>
      </c>
      <c r="I3" s="3">
        <v>80.099999999999994</v>
      </c>
      <c r="J3" s="3">
        <v>80</v>
      </c>
      <c r="K3" s="3">
        <v>200.1</v>
      </c>
      <c r="L3" s="3">
        <v>239.7</v>
      </c>
      <c r="M3" s="3"/>
    </row>
    <row r="4" spans="1:13" x14ac:dyDescent="0.15">
      <c r="A4" s="2" t="s">
        <v>41</v>
      </c>
      <c r="B4" s="5">
        <f>B2*B3</f>
        <v>1805.1049999999998</v>
      </c>
      <c r="C4" s="5">
        <v>873.1</v>
      </c>
      <c r="D4" s="5">
        <v>877.2</v>
      </c>
      <c r="E4" s="5">
        <v>883.2</v>
      </c>
      <c r="F4" s="5">
        <v>745</v>
      </c>
      <c r="G4" s="5">
        <v>1582.8</v>
      </c>
      <c r="H4" s="5">
        <v>1642.7</v>
      </c>
      <c r="I4" s="5">
        <v>414</v>
      </c>
      <c r="J4" s="5">
        <v>414</v>
      </c>
      <c r="K4" s="5">
        <f>K3*K2</f>
        <v>760.38</v>
      </c>
      <c r="L4" s="5">
        <v>719</v>
      </c>
      <c r="M4" s="3"/>
    </row>
    <row r="5" spans="1:13" ht="15.75" x14ac:dyDescent="0.15">
      <c r="A5" s="2" t="s">
        <v>42</v>
      </c>
      <c r="B5" s="4"/>
      <c r="C5" s="5">
        <v>26</v>
      </c>
      <c r="D5" s="5">
        <v>26</v>
      </c>
      <c r="E5" s="3" t="s">
        <v>39</v>
      </c>
      <c r="F5" s="3" t="s">
        <v>39</v>
      </c>
      <c r="G5" s="3">
        <v>125</v>
      </c>
      <c r="H5" s="5">
        <v>31</v>
      </c>
      <c r="I5" s="5">
        <v>25.9</v>
      </c>
      <c r="J5" s="5">
        <v>25.9</v>
      </c>
      <c r="K5" s="6">
        <v>392.4</v>
      </c>
      <c r="L5" s="3" t="s">
        <v>43</v>
      </c>
      <c r="M5" s="3"/>
    </row>
    <row r="6" spans="1:13" x14ac:dyDescent="0.15">
      <c r="A6" s="2" t="s">
        <v>44</v>
      </c>
      <c r="B6" s="3"/>
      <c r="C6" s="3" t="s">
        <v>45</v>
      </c>
      <c r="D6" s="3" t="s">
        <v>45</v>
      </c>
      <c r="E6" s="3" t="s">
        <v>39</v>
      </c>
      <c r="F6" s="3" t="s">
        <v>39</v>
      </c>
      <c r="G6" s="3">
        <v>366.7</v>
      </c>
      <c r="H6" s="3" t="s">
        <v>39</v>
      </c>
      <c r="I6" s="3" t="s">
        <v>39</v>
      </c>
      <c r="J6" s="3" t="s">
        <v>39</v>
      </c>
      <c r="K6" s="3" t="s">
        <v>45</v>
      </c>
      <c r="L6" s="3">
        <v>162</v>
      </c>
      <c r="M6" s="3"/>
    </row>
    <row r="7" spans="1:13" x14ac:dyDescent="0.15">
      <c r="A7" s="7" t="s">
        <v>46</v>
      </c>
      <c r="B7" s="3"/>
      <c r="C7" s="3">
        <v>3</v>
      </c>
      <c r="D7" s="3">
        <v>3</v>
      </c>
      <c r="E7" s="3" t="s">
        <v>39</v>
      </c>
      <c r="F7" s="3" t="s">
        <v>39</v>
      </c>
      <c r="G7" s="3" t="s">
        <v>39</v>
      </c>
      <c r="H7" s="3">
        <v>3</v>
      </c>
      <c r="I7" s="3">
        <v>3</v>
      </c>
      <c r="J7" s="3">
        <v>3</v>
      </c>
      <c r="K7" s="3" t="s">
        <v>45</v>
      </c>
      <c r="L7" s="3" t="s">
        <v>39</v>
      </c>
      <c r="M7" s="3"/>
    </row>
    <row r="8" spans="1:13" x14ac:dyDescent="0.15">
      <c r="A8" s="2" t="s">
        <v>47</v>
      </c>
      <c r="B8" s="3"/>
      <c r="C8" s="3">
        <v>5</v>
      </c>
      <c r="D8" s="3">
        <v>5</v>
      </c>
      <c r="E8" s="3" t="s">
        <v>39</v>
      </c>
      <c r="F8" s="3" t="s">
        <v>39</v>
      </c>
      <c r="G8" s="3">
        <v>90</v>
      </c>
      <c r="H8" s="3">
        <v>5</v>
      </c>
      <c r="I8" s="3">
        <v>5</v>
      </c>
      <c r="J8" s="3">
        <v>5</v>
      </c>
      <c r="K8" s="3" t="s">
        <v>45</v>
      </c>
      <c r="L8" s="3" t="s">
        <v>39</v>
      </c>
      <c r="M8" s="3"/>
    </row>
    <row r="9" spans="1:13" x14ac:dyDescent="0.15">
      <c r="A9" s="2" t="s">
        <v>48</v>
      </c>
      <c r="B9" s="3"/>
      <c r="C9" s="3">
        <v>7.23</v>
      </c>
      <c r="D9" s="3">
        <v>7.21</v>
      </c>
      <c r="E9" s="3" t="s">
        <v>39</v>
      </c>
      <c r="F9" s="3" t="s">
        <v>39</v>
      </c>
      <c r="G9" s="3">
        <v>5</v>
      </c>
      <c r="H9" s="3">
        <v>5.15</v>
      </c>
      <c r="I9" s="3">
        <v>4.95</v>
      </c>
      <c r="J9" s="3">
        <v>4.9400000000000004</v>
      </c>
      <c r="K9" s="3" t="s">
        <v>45</v>
      </c>
      <c r="L9" s="3">
        <v>5.2</v>
      </c>
      <c r="M9" s="3"/>
    </row>
    <row r="10" spans="1:13" x14ac:dyDescent="0.15">
      <c r="A10" s="2" t="s">
        <v>49</v>
      </c>
      <c r="B10" s="3"/>
      <c r="C10" s="3" t="s">
        <v>39</v>
      </c>
      <c r="D10" s="3" t="s">
        <v>39</v>
      </c>
      <c r="E10" s="3" t="s">
        <v>39</v>
      </c>
      <c r="F10" s="3" t="s">
        <v>39</v>
      </c>
      <c r="G10" s="3" t="s">
        <v>39</v>
      </c>
      <c r="H10" s="3">
        <v>3.14</v>
      </c>
      <c r="I10" s="3">
        <v>48.57</v>
      </c>
      <c r="J10" s="3">
        <v>48.6</v>
      </c>
      <c r="K10" s="3" t="s">
        <v>45</v>
      </c>
      <c r="L10" s="3" t="s">
        <v>39</v>
      </c>
      <c r="M10" s="3"/>
    </row>
    <row r="11" spans="1:13" x14ac:dyDescent="0.15">
      <c r="A11" s="2" t="s">
        <v>50</v>
      </c>
      <c r="B11" s="3"/>
      <c r="C11" s="3">
        <v>200</v>
      </c>
      <c r="D11" s="3">
        <v>200</v>
      </c>
      <c r="E11" s="3" t="s">
        <v>39</v>
      </c>
      <c r="F11" s="3" t="s">
        <v>39</v>
      </c>
      <c r="G11" s="3">
        <v>330</v>
      </c>
      <c r="H11" s="3">
        <v>150</v>
      </c>
      <c r="I11" s="8">
        <v>120</v>
      </c>
      <c r="J11" s="8">
        <v>120</v>
      </c>
      <c r="K11" s="3" t="s">
        <v>45</v>
      </c>
      <c r="L11" s="3" t="s">
        <v>51</v>
      </c>
      <c r="M11" s="3"/>
    </row>
    <row r="12" spans="1:13" x14ac:dyDescent="0.15">
      <c r="A12" s="2" t="s">
        <v>52</v>
      </c>
      <c r="B12" s="3"/>
      <c r="C12" s="3">
        <v>464.4</v>
      </c>
      <c r="D12" s="5">
        <v>466.6</v>
      </c>
      <c r="E12" s="3" t="s">
        <v>39</v>
      </c>
      <c r="F12" s="3" t="s">
        <v>39</v>
      </c>
      <c r="G12" s="3">
        <v>416</v>
      </c>
      <c r="H12" s="3">
        <v>456.3</v>
      </c>
      <c r="I12" s="9">
        <v>80.099999999999994</v>
      </c>
      <c r="J12" s="9">
        <v>80</v>
      </c>
      <c r="K12" s="3" t="s">
        <v>45</v>
      </c>
      <c r="L12" s="3">
        <v>239.7</v>
      </c>
      <c r="M12" s="3"/>
    </row>
    <row r="13" spans="1:13" x14ac:dyDescent="0.15">
      <c r="A13" s="2" t="s">
        <v>53</v>
      </c>
      <c r="B13" s="3"/>
      <c r="C13" s="3">
        <v>11.954000000000001</v>
      </c>
      <c r="D13" s="3">
        <v>11.95</v>
      </c>
      <c r="E13" s="3" t="s">
        <v>39</v>
      </c>
      <c r="F13" s="3" t="s">
        <v>39</v>
      </c>
      <c r="G13" s="3" t="s">
        <v>39</v>
      </c>
      <c r="H13" s="3">
        <v>5.27</v>
      </c>
      <c r="I13" s="9">
        <v>48.6</v>
      </c>
      <c r="J13" s="9">
        <v>48.6</v>
      </c>
      <c r="K13" s="3" t="s">
        <v>45</v>
      </c>
      <c r="L13" s="3" t="s">
        <v>39</v>
      </c>
      <c r="M13" s="3"/>
    </row>
    <row r="14" spans="1:13" x14ac:dyDescent="0.15">
      <c r="A14" s="2" t="s">
        <v>54</v>
      </c>
      <c r="B14" s="3"/>
      <c r="C14" s="3">
        <v>6.92</v>
      </c>
      <c r="D14" s="3">
        <v>6.93</v>
      </c>
      <c r="E14" s="3" t="s">
        <v>39</v>
      </c>
      <c r="F14" s="3" t="s">
        <v>39</v>
      </c>
      <c r="G14" s="3">
        <v>5.0199999999999996</v>
      </c>
      <c r="H14" s="3">
        <v>5.1100000000000003</v>
      </c>
      <c r="I14" s="8">
        <v>4.91</v>
      </c>
      <c r="J14" s="8">
        <v>4.93</v>
      </c>
      <c r="K14" s="3" t="s">
        <v>45</v>
      </c>
      <c r="L14" s="3" t="s">
        <v>39</v>
      </c>
      <c r="M14" s="3"/>
    </row>
    <row r="15" spans="1:13" x14ac:dyDescent="0.15">
      <c r="A15" s="2" t="s">
        <v>55</v>
      </c>
      <c r="B15" s="3"/>
      <c r="C15" s="3">
        <v>200</v>
      </c>
      <c r="D15" s="3">
        <v>200</v>
      </c>
      <c r="E15" s="3" t="s">
        <v>39</v>
      </c>
      <c r="F15" s="3" t="s">
        <v>39</v>
      </c>
      <c r="G15" s="3" t="s">
        <v>39</v>
      </c>
      <c r="H15" s="3" t="s">
        <v>39</v>
      </c>
      <c r="I15" s="8">
        <v>120</v>
      </c>
      <c r="J15" s="8">
        <v>120</v>
      </c>
      <c r="K15" s="3" t="s">
        <v>45</v>
      </c>
      <c r="L15" s="3" t="s">
        <v>39</v>
      </c>
      <c r="M15" s="3"/>
    </row>
    <row r="16" spans="1:13" x14ac:dyDescent="0.15">
      <c r="A16" s="2" t="s">
        <v>56</v>
      </c>
      <c r="B16" s="3"/>
      <c r="C16" s="3">
        <v>2</v>
      </c>
      <c r="D16" s="3">
        <v>2</v>
      </c>
      <c r="E16" s="3" t="s">
        <v>39</v>
      </c>
      <c r="F16" s="3" t="s">
        <v>39</v>
      </c>
      <c r="G16" s="3" t="s">
        <v>39</v>
      </c>
      <c r="H16" s="3" t="s">
        <v>39</v>
      </c>
      <c r="I16" s="8">
        <v>2</v>
      </c>
      <c r="J16" s="8">
        <v>2</v>
      </c>
      <c r="K16" s="3" t="s">
        <v>45</v>
      </c>
      <c r="L16" s="3">
        <v>240</v>
      </c>
      <c r="M16" s="3"/>
    </row>
    <row r="17" spans="1:14" x14ac:dyDescent="0.15">
      <c r="A17" s="2" t="s">
        <v>57</v>
      </c>
      <c r="B17" s="3"/>
      <c r="C17" s="3">
        <v>5.19</v>
      </c>
      <c r="D17" s="3">
        <v>5.18</v>
      </c>
      <c r="E17" s="3" t="s">
        <v>39</v>
      </c>
      <c r="F17" s="3" t="s">
        <v>39</v>
      </c>
      <c r="G17" s="3" t="s">
        <v>39</v>
      </c>
      <c r="H17" s="3" t="s">
        <v>39</v>
      </c>
      <c r="I17" s="8">
        <v>4.91</v>
      </c>
      <c r="J17" s="8">
        <v>4.93</v>
      </c>
      <c r="K17" s="3" t="s">
        <v>45</v>
      </c>
      <c r="L17" s="3" t="s">
        <v>39</v>
      </c>
      <c r="M17" s="3"/>
    </row>
    <row r="18" spans="1:14" x14ac:dyDescent="0.15">
      <c r="A18" s="2" t="s">
        <v>58</v>
      </c>
      <c r="B18" s="3"/>
      <c r="C18" s="3">
        <v>16.934999999999999</v>
      </c>
      <c r="D18" s="3">
        <v>16.95</v>
      </c>
      <c r="E18" s="3" t="s">
        <v>39</v>
      </c>
      <c r="F18" s="3" t="s">
        <v>39</v>
      </c>
      <c r="G18" s="3" t="s">
        <v>39</v>
      </c>
      <c r="H18" s="3" t="s">
        <v>39</v>
      </c>
      <c r="I18" s="8">
        <v>58.14</v>
      </c>
      <c r="J18" s="8">
        <v>58.2</v>
      </c>
      <c r="K18" s="3" t="s">
        <v>45</v>
      </c>
      <c r="L18" s="3" t="s">
        <v>39</v>
      </c>
      <c r="M18" s="3"/>
    </row>
    <row r="19" spans="1:14" x14ac:dyDescent="0.15">
      <c r="A19" s="2" t="s">
        <v>59</v>
      </c>
      <c r="B19" s="3"/>
      <c r="C19" s="3">
        <v>200</v>
      </c>
      <c r="D19" s="3">
        <v>200</v>
      </c>
      <c r="E19" s="3" t="s">
        <v>39</v>
      </c>
      <c r="F19" s="3" t="s">
        <v>39</v>
      </c>
      <c r="G19" s="3" t="s">
        <v>39</v>
      </c>
      <c r="H19" s="3">
        <v>150</v>
      </c>
      <c r="I19" s="8">
        <v>120</v>
      </c>
      <c r="J19" s="8">
        <v>120</v>
      </c>
      <c r="K19" s="3" t="s">
        <v>45</v>
      </c>
      <c r="L19" s="3" t="s">
        <v>39</v>
      </c>
      <c r="M19" s="3"/>
    </row>
    <row r="20" spans="1:14" x14ac:dyDescent="0.15">
      <c r="A20" s="2" t="s">
        <v>60</v>
      </c>
      <c r="B20" s="3"/>
      <c r="C20" s="3">
        <v>3.55</v>
      </c>
      <c r="D20" s="3">
        <v>3.53</v>
      </c>
      <c r="E20" s="3" t="s">
        <v>39</v>
      </c>
      <c r="F20" s="3" t="s">
        <v>39</v>
      </c>
      <c r="G20" s="3" t="s">
        <v>39</v>
      </c>
      <c r="H20" s="3">
        <v>4.96</v>
      </c>
      <c r="I20" s="3">
        <v>5.48</v>
      </c>
      <c r="J20" s="3">
        <v>5.54</v>
      </c>
      <c r="K20" s="3" t="s">
        <v>45</v>
      </c>
      <c r="L20" s="3" t="s">
        <v>39</v>
      </c>
      <c r="M20" s="3"/>
    </row>
    <row r="21" spans="1:14" x14ac:dyDescent="0.15">
      <c r="A21" s="2" t="s">
        <v>61</v>
      </c>
      <c r="B21" s="3"/>
      <c r="C21" s="3">
        <v>5.1970000000000001</v>
      </c>
      <c r="D21" s="3">
        <v>5.1749999999999998</v>
      </c>
      <c r="E21" s="3" t="s">
        <v>39</v>
      </c>
      <c r="F21" s="3" t="s">
        <v>39</v>
      </c>
      <c r="G21" s="3" t="s">
        <v>39</v>
      </c>
      <c r="H21" s="3">
        <v>24.4</v>
      </c>
      <c r="I21" s="3">
        <v>21.1</v>
      </c>
      <c r="J21" s="3">
        <v>21.2</v>
      </c>
      <c r="K21" s="3" t="s">
        <v>45</v>
      </c>
      <c r="L21" s="3" t="s">
        <v>39</v>
      </c>
      <c r="M21" s="3"/>
    </row>
    <row r="22" spans="1:14" x14ac:dyDescent="0.15">
      <c r="A22" s="2" t="s">
        <v>62</v>
      </c>
      <c r="B22" s="3">
        <f>C3+D3</f>
        <v>931</v>
      </c>
      <c r="C22" s="10">
        <v>46</v>
      </c>
      <c r="D22" s="3">
        <v>50</v>
      </c>
      <c r="E22" s="3" t="s">
        <v>39</v>
      </c>
      <c r="F22" s="3" t="s">
        <v>39</v>
      </c>
      <c r="G22" s="3">
        <v>458.1</v>
      </c>
      <c r="H22" s="3">
        <v>166.1</v>
      </c>
      <c r="I22" s="3">
        <v>49.3</v>
      </c>
      <c r="J22" s="3">
        <v>45.7</v>
      </c>
      <c r="K22" s="3">
        <v>239.7</v>
      </c>
      <c r="L22" s="3">
        <v>23.5</v>
      </c>
      <c r="M22" s="3"/>
    </row>
    <row r="23" spans="1:14" x14ac:dyDescent="0.15">
      <c r="A23" s="2" t="s">
        <v>63</v>
      </c>
      <c r="B23" s="3">
        <v>1.88</v>
      </c>
      <c r="C23" s="3">
        <v>19.2</v>
      </c>
      <c r="D23" s="3">
        <v>14.9</v>
      </c>
      <c r="E23" s="3">
        <v>17.7</v>
      </c>
      <c r="F23" s="3">
        <v>12.8</v>
      </c>
      <c r="G23" s="3">
        <v>3.6</v>
      </c>
      <c r="H23" s="3">
        <v>6.9</v>
      </c>
      <c r="I23" s="3">
        <v>7.9</v>
      </c>
      <c r="J23" s="11">
        <v>8</v>
      </c>
      <c r="K23" s="3">
        <v>3</v>
      </c>
      <c r="L23" s="3">
        <v>30.9</v>
      </c>
      <c r="M23" s="12"/>
    </row>
    <row r="24" spans="1:14" x14ac:dyDescent="0.15">
      <c r="A24" s="2" t="s">
        <v>64</v>
      </c>
      <c r="B24" s="13">
        <f>B22*B23</f>
        <v>1750.28</v>
      </c>
      <c r="C24" s="14">
        <f t="shared" ref="C24:I24" si="0">C22*C23</f>
        <v>883.19999999999993</v>
      </c>
      <c r="D24" s="14">
        <f t="shared" si="0"/>
        <v>745</v>
      </c>
      <c r="E24" s="15" t="s">
        <v>39</v>
      </c>
      <c r="F24" s="15" t="s">
        <v>39</v>
      </c>
      <c r="G24" s="14">
        <f t="shared" si="0"/>
        <v>1649.16</v>
      </c>
      <c r="H24" s="14">
        <f t="shared" si="0"/>
        <v>1146.0899999999999</v>
      </c>
      <c r="I24" s="14">
        <f t="shared" si="0"/>
        <v>389.46999999999997</v>
      </c>
      <c r="J24" s="14">
        <f>J22*J23</f>
        <v>365.6</v>
      </c>
      <c r="K24" s="14">
        <f>K22*K23</f>
        <v>719.09999999999991</v>
      </c>
      <c r="L24" s="13">
        <v>726.2</v>
      </c>
      <c r="M24" s="13"/>
    </row>
    <row r="25" spans="1:14" x14ac:dyDescent="0.15">
      <c r="A25" s="2" t="s">
        <v>65</v>
      </c>
      <c r="B25" s="16">
        <f>B24/B4</f>
        <v>0.96962780558471673</v>
      </c>
      <c r="C25" s="17">
        <f t="shared" ref="C25:G25" si="1">C24/C4</f>
        <v>1.011567976176841</v>
      </c>
      <c r="D25" s="17">
        <f t="shared" si="1"/>
        <v>0.84929320565435473</v>
      </c>
      <c r="E25" s="17" t="s">
        <v>66</v>
      </c>
      <c r="F25" s="17" t="s">
        <v>66</v>
      </c>
      <c r="G25" s="17">
        <f t="shared" si="1"/>
        <v>1.0419257012888552</v>
      </c>
      <c r="H25" s="17">
        <f>H24/H4</f>
        <v>0.69768673525293712</v>
      </c>
      <c r="I25" s="16">
        <f>I24/I4</f>
        <v>0.94074879227053132</v>
      </c>
      <c r="J25" s="16">
        <f>J24/J4</f>
        <v>0.88309178743961358</v>
      </c>
      <c r="K25" s="16">
        <f>K24/K4</f>
        <v>0.94571135484889124</v>
      </c>
      <c r="L25" s="16">
        <f>L24/L4</f>
        <v>1.0100139082058415</v>
      </c>
      <c r="M25" s="16"/>
      <c r="N25" s="17">
        <f>B25*(C25+D25)/2*G25*H25*I25*J25*K25*L25</f>
        <v>0.52041730809223608</v>
      </c>
    </row>
    <row r="26" spans="1:14" x14ac:dyDescent="0.15">
      <c r="A26" s="2" t="s">
        <v>67</v>
      </c>
      <c r="B26" s="3"/>
      <c r="C26" s="3">
        <v>500</v>
      </c>
      <c r="D26" s="3">
        <v>500</v>
      </c>
      <c r="E26" s="3" t="s">
        <v>39</v>
      </c>
      <c r="F26" s="3" t="s">
        <v>39</v>
      </c>
      <c r="G26" s="3" t="s">
        <v>39</v>
      </c>
      <c r="H26" s="3">
        <v>100</v>
      </c>
      <c r="I26" s="3">
        <v>300</v>
      </c>
      <c r="J26" s="3">
        <v>300</v>
      </c>
      <c r="K26" s="3" t="s">
        <v>66</v>
      </c>
      <c r="L26" s="3" t="s">
        <v>39</v>
      </c>
      <c r="M26" s="3"/>
    </row>
    <row r="27" spans="1:14" x14ac:dyDescent="0.15">
      <c r="A27" s="2" t="s">
        <v>68</v>
      </c>
      <c r="B27" s="3"/>
      <c r="C27" s="3">
        <v>500</v>
      </c>
      <c r="D27" s="3">
        <v>500</v>
      </c>
      <c r="E27" s="3" t="s">
        <v>39</v>
      </c>
      <c r="F27" s="3" t="s">
        <v>39</v>
      </c>
      <c r="G27" s="3" t="s">
        <v>39</v>
      </c>
      <c r="H27" s="3">
        <v>2100</v>
      </c>
      <c r="I27" s="3">
        <v>200</v>
      </c>
      <c r="J27" s="3">
        <v>200</v>
      </c>
      <c r="K27" s="3" t="s">
        <v>66</v>
      </c>
      <c r="L27" s="3" t="s">
        <v>39</v>
      </c>
      <c r="M27" s="3"/>
    </row>
    <row r="28" spans="1:14" x14ac:dyDescent="0.15">
      <c r="A28" s="2" t="s">
        <v>69</v>
      </c>
      <c r="B28" s="3"/>
      <c r="C28" s="3">
        <v>7020</v>
      </c>
      <c r="D28" s="3">
        <v>7020</v>
      </c>
      <c r="E28" s="3" t="s">
        <v>39</v>
      </c>
      <c r="F28" s="3" t="s">
        <v>39</v>
      </c>
      <c r="G28" s="3" t="s">
        <v>39</v>
      </c>
      <c r="H28" s="3">
        <v>5950</v>
      </c>
      <c r="I28" s="3">
        <v>4864</v>
      </c>
      <c r="J28" s="3">
        <v>4864</v>
      </c>
      <c r="K28" s="3" t="s">
        <v>66</v>
      </c>
      <c r="L28" s="3" t="s">
        <v>39</v>
      </c>
      <c r="M28" s="3"/>
    </row>
    <row r="29" spans="1:14" x14ac:dyDescent="0.15">
      <c r="A29" s="2" t="s">
        <v>70</v>
      </c>
      <c r="B29" s="3"/>
      <c r="C29" s="3">
        <v>1.1100000000000001</v>
      </c>
      <c r="D29" s="3">
        <v>1.1100000000000001</v>
      </c>
      <c r="E29" s="3" t="s">
        <v>39</v>
      </c>
      <c r="F29" s="3" t="s">
        <v>39</v>
      </c>
      <c r="G29" s="3" t="s">
        <v>39</v>
      </c>
      <c r="H29" s="3">
        <v>0.85</v>
      </c>
      <c r="I29" s="3">
        <v>1.1299999999999999</v>
      </c>
      <c r="J29" s="3">
        <v>1.1299999999999999</v>
      </c>
      <c r="K29" s="3" t="s">
        <v>66</v>
      </c>
      <c r="L29" s="3" t="s">
        <v>39</v>
      </c>
      <c r="M29" s="3"/>
    </row>
    <row r="30" spans="1:14" x14ac:dyDescent="0.15">
      <c r="A30" s="2" t="s">
        <v>71</v>
      </c>
      <c r="B30" s="3"/>
      <c r="C30" s="3">
        <v>150</v>
      </c>
      <c r="D30" s="3">
        <v>150</v>
      </c>
      <c r="E30" s="3" t="s">
        <v>39</v>
      </c>
      <c r="F30" s="3" t="s">
        <v>39</v>
      </c>
      <c r="G30" s="3" t="s">
        <v>39</v>
      </c>
      <c r="H30" s="3">
        <v>150</v>
      </c>
      <c r="I30" s="3">
        <v>120</v>
      </c>
      <c r="J30" s="3">
        <v>120</v>
      </c>
      <c r="K30" s="3" t="s">
        <v>66</v>
      </c>
      <c r="L30" s="3" t="s">
        <v>39</v>
      </c>
      <c r="M30" s="3"/>
    </row>
    <row r="31" spans="1:14" x14ac:dyDescent="0.15">
      <c r="A31" s="7" t="s">
        <v>72</v>
      </c>
      <c r="B31" s="3"/>
      <c r="C31" s="3">
        <v>3</v>
      </c>
      <c r="D31" s="3">
        <v>3</v>
      </c>
      <c r="E31" s="3" t="s">
        <v>39</v>
      </c>
      <c r="F31" s="3" t="s">
        <v>39</v>
      </c>
      <c r="G31" s="3" t="s">
        <v>39</v>
      </c>
      <c r="H31" s="3">
        <v>3</v>
      </c>
      <c r="I31" s="3">
        <v>3</v>
      </c>
      <c r="J31" s="3">
        <v>3</v>
      </c>
      <c r="K31" s="3" t="s">
        <v>66</v>
      </c>
      <c r="L31" s="3" t="s">
        <v>39</v>
      </c>
      <c r="M31" s="3"/>
    </row>
    <row r="32" spans="1:14" x14ac:dyDescent="0.15">
      <c r="A32" s="2" t="s">
        <v>73</v>
      </c>
      <c r="B32" s="3"/>
      <c r="C32" s="3" t="s">
        <v>39</v>
      </c>
      <c r="D32" s="3" t="s">
        <v>39</v>
      </c>
      <c r="E32" s="3" t="s">
        <v>66</v>
      </c>
      <c r="F32" s="3" t="s">
        <v>39</v>
      </c>
      <c r="G32" s="3">
        <v>4</v>
      </c>
      <c r="H32" s="3">
        <v>24.9</v>
      </c>
      <c r="I32" s="3" t="s">
        <v>74</v>
      </c>
      <c r="J32" s="18" t="s">
        <v>75</v>
      </c>
      <c r="K32" s="3">
        <v>17</v>
      </c>
      <c r="L32" s="3" t="s">
        <v>76</v>
      </c>
      <c r="M32" s="3"/>
    </row>
    <row r="33" spans="1:14" x14ac:dyDescent="0.15">
      <c r="A33" s="2" t="s">
        <v>77</v>
      </c>
      <c r="B33" s="3"/>
      <c r="C33" s="3" t="s">
        <v>39</v>
      </c>
      <c r="D33" s="3" t="s">
        <v>39</v>
      </c>
      <c r="E33" s="3" t="s">
        <v>39</v>
      </c>
      <c r="F33" s="3" t="s">
        <v>39</v>
      </c>
      <c r="G33" s="3" t="s">
        <v>39</v>
      </c>
      <c r="H33" s="3">
        <v>20.25</v>
      </c>
      <c r="I33" s="3"/>
      <c r="J33" s="3"/>
      <c r="K33" s="3">
        <v>22</v>
      </c>
      <c r="L33" s="3" t="s">
        <v>39</v>
      </c>
      <c r="M33" s="3"/>
    </row>
    <row r="34" spans="1:14" x14ac:dyDescent="0.15">
      <c r="A34" s="2" t="s">
        <v>78</v>
      </c>
      <c r="B34" s="3"/>
      <c r="C34" s="3" t="s">
        <v>39</v>
      </c>
      <c r="D34" s="3" t="s">
        <v>39</v>
      </c>
      <c r="E34" s="3" t="s">
        <v>39</v>
      </c>
      <c r="F34" s="3" t="s">
        <v>39</v>
      </c>
      <c r="G34" s="3" t="s">
        <v>39</v>
      </c>
      <c r="H34" s="3" t="s">
        <v>39</v>
      </c>
      <c r="I34" s="3"/>
      <c r="J34" s="3"/>
      <c r="K34" s="3" t="s">
        <v>79</v>
      </c>
      <c r="L34" s="3" t="s">
        <v>39</v>
      </c>
      <c r="M34" s="3"/>
    </row>
    <row r="35" spans="1:14" x14ac:dyDescent="0.15">
      <c r="A35" s="2" t="s">
        <v>80</v>
      </c>
      <c r="B35" s="3"/>
      <c r="C35" s="3"/>
      <c r="D35" s="3"/>
      <c r="E35" s="196">
        <v>21.1</v>
      </c>
      <c r="F35" s="196"/>
      <c r="G35" s="19">
        <v>21.3</v>
      </c>
      <c r="H35" s="3">
        <v>21.3</v>
      </c>
      <c r="I35" s="3">
        <v>21.3</v>
      </c>
      <c r="J35" s="3">
        <v>21.3</v>
      </c>
      <c r="K35" s="3" t="s">
        <v>79</v>
      </c>
      <c r="L35" s="3" t="s">
        <v>39</v>
      </c>
      <c r="M35" s="3"/>
    </row>
    <row r="36" spans="1:14" x14ac:dyDescent="0.15">
      <c r="A36" s="2" t="s">
        <v>81</v>
      </c>
      <c r="B36" s="19"/>
      <c r="C36" s="19">
        <v>94</v>
      </c>
      <c r="D36" s="19">
        <v>94</v>
      </c>
      <c r="E36" s="196">
        <v>338</v>
      </c>
      <c r="F36" s="196"/>
      <c r="G36" s="19">
        <v>6</v>
      </c>
      <c r="H36" s="19">
        <v>20</v>
      </c>
      <c r="I36" s="20">
        <v>30</v>
      </c>
      <c r="J36" s="20">
        <v>30</v>
      </c>
      <c r="K36" s="19">
        <v>1024</v>
      </c>
      <c r="L36" s="19">
        <v>17</v>
      </c>
      <c r="M36" s="19">
        <v>731</v>
      </c>
    </row>
    <row r="37" spans="1:14" x14ac:dyDescent="0.15">
      <c r="A37" s="2" t="s">
        <v>82</v>
      </c>
      <c r="B37" s="3"/>
      <c r="C37" s="3">
        <v>60</v>
      </c>
      <c r="D37" s="3">
        <v>60</v>
      </c>
      <c r="E37" s="3">
        <v>60</v>
      </c>
      <c r="F37" s="3">
        <v>60</v>
      </c>
      <c r="G37" s="3">
        <v>180</v>
      </c>
      <c r="H37" s="3">
        <v>80</v>
      </c>
      <c r="I37" s="3">
        <v>80</v>
      </c>
      <c r="J37" s="3">
        <v>80</v>
      </c>
      <c r="K37" s="3">
        <v>80</v>
      </c>
      <c r="L37" s="19">
        <v>50.1</v>
      </c>
      <c r="M37" s="19">
        <v>60.2</v>
      </c>
    </row>
    <row r="38" spans="1:14" x14ac:dyDescent="0.15">
      <c r="A38" s="2" t="s">
        <v>83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</row>
    <row r="39" spans="1:14" x14ac:dyDescent="0.15">
      <c r="A39" s="7" t="s">
        <v>84</v>
      </c>
      <c r="C39" s="2">
        <f>C23*C36</f>
        <v>1804.8</v>
      </c>
      <c r="D39" s="2">
        <f t="shared" ref="D39:M39" si="2">D23*D36</f>
        <v>1400.6000000000001</v>
      </c>
      <c r="E39" s="195">
        <f>E23*E36</f>
        <v>5982.5999999999995</v>
      </c>
      <c r="F39" s="195"/>
      <c r="G39" s="2">
        <f>G23*G36</f>
        <v>21.6</v>
      </c>
      <c r="H39" s="2">
        <f t="shared" si="2"/>
        <v>138</v>
      </c>
      <c r="I39" s="2">
        <f t="shared" si="2"/>
        <v>237</v>
      </c>
      <c r="J39" s="2">
        <f t="shared" si="2"/>
        <v>240</v>
      </c>
      <c r="K39" s="2">
        <f t="shared" si="2"/>
        <v>3072</v>
      </c>
      <c r="L39" s="2">
        <f t="shared" si="2"/>
        <v>525.29999999999995</v>
      </c>
      <c r="M39" s="2">
        <f t="shared" si="2"/>
        <v>0</v>
      </c>
      <c r="N39" s="2">
        <f>SUM(B39:M39)</f>
        <v>13421.9</v>
      </c>
    </row>
    <row r="42" spans="1:14" x14ac:dyDescent="0.15">
      <c r="A42" s="2" t="s">
        <v>85</v>
      </c>
      <c r="I42" s="2" t="s">
        <v>86</v>
      </c>
      <c r="J42" s="2" t="s">
        <v>86</v>
      </c>
    </row>
    <row r="43" spans="1:14" x14ac:dyDescent="0.15">
      <c r="A43" s="2" t="s">
        <v>87</v>
      </c>
      <c r="I43" s="21">
        <v>0.996</v>
      </c>
      <c r="J43" s="21">
        <v>0.996</v>
      </c>
    </row>
  </sheetData>
  <mergeCells count="6">
    <mergeCell ref="E39:F39"/>
    <mergeCell ref="C1:D1"/>
    <mergeCell ref="E1:F1"/>
    <mergeCell ref="I1:J1"/>
    <mergeCell ref="E35:F35"/>
    <mergeCell ref="E36:F3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sqref="A1:XFD1048576"/>
    </sheetView>
  </sheetViews>
  <sheetFormatPr defaultColWidth="9" defaultRowHeight="13.5" x14ac:dyDescent="0.15"/>
  <cols>
    <col min="1" max="1" width="28" style="2" customWidth="1"/>
    <col min="2" max="2" width="12.625" style="2" customWidth="1"/>
    <col min="3" max="11" width="9" style="2"/>
    <col min="12" max="12" width="11" style="2" bestFit="1" customWidth="1"/>
    <col min="13" max="14" width="9" style="2"/>
    <col min="15" max="15" width="12.75" style="2" bestFit="1" customWidth="1"/>
    <col min="16" max="16384" width="9" style="2"/>
  </cols>
  <sheetData>
    <row r="1" spans="1:14" x14ac:dyDescent="0.15">
      <c r="A1" s="2" t="s">
        <v>88</v>
      </c>
      <c r="B1" s="2" t="s">
        <v>89</v>
      </c>
      <c r="C1" s="195" t="s">
        <v>90</v>
      </c>
      <c r="D1" s="195"/>
      <c r="E1" s="195" t="s">
        <v>91</v>
      </c>
      <c r="F1" s="195"/>
      <c r="G1" s="3" t="s">
        <v>92</v>
      </c>
      <c r="H1" s="2" t="s">
        <v>93</v>
      </c>
      <c r="I1" s="195" t="s">
        <v>94</v>
      </c>
      <c r="J1" s="195"/>
      <c r="K1" s="195"/>
      <c r="L1" s="2" t="s">
        <v>95</v>
      </c>
      <c r="M1" s="2" t="s">
        <v>96</v>
      </c>
      <c r="N1" s="2" t="s">
        <v>97</v>
      </c>
    </row>
    <row r="2" spans="1:14" x14ac:dyDescent="0.15">
      <c r="A2" s="2" t="s">
        <v>98</v>
      </c>
      <c r="B2" s="4">
        <v>2.33</v>
      </c>
      <c r="C2" s="2">
        <v>2.11</v>
      </c>
      <c r="D2" s="2">
        <v>2.11</v>
      </c>
      <c r="E2" s="2">
        <v>18.100000000000001</v>
      </c>
      <c r="F2" s="2">
        <v>18.399999999999999</v>
      </c>
      <c r="G2" s="3" t="s">
        <v>99</v>
      </c>
      <c r="H2" s="2">
        <v>3</v>
      </c>
      <c r="I2" s="2">
        <v>5.6</v>
      </c>
      <c r="J2" s="2">
        <v>5.6</v>
      </c>
      <c r="K2" s="2">
        <v>5.6</v>
      </c>
      <c r="L2" s="2">
        <v>3.6</v>
      </c>
      <c r="M2" s="2">
        <v>3.1</v>
      </c>
    </row>
    <row r="3" spans="1:14" x14ac:dyDescent="0.15">
      <c r="A3" s="2" t="s">
        <v>100</v>
      </c>
      <c r="B3" s="3">
        <v>851.9</v>
      </c>
      <c r="C3" s="2">
        <v>433</v>
      </c>
      <c r="D3" s="2">
        <v>431</v>
      </c>
      <c r="E3" s="2">
        <v>50.3</v>
      </c>
      <c r="F3" s="2">
        <v>49.7</v>
      </c>
      <c r="G3" s="8">
        <v>107.2</v>
      </c>
      <c r="H3" s="2">
        <v>478.4</v>
      </c>
      <c r="I3" s="2">
        <v>71</v>
      </c>
      <c r="J3" s="2">
        <v>71</v>
      </c>
      <c r="K3" s="2">
        <v>71.400000000000006</v>
      </c>
      <c r="L3" s="2">
        <v>275</v>
      </c>
      <c r="M3" s="2">
        <v>312.8</v>
      </c>
    </row>
    <row r="4" spans="1:14" x14ac:dyDescent="0.15">
      <c r="A4" s="2" t="s">
        <v>101</v>
      </c>
      <c r="B4" s="5">
        <f>B2*B3</f>
        <v>1984.9269999999999</v>
      </c>
      <c r="C4" s="2">
        <v>913.6</v>
      </c>
      <c r="D4" s="2">
        <v>909.4</v>
      </c>
      <c r="E4" s="2">
        <v>910.4</v>
      </c>
      <c r="F4" s="2">
        <v>914.5</v>
      </c>
      <c r="G4" s="8">
        <v>1810.6</v>
      </c>
      <c r="H4" s="2">
        <v>1435.2</v>
      </c>
      <c r="I4" s="2">
        <v>399.8</v>
      </c>
      <c r="J4" s="2">
        <v>400.5</v>
      </c>
      <c r="K4" s="2">
        <v>402.8</v>
      </c>
      <c r="L4" s="2">
        <v>999</v>
      </c>
      <c r="M4" s="2">
        <v>969.7</v>
      </c>
    </row>
    <row r="5" spans="1:14" ht="15.75" x14ac:dyDescent="0.15">
      <c r="A5" s="2" t="s">
        <v>102</v>
      </c>
      <c r="B5" s="4"/>
      <c r="C5" s="2">
        <v>27.1</v>
      </c>
      <c r="D5" s="2">
        <v>27</v>
      </c>
      <c r="E5" s="3" t="s">
        <v>99</v>
      </c>
      <c r="F5" s="3" t="s">
        <v>99</v>
      </c>
      <c r="G5" s="8">
        <v>130.5</v>
      </c>
      <c r="H5" s="2">
        <v>27.06</v>
      </c>
      <c r="I5" s="2">
        <v>25</v>
      </c>
      <c r="J5" s="2">
        <v>25</v>
      </c>
      <c r="K5" s="2">
        <v>25.2</v>
      </c>
      <c r="L5" s="2">
        <v>269.60000000000002</v>
      </c>
      <c r="M5" s="22" t="s">
        <v>103</v>
      </c>
    </row>
    <row r="6" spans="1:14" x14ac:dyDescent="0.15">
      <c r="A6" s="2" t="s">
        <v>104</v>
      </c>
      <c r="B6" s="3"/>
      <c r="C6" s="3" t="s">
        <v>99</v>
      </c>
      <c r="D6" s="3" t="s">
        <v>99</v>
      </c>
      <c r="E6" s="3" t="s">
        <v>99</v>
      </c>
      <c r="F6" s="3" t="s">
        <v>99</v>
      </c>
      <c r="G6" s="8" t="s">
        <v>99</v>
      </c>
      <c r="H6" s="3" t="s">
        <v>39</v>
      </c>
      <c r="I6" s="3" t="s">
        <v>39</v>
      </c>
      <c r="J6" s="3" t="s">
        <v>39</v>
      </c>
      <c r="K6" s="3" t="s">
        <v>99</v>
      </c>
      <c r="L6" s="3" t="s">
        <v>99</v>
      </c>
      <c r="M6" s="22">
        <v>162</v>
      </c>
    </row>
    <row r="7" spans="1:14" x14ac:dyDescent="0.15">
      <c r="A7" s="7" t="s">
        <v>105</v>
      </c>
      <c r="B7" s="3"/>
      <c r="C7" s="2">
        <v>3</v>
      </c>
      <c r="D7" s="2">
        <v>3</v>
      </c>
      <c r="E7" s="3" t="s">
        <v>99</v>
      </c>
      <c r="F7" s="3" t="s">
        <v>99</v>
      </c>
      <c r="G7" s="8" t="s">
        <v>99</v>
      </c>
      <c r="H7" s="2">
        <v>3</v>
      </c>
      <c r="I7" s="2">
        <v>3</v>
      </c>
      <c r="J7" s="2">
        <v>3</v>
      </c>
      <c r="K7" s="2">
        <v>3</v>
      </c>
      <c r="L7" s="3" t="s">
        <v>99</v>
      </c>
      <c r="M7" s="22" t="s">
        <v>39</v>
      </c>
    </row>
    <row r="8" spans="1:14" x14ac:dyDescent="0.15">
      <c r="A8" s="2" t="s">
        <v>106</v>
      </c>
      <c r="B8" s="3"/>
      <c r="C8" s="2">
        <v>5</v>
      </c>
      <c r="D8" s="2">
        <v>5</v>
      </c>
      <c r="E8" s="3" t="s">
        <v>99</v>
      </c>
      <c r="F8" s="3" t="s">
        <v>99</v>
      </c>
      <c r="G8" s="8" t="s">
        <v>99</v>
      </c>
      <c r="H8" s="2">
        <v>5</v>
      </c>
      <c r="I8" s="2">
        <v>5</v>
      </c>
      <c r="J8" s="2">
        <v>5</v>
      </c>
      <c r="K8" s="2">
        <v>5</v>
      </c>
      <c r="L8" s="3" t="s">
        <v>99</v>
      </c>
      <c r="M8" s="22" t="s">
        <v>39</v>
      </c>
    </row>
    <row r="9" spans="1:14" x14ac:dyDescent="0.15">
      <c r="A9" s="2" t="s">
        <v>107</v>
      </c>
      <c r="B9" s="3"/>
      <c r="C9" s="2">
        <v>7.35</v>
      </c>
      <c r="D9" s="2">
        <v>7.34</v>
      </c>
      <c r="E9" s="3" t="s">
        <v>99</v>
      </c>
      <c r="F9" s="3" t="s">
        <v>99</v>
      </c>
      <c r="G9" s="8" t="s">
        <v>99</v>
      </c>
      <c r="H9" s="2">
        <v>5.0999999999999996</v>
      </c>
      <c r="I9" s="2">
        <v>5</v>
      </c>
      <c r="J9" s="2">
        <v>5.0999999999999996</v>
      </c>
      <c r="K9" s="2">
        <v>5.05</v>
      </c>
      <c r="L9" s="3" t="s">
        <v>99</v>
      </c>
      <c r="M9" s="2">
        <v>5.27</v>
      </c>
    </row>
    <row r="10" spans="1:14" x14ac:dyDescent="0.15">
      <c r="A10" s="2" t="s">
        <v>108</v>
      </c>
      <c r="B10" s="3"/>
      <c r="C10" s="2">
        <v>16.882000000000001</v>
      </c>
      <c r="D10" s="2">
        <v>16.907</v>
      </c>
      <c r="E10" s="3" t="s">
        <v>99</v>
      </c>
      <c r="F10" s="3" t="s">
        <v>99</v>
      </c>
      <c r="G10" s="8" t="s">
        <v>99</v>
      </c>
      <c r="H10" s="2">
        <v>3.12</v>
      </c>
      <c r="I10" s="2">
        <v>44.8</v>
      </c>
      <c r="J10" s="2">
        <v>48</v>
      </c>
      <c r="K10" s="2">
        <v>48.8</v>
      </c>
      <c r="L10" s="3" t="s">
        <v>99</v>
      </c>
      <c r="M10" s="22" t="s">
        <v>99</v>
      </c>
    </row>
    <row r="11" spans="1:14" x14ac:dyDescent="0.15">
      <c r="A11" s="2" t="s">
        <v>109</v>
      </c>
      <c r="B11" s="3"/>
      <c r="C11" s="2">
        <v>200</v>
      </c>
      <c r="D11" s="2">
        <v>200</v>
      </c>
      <c r="E11" s="3" t="s">
        <v>99</v>
      </c>
      <c r="F11" s="3" t="s">
        <v>99</v>
      </c>
      <c r="G11" s="8" t="s">
        <v>110</v>
      </c>
      <c r="H11" s="2">
        <v>150</v>
      </c>
      <c r="I11" s="2">
        <v>120</v>
      </c>
      <c r="J11" s="2">
        <v>123</v>
      </c>
      <c r="K11" s="2">
        <v>120</v>
      </c>
      <c r="L11" s="3" t="s">
        <v>99</v>
      </c>
      <c r="M11" s="22" t="s">
        <v>111</v>
      </c>
    </row>
    <row r="12" spans="1:14" x14ac:dyDescent="0.15">
      <c r="A12" s="2" t="s">
        <v>112</v>
      </c>
      <c r="B12" s="3"/>
      <c r="C12" s="2">
        <v>433</v>
      </c>
      <c r="D12" s="2">
        <v>431</v>
      </c>
      <c r="E12" s="2">
        <v>50.3</v>
      </c>
      <c r="F12" s="2">
        <v>49.7</v>
      </c>
      <c r="G12" s="8">
        <v>430.8</v>
      </c>
      <c r="H12" s="2">
        <v>478.4</v>
      </c>
      <c r="I12" s="2">
        <v>71</v>
      </c>
      <c r="J12" s="2">
        <v>71</v>
      </c>
      <c r="K12" s="2">
        <v>71.400000000000006</v>
      </c>
      <c r="L12" s="3" t="s">
        <v>99</v>
      </c>
      <c r="M12" s="2">
        <v>312.8</v>
      </c>
    </row>
    <row r="13" spans="1:14" x14ac:dyDescent="0.15">
      <c r="A13" s="2" t="s">
        <v>113</v>
      </c>
      <c r="B13" s="3"/>
      <c r="C13" s="2">
        <v>11.489000000000001</v>
      </c>
      <c r="D13" s="2">
        <v>11.224</v>
      </c>
      <c r="E13" s="3" t="s">
        <v>99</v>
      </c>
      <c r="F13" s="3" t="s">
        <v>99</v>
      </c>
      <c r="G13" s="8" t="s">
        <v>99</v>
      </c>
      <c r="H13" s="2">
        <v>5.27</v>
      </c>
      <c r="I13" s="2">
        <v>48.2</v>
      </c>
      <c r="J13" s="2">
        <v>48</v>
      </c>
      <c r="K13" s="2">
        <v>48</v>
      </c>
      <c r="L13" s="3" t="s">
        <v>99</v>
      </c>
      <c r="M13" s="22" t="s">
        <v>99</v>
      </c>
    </row>
    <row r="14" spans="1:14" x14ac:dyDescent="0.15">
      <c r="A14" s="2" t="s">
        <v>114</v>
      </c>
      <c r="B14" s="3"/>
      <c r="C14" s="2">
        <v>7.05</v>
      </c>
      <c r="D14" s="2">
        <v>7.06</v>
      </c>
      <c r="E14" s="3" t="s">
        <v>99</v>
      </c>
      <c r="F14" s="3" t="s">
        <v>99</v>
      </c>
      <c r="G14" s="8" t="s">
        <v>99</v>
      </c>
      <c r="H14" s="2">
        <v>4.88</v>
      </c>
      <c r="I14" s="2">
        <v>4.95</v>
      </c>
      <c r="J14" s="2">
        <v>5.03</v>
      </c>
      <c r="K14" s="2">
        <v>4.9800000000000004</v>
      </c>
      <c r="L14" s="3" t="s">
        <v>99</v>
      </c>
      <c r="M14" s="2">
        <v>5.27</v>
      </c>
    </row>
    <row r="15" spans="1:14" x14ac:dyDescent="0.15">
      <c r="A15" s="2" t="s">
        <v>115</v>
      </c>
      <c r="B15" s="3"/>
      <c r="C15" s="2">
        <v>200</v>
      </c>
      <c r="D15" s="2">
        <v>200</v>
      </c>
      <c r="E15" s="3" t="s">
        <v>99</v>
      </c>
      <c r="F15" s="3" t="s">
        <v>99</v>
      </c>
      <c r="G15" s="8" t="s">
        <v>99</v>
      </c>
      <c r="H15" s="2" t="s">
        <v>99</v>
      </c>
      <c r="I15" s="2">
        <v>120</v>
      </c>
      <c r="J15" s="2">
        <v>120</v>
      </c>
      <c r="K15" s="2">
        <v>120</v>
      </c>
      <c r="L15" s="3" t="s">
        <v>99</v>
      </c>
      <c r="M15" s="22" t="s">
        <v>99</v>
      </c>
    </row>
    <row r="16" spans="1:14" x14ac:dyDescent="0.15">
      <c r="A16" s="2" t="s">
        <v>116</v>
      </c>
      <c r="B16" s="3"/>
      <c r="C16" s="2">
        <v>3</v>
      </c>
      <c r="D16" s="2">
        <v>3</v>
      </c>
      <c r="E16" s="3" t="s">
        <v>99</v>
      </c>
      <c r="F16" s="3" t="s">
        <v>99</v>
      </c>
      <c r="G16" s="8" t="s">
        <v>99</v>
      </c>
      <c r="H16" s="2" t="s">
        <v>99</v>
      </c>
      <c r="I16" s="2">
        <v>2</v>
      </c>
      <c r="J16" s="2">
        <v>2</v>
      </c>
      <c r="K16" s="2">
        <v>2</v>
      </c>
      <c r="L16" s="3" t="s">
        <v>99</v>
      </c>
      <c r="M16" s="2">
        <v>324.60000000000002</v>
      </c>
    </row>
    <row r="17" spans="1:15" x14ac:dyDescent="0.15">
      <c r="A17" s="2" t="s">
        <v>117</v>
      </c>
      <c r="B17" s="3"/>
      <c r="C17" s="2">
        <v>5.28</v>
      </c>
      <c r="D17" s="2">
        <v>5.27</v>
      </c>
      <c r="E17" s="3" t="s">
        <v>99</v>
      </c>
      <c r="F17" s="3" t="s">
        <v>99</v>
      </c>
      <c r="G17" s="8" t="s">
        <v>99</v>
      </c>
      <c r="H17" s="2" t="s">
        <v>99</v>
      </c>
      <c r="I17" s="2">
        <v>5</v>
      </c>
      <c r="J17" s="2">
        <v>5.04</v>
      </c>
      <c r="K17" s="2">
        <v>4.97</v>
      </c>
      <c r="L17" s="3" t="s">
        <v>99</v>
      </c>
      <c r="M17" s="2">
        <v>5.27</v>
      </c>
    </row>
    <row r="18" spans="1:15" x14ac:dyDescent="0.15">
      <c r="A18" s="2" t="s">
        <v>118</v>
      </c>
      <c r="B18" s="3"/>
      <c r="C18" s="2">
        <v>16.994</v>
      </c>
      <c r="D18" s="2">
        <v>16.957999999999998</v>
      </c>
      <c r="E18" s="3" t="s">
        <v>99</v>
      </c>
      <c r="F18" s="3" t="s">
        <v>99</v>
      </c>
      <c r="G18" s="8" t="s">
        <v>99</v>
      </c>
      <c r="H18" s="2" t="s">
        <v>99</v>
      </c>
      <c r="I18" s="2">
        <v>57.8</v>
      </c>
      <c r="J18" s="2">
        <v>58.2</v>
      </c>
      <c r="K18" s="2">
        <v>58.1</v>
      </c>
      <c r="L18" s="3" t="s">
        <v>99</v>
      </c>
      <c r="M18" s="22" t="s">
        <v>99</v>
      </c>
    </row>
    <row r="19" spans="1:15" x14ac:dyDescent="0.15">
      <c r="A19" s="2" t="s">
        <v>119</v>
      </c>
      <c r="B19" s="3"/>
      <c r="C19" s="2">
        <v>150</v>
      </c>
      <c r="D19" s="2">
        <v>150</v>
      </c>
      <c r="E19" s="3" t="s">
        <v>99</v>
      </c>
      <c r="F19" s="3" t="s">
        <v>99</v>
      </c>
      <c r="G19" s="8" t="s">
        <v>99</v>
      </c>
      <c r="H19" s="2">
        <v>150</v>
      </c>
      <c r="I19" s="2">
        <v>120</v>
      </c>
      <c r="J19" s="2">
        <v>120</v>
      </c>
      <c r="K19" s="2">
        <v>120</v>
      </c>
      <c r="L19" s="3" t="s">
        <v>99</v>
      </c>
      <c r="M19" s="22" t="s">
        <v>99</v>
      </c>
    </row>
    <row r="20" spans="1:15" x14ac:dyDescent="0.15">
      <c r="A20" s="2" t="s">
        <v>120</v>
      </c>
      <c r="B20" s="3"/>
      <c r="C20" s="2">
        <v>3.95</v>
      </c>
      <c r="D20" s="2">
        <v>4.0199999999999996</v>
      </c>
      <c r="E20" s="3" t="s">
        <v>99</v>
      </c>
      <c r="F20" s="3" t="s">
        <v>99</v>
      </c>
      <c r="G20" s="8" t="s">
        <v>99</v>
      </c>
      <c r="H20" s="2">
        <v>5.0599999999999996</v>
      </c>
      <c r="I20" s="2">
        <v>5.47</v>
      </c>
      <c r="J20" s="2">
        <v>5.55</v>
      </c>
      <c r="K20" s="2">
        <v>5.5</v>
      </c>
      <c r="L20" s="3" t="s">
        <v>99</v>
      </c>
      <c r="M20" s="22" t="s">
        <v>99</v>
      </c>
    </row>
    <row r="21" spans="1:15" x14ac:dyDescent="0.15">
      <c r="A21" s="2" t="s">
        <v>121</v>
      </c>
      <c r="B21" s="3"/>
      <c r="C21" s="2">
        <v>5.1950000000000003</v>
      </c>
      <c r="D21" s="2">
        <v>5.1369999999999996</v>
      </c>
      <c r="E21" s="3" t="s">
        <v>99</v>
      </c>
      <c r="F21" s="3" t="s">
        <v>99</v>
      </c>
      <c r="G21" s="8" t="s">
        <v>99</v>
      </c>
      <c r="H21" s="2">
        <v>25.6</v>
      </c>
      <c r="I21" s="2">
        <v>20.5</v>
      </c>
      <c r="J21" s="2">
        <v>20.6</v>
      </c>
      <c r="K21" s="2">
        <v>20.6</v>
      </c>
      <c r="L21" s="3" t="s">
        <v>99</v>
      </c>
      <c r="M21" s="22" t="s">
        <v>99</v>
      </c>
    </row>
    <row r="22" spans="1:15" x14ac:dyDescent="0.15">
      <c r="A22" s="2" t="s">
        <v>122</v>
      </c>
      <c r="B22" s="3">
        <f>C3+D3</f>
        <v>864</v>
      </c>
      <c r="C22" s="2">
        <v>50.4</v>
      </c>
      <c r="D22" s="2">
        <v>49.9</v>
      </c>
      <c r="E22" s="2">
        <v>54.3</v>
      </c>
      <c r="F22" s="2">
        <v>54.2</v>
      </c>
      <c r="G22" s="8">
        <v>480.1</v>
      </c>
      <c r="H22" s="2">
        <v>159.9</v>
      </c>
      <c r="I22" s="2">
        <v>46.5</v>
      </c>
      <c r="J22" s="2">
        <v>47.4</v>
      </c>
      <c r="K22" s="2">
        <v>47.6</v>
      </c>
      <c r="L22" s="2">
        <v>312.8</v>
      </c>
      <c r="M22" s="2">
        <v>30.6</v>
      </c>
      <c r="N22" s="2">
        <v>30.994</v>
      </c>
    </row>
    <row r="23" spans="1:15" x14ac:dyDescent="0.15">
      <c r="A23" s="2" t="s">
        <v>123</v>
      </c>
      <c r="B23" s="3">
        <v>2.11</v>
      </c>
      <c r="C23" s="2">
        <v>18.100000000000001</v>
      </c>
      <c r="D23" s="2">
        <v>18.399999999999999</v>
      </c>
      <c r="E23" s="2">
        <v>16.600000000000001</v>
      </c>
      <c r="F23" s="2">
        <v>16.899999999999999</v>
      </c>
      <c r="G23" s="8">
        <v>3</v>
      </c>
      <c r="H23" s="2">
        <v>7.5</v>
      </c>
      <c r="I23" s="2">
        <v>7.9</v>
      </c>
      <c r="J23" s="2">
        <v>7.3</v>
      </c>
      <c r="K23" s="2">
        <v>7.4</v>
      </c>
      <c r="L23" s="2">
        <v>3.1</v>
      </c>
      <c r="M23" s="2">
        <v>30.8</v>
      </c>
    </row>
    <row r="24" spans="1:15" x14ac:dyDescent="0.15">
      <c r="A24" s="2" t="s">
        <v>124</v>
      </c>
      <c r="B24" s="13">
        <f>B23*B22</f>
        <v>1823.04</v>
      </c>
      <c r="C24" s="2">
        <v>912.2</v>
      </c>
      <c r="D24" s="2">
        <v>918.2</v>
      </c>
      <c r="E24" s="2">
        <v>901.4</v>
      </c>
      <c r="F24" s="2">
        <v>916</v>
      </c>
      <c r="G24" s="8">
        <v>1440.3</v>
      </c>
      <c r="H24" s="2">
        <v>1199.3</v>
      </c>
      <c r="I24" s="2">
        <v>367.4</v>
      </c>
      <c r="J24" s="2">
        <v>346</v>
      </c>
      <c r="K24" s="2">
        <v>352.2</v>
      </c>
      <c r="L24" s="2">
        <v>969.7</v>
      </c>
      <c r="M24" s="2">
        <v>942.5</v>
      </c>
    </row>
    <row r="25" spans="1:15" x14ac:dyDescent="0.15">
      <c r="A25" s="2" t="s">
        <v>125</v>
      </c>
      <c r="B25" s="16">
        <f>B24/B4</f>
        <v>0.91844183690382575</v>
      </c>
      <c r="C25" s="16">
        <f>C24/C4</f>
        <v>0.99846760070052543</v>
      </c>
      <c r="D25" s="16">
        <f t="shared" ref="D25:M25" si="0">D24/D4</f>
        <v>1.0096767099186277</v>
      </c>
      <c r="E25" s="16">
        <f t="shared" si="0"/>
        <v>0.99011423550087874</v>
      </c>
      <c r="F25" s="16">
        <f t="shared" si="0"/>
        <v>1.0016402405686167</v>
      </c>
      <c r="G25" s="16">
        <f t="shared" si="0"/>
        <v>0.79548216060974264</v>
      </c>
      <c r="H25" s="16">
        <f t="shared" si="0"/>
        <v>0.83563266443701223</v>
      </c>
      <c r="I25" s="16">
        <f t="shared" si="0"/>
        <v>0.9189594797398698</v>
      </c>
      <c r="J25" s="16">
        <f t="shared" si="0"/>
        <v>0.86392009987515606</v>
      </c>
      <c r="K25" s="16">
        <f t="shared" si="0"/>
        <v>0.8743793445878848</v>
      </c>
      <c r="L25" s="16">
        <f t="shared" si="0"/>
        <v>0.9706706706706707</v>
      </c>
      <c r="M25" s="16">
        <f t="shared" si="0"/>
        <v>0.97195008765597601</v>
      </c>
      <c r="O25" s="21">
        <f>B25*(C25+D25)/2*(E25+F25)/2*G25*H25*(I25+J25+K25)/3*L25*M25</f>
        <v>0.51014863740973004</v>
      </c>
    </row>
    <row r="26" spans="1:15" x14ac:dyDescent="0.15">
      <c r="A26" s="2" t="s">
        <v>126</v>
      </c>
      <c r="B26" s="3"/>
      <c r="C26" s="2">
        <v>500</v>
      </c>
      <c r="D26" s="2">
        <v>500</v>
      </c>
      <c r="E26" s="3" t="s">
        <v>45</v>
      </c>
      <c r="F26" s="3" t="s">
        <v>45</v>
      </c>
      <c r="G26" s="8" t="s">
        <v>45</v>
      </c>
      <c r="H26" s="2">
        <v>100</v>
      </c>
      <c r="I26" s="2">
        <v>300</v>
      </c>
      <c r="J26" s="2">
        <v>300</v>
      </c>
      <c r="K26" s="2">
        <v>300</v>
      </c>
      <c r="L26" s="3" t="s">
        <v>45</v>
      </c>
      <c r="M26" s="22" t="s">
        <v>45</v>
      </c>
    </row>
    <row r="27" spans="1:15" x14ac:dyDescent="0.15">
      <c r="A27" s="2" t="s">
        <v>127</v>
      </c>
      <c r="B27" s="3"/>
      <c r="C27" s="2">
        <v>500</v>
      </c>
      <c r="D27" s="2">
        <v>500</v>
      </c>
      <c r="E27" s="3" t="s">
        <v>45</v>
      </c>
      <c r="F27" s="3" t="s">
        <v>45</v>
      </c>
      <c r="G27" s="3" t="s">
        <v>45</v>
      </c>
      <c r="H27" s="2">
        <v>2100</v>
      </c>
      <c r="I27" s="2">
        <v>200</v>
      </c>
      <c r="J27" s="2">
        <v>200</v>
      </c>
      <c r="K27" s="2">
        <v>200</v>
      </c>
      <c r="L27" s="3" t="s">
        <v>45</v>
      </c>
      <c r="M27" s="22" t="s">
        <v>45</v>
      </c>
    </row>
    <row r="28" spans="1:15" x14ac:dyDescent="0.15">
      <c r="A28" s="2" t="s">
        <v>128</v>
      </c>
      <c r="B28" s="3"/>
      <c r="C28" s="2">
        <v>7020</v>
      </c>
      <c r="D28" s="2">
        <v>7020</v>
      </c>
      <c r="E28" s="3" t="s">
        <v>45</v>
      </c>
      <c r="F28" s="3" t="s">
        <v>45</v>
      </c>
      <c r="G28" s="3" t="s">
        <v>45</v>
      </c>
      <c r="H28" s="2">
        <v>5950</v>
      </c>
      <c r="I28" s="2">
        <v>4864</v>
      </c>
      <c r="J28" s="2">
        <v>4864</v>
      </c>
      <c r="K28" s="2">
        <v>4864</v>
      </c>
      <c r="L28" s="3" t="s">
        <v>45</v>
      </c>
      <c r="M28" s="22" t="s">
        <v>45</v>
      </c>
    </row>
    <row r="29" spans="1:15" x14ac:dyDescent="0.15">
      <c r="A29" s="2" t="s">
        <v>129</v>
      </c>
      <c r="B29" s="3"/>
      <c r="C29" s="2">
        <v>1.1100000000000001</v>
      </c>
      <c r="D29" s="2">
        <v>1.1100000000000001</v>
      </c>
      <c r="E29" s="3" t="s">
        <v>45</v>
      </c>
      <c r="F29" s="3" t="s">
        <v>45</v>
      </c>
      <c r="G29" s="3" t="s">
        <v>45</v>
      </c>
      <c r="H29" s="2" t="s">
        <v>130</v>
      </c>
      <c r="I29" s="2">
        <v>1.1299999999999999</v>
      </c>
      <c r="J29" s="2">
        <v>1.1299999999999999</v>
      </c>
      <c r="K29" s="2">
        <v>1.1299999999999999</v>
      </c>
      <c r="L29" s="3" t="s">
        <v>45</v>
      </c>
      <c r="M29" s="22" t="s">
        <v>45</v>
      </c>
    </row>
    <row r="30" spans="1:15" x14ac:dyDescent="0.15">
      <c r="A30" s="2" t="s">
        <v>131</v>
      </c>
      <c r="B30" s="3"/>
      <c r="C30" s="2">
        <v>200</v>
      </c>
      <c r="D30" s="2">
        <v>200</v>
      </c>
      <c r="E30" s="3" t="s">
        <v>45</v>
      </c>
      <c r="F30" s="3" t="s">
        <v>45</v>
      </c>
      <c r="G30" s="3" t="s">
        <v>45</v>
      </c>
      <c r="H30" s="2">
        <v>150</v>
      </c>
      <c r="I30" s="2">
        <v>120</v>
      </c>
      <c r="J30" s="2">
        <v>120</v>
      </c>
      <c r="K30" s="2">
        <v>120</v>
      </c>
      <c r="L30" s="3" t="s">
        <v>45</v>
      </c>
      <c r="M30" s="22" t="s">
        <v>45</v>
      </c>
    </row>
    <row r="31" spans="1:15" x14ac:dyDescent="0.15">
      <c r="A31" s="7" t="s">
        <v>132</v>
      </c>
      <c r="B31" s="3"/>
      <c r="C31" s="2">
        <v>3</v>
      </c>
      <c r="D31" s="2">
        <v>3</v>
      </c>
      <c r="E31" s="3" t="s">
        <v>45</v>
      </c>
      <c r="F31" s="3" t="s">
        <v>45</v>
      </c>
      <c r="G31" s="3" t="s">
        <v>45</v>
      </c>
      <c r="H31" s="2">
        <v>3</v>
      </c>
      <c r="I31" s="2">
        <v>3</v>
      </c>
      <c r="J31" s="2">
        <v>3</v>
      </c>
      <c r="K31" s="2">
        <v>3</v>
      </c>
      <c r="L31" s="3" t="s">
        <v>45</v>
      </c>
      <c r="M31" s="2" t="s">
        <v>133</v>
      </c>
    </row>
    <row r="32" spans="1:15" x14ac:dyDescent="0.15">
      <c r="A32" s="2" t="s">
        <v>134</v>
      </c>
      <c r="B32" s="3"/>
      <c r="C32" s="3" t="s">
        <v>45</v>
      </c>
      <c r="D32" s="3" t="s">
        <v>45</v>
      </c>
      <c r="E32" s="3" t="s">
        <v>45</v>
      </c>
      <c r="F32" s="3" t="s">
        <v>45</v>
      </c>
      <c r="G32" s="3">
        <v>4</v>
      </c>
      <c r="H32" s="2">
        <v>24.8</v>
      </c>
      <c r="I32" s="2" t="s">
        <v>135</v>
      </c>
      <c r="J32" s="2" t="s">
        <v>136</v>
      </c>
      <c r="K32" s="2" t="s">
        <v>137</v>
      </c>
      <c r="M32" s="22" t="s">
        <v>45</v>
      </c>
    </row>
    <row r="33" spans="1:20" x14ac:dyDescent="0.15">
      <c r="A33" s="2" t="s">
        <v>138</v>
      </c>
      <c r="B33" s="3"/>
      <c r="C33" s="3" t="s">
        <v>45</v>
      </c>
      <c r="D33" s="3" t="s">
        <v>45</v>
      </c>
      <c r="E33" s="3" t="s">
        <v>45</v>
      </c>
      <c r="F33" s="3" t="s">
        <v>45</v>
      </c>
      <c r="G33" s="3" t="s">
        <v>45</v>
      </c>
      <c r="H33" s="2">
        <v>20.16</v>
      </c>
      <c r="I33" s="2" t="s">
        <v>135</v>
      </c>
      <c r="J33" s="2" t="s">
        <v>139</v>
      </c>
      <c r="K33" s="2" t="s">
        <v>140</v>
      </c>
      <c r="M33" s="22" t="s">
        <v>45</v>
      </c>
    </row>
    <row r="34" spans="1:20" x14ac:dyDescent="0.15">
      <c r="A34" s="2" t="s">
        <v>141</v>
      </c>
      <c r="B34" s="3"/>
      <c r="C34" s="3" t="s">
        <v>45</v>
      </c>
      <c r="D34" s="3" t="s">
        <v>45</v>
      </c>
      <c r="E34" s="3" t="s">
        <v>45</v>
      </c>
      <c r="F34" s="3" t="s">
        <v>45</v>
      </c>
      <c r="G34" s="3" t="s">
        <v>45</v>
      </c>
      <c r="M34" s="22" t="s">
        <v>45</v>
      </c>
    </row>
    <row r="35" spans="1:20" x14ac:dyDescent="0.15">
      <c r="A35" s="2" t="s">
        <v>142</v>
      </c>
      <c r="B35" s="3"/>
      <c r="C35" s="3">
        <v>20.5</v>
      </c>
      <c r="D35" s="3">
        <v>20.399999999999999</v>
      </c>
      <c r="E35" s="3" t="s">
        <v>45</v>
      </c>
      <c r="F35" s="3" t="s">
        <v>45</v>
      </c>
      <c r="G35" s="3">
        <v>20.5</v>
      </c>
      <c r="H35" s="2">
        <v>21.3</v>
      </c>
      <c r="I35" s="2">
        <v>21.3</v>
      </c>
      <c r="J35" s="2">
        <v>21.3</v>
      </c>
      <c r="K35" s="2">
        <v>21.3</v>
      </c>
      <c r="L35" s="2">
        <v>22</v>
      </c>
      <c r="M35" s="22" t="s">
        <v>45</v>
      </c>
    </row>
    <row r="36" spans="1:20" x14ac:dyDescent="0.15">
      <c r="A36" s="2" t="s">
        <v>143</v>
      </c>
      <c r="B36" s="19"/>
      <c r="C36" s="2">
        <v>82</v>
      </c>
      <c r="D36" s="2">
        <v>82</v>
      </c>
      <c r="E36" s="2">
        <v>306</v>
      </c>
      <c r="F36" s="2">
        <v>307</v>
      </c>
      <c r="G36" s="3">
        <v>1810</v>
      </c>
      <c r="H36" s="2">
        <v>403</v>
      </c>
      <c r="I36" s="195">
        <v>7000</v>
      </c>
      <c r="J36" s="195"/>
      <c r="K36" s="195"/>
      <c r="L36" s="2">
        <v>12700</v>
      </c>
      <c r="M36" s="2">
        <v>2</v>
      </c>
      <c r="N36" s="2">
        <v>686.9</v>
      </c>
    </row>
    <row r="37" spans="1:20" x14ac:dyDescent="0.15">
      <c r="A37" s="2" t="s">
        <v>144</v>
      </c>
      <c r="B37" s="3"/>
      <c r="C37" s="2">
        <v>60</v>
      </c>
      <c r="D37" s="2">
        <v>60</v>
      </c>
      <c r="E37" s="2">
        <v>60</v>
      </c>
      <c r="F37" s="2">
        <v>60</v>
      </c>
      <c r="G37" s="3">
        <v>180</v>
      </c>
      <c r="H37" s="2">
        <v>80</v>
      </c>
      <c r="I37" s="2">
        <v>60</v>
      </c>
      <c r="J37" s="2">
        <v>60</v>
      </c>
      <c r="K37" s="2">
        <v>60</v>
      </c>
      <c r="L37" s="2">
        <v>2</v>
      </c>
      <c r="M37" s="2">
        <v>55.5</v>
      </c>
      <c r="N37" s="2">
        <v>60.2</v>
      </c>
    </row>
    <row r="38" spans="1:20" x14ac:dyDescent="0.15">
      <c r="A38" s="2" t="s">
        <v>145</v>
      </c>
      <c r="B38" s="19"/>
      <c r="G38" s="3"/>
      <c r="L38" s="2">
        <v>80</v>
      </c>
      <c r="M38" s="195" t="s">
        <v>146</v>
      </c>
      <c r="N38" s="195"/>
      <c r="O38" s="195"/>
      <c r="P38" s="195"/>
      <c r="Q38" s="195"/>
      <c r="R38" s="195"/>
      <c r="S38" s="195"/>
      <c r="T38" s="195"/>
    </row>
    <row r="39" spans="1:20" x14ac:dyDescent="0.15">
      <c r="A39" s="7" t="s">
        <v>147</v>
      </c>
      <c r="C39" s="2">
        <f>C23*C36</f>
        <v>1484.2</v>
      </c>
      <c r="D39" s="2">
        <f t="shared" ref="D39:H39" si="1">D23*D36</f>
        <v>1508.8</v>
      </c>
      <c r="E39" s="2">
        <f t="shared" si="1"/>
        <v>5079.6000000000004</v>
      </c>
      <c r="F39" s="2">
        <f t="shared" si="1"/>
        <v>5188.2999999999993</v>
      </c>
      <c r="G39" s="2">
        <f t="shared" si="1"/>
        <v>5430</v>
      </c>
      <c r="H39" s="2">
        <f t="shared" si="1"/>
        <v>3022.5</v>
      </c>
      <c r="I39" s="195">
        <f>I36*7.4</f>
        <v>51800</v>
      </c>
      <c r="J39" s="195"/>
      <c r="K39" s="195"/>
      <c r="L39" s="2">
        <f>L23*L36</f>
        <v>39370</v>
      </c>
      <c r="M39" s="2">
        <f>M23*M36</f>
        <v>61.6</v>
      </c>
    </row>
    <row r="40" spans="1:20" x14ac:dyDescent="0.15">
      <c r="K40" s="2" t="s">
        <v>148</v>
      </c>
    </row>
    <row r="42" spans="1:20" x14ac:dyDescent="0.15">
      <c r="A42" s="2" t="s">
        <v>149</v>
      </c>
    </row>
    <row r="43" spans="1:20" x14ac:dyDescent="0.15">
      <c r="A43" s="2" t="s">
        <v>150</v>
      </c>
    </row>
  </sheetData>
  <mergeCells count="6">
    <mergeCell ref="M38:T38"/>
    <mergeCell ref="I39:K39"/>
    <mergeCell ref="C1:D1"/>
    <mergeCell ref="E1:F1"/>
    <mergeCell ref="I1:K1"/>
    <mergeCell ref="I36:K3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workbookViewId="0">
      <selection activeCell="A26" sqref="A26:XFD27"/>
    </sheetView>
  </sheetViews>
  <sheetFormatPr defaultColWidth="9" defaultRowHeight="13.5" x14ac:dyDescent="0.15"/>
  <cols>
    <col min="1" max="1" width="32.75" style="2" bestFit="1" customWidth="1"/>
    <col min="2" max="5" width="9" style="2"/>
    <col min="6" max="6" width="18" style="2" customWidth="1"/>
    <col min="7" max="7" width="13.625" style="2" customWidth="1"/>
    <col min="8" max="8" width="11.375" style="2" customWidth="1"/>
    <col min="9" max="11" width="9" style="2"/>
    <col min="12" max="12" width="14.5" style="2" customWidth="1"/>
    <col min="13" max="13" width="11.5" style="2" customWidth="1"/>
    <col min="14" max="16384" width="9" style="2"/>
  </cols>
  <sheetData>
    <row r="1" spans="1:14" x14ac:dyDescent="0.15">
      <c r="A1" s="2" t="s">
        <v>151</v>
      </c>
      <c r="B1" s="2" t="s">
        <v>152</v>
      </c>
      <c r="C1" s="195" t="s">
        <v>153</v>
      </c>
      <c r="D1" s="195"/>
      <c r="E1" s="195" t="s">
        <v>154</v>
      </c>
      <c r="F1" s="195"/>
      <c r="G1" s="3" t="s">
        <v>155</v>
      </c>
      <c r="H1" s="2" t="s">
        <v>156</v>
      </c>
      <c r="I1" s="195" t="s">
        <v>157</v>
      </c>
      <c r="J1" s="195"/>
      <c r="K1" s="195"/>
      <c r="L1" s="2" t="s">
        <v>158</v>
      </c>
      <c r="M1" s="2" t="s">
        <v>159</v>
      </c>
      <c r="N1" s="2" t="s">
        <v>160</v>
      </c>
    </row>
    <row r="2" spans="1:14" x14ac:dyDescent="0.15">
      <c r="A2" s="2" t="s">
        <v>161</v>
      </c>
      <c r="B2" s="4"/>
      <c r="C2" s="195">
        <v>1.95</v>
      </c>
      <c r="D2" s="195"/>
      <c r="E2" s="2">
        <v>18.8</v>
      </c>
      <c r="F2" s="8">
        <v>19.100000000000001</v>
      </c>
      <c r="G2" s="3" t="s">
        <v>162</v>
      </c>
      <c r="H2" s="2">
        <v>3.3</v>
      </c>
      <c r="I2" s="2">
        <v>7</v>
      </c>
      <c r="J2" s="2">
        <v>7</v>
      </c>
      <c r="K2" s="2">
        <v>7</v>
      </c>
      <c r="L2" s="2">
        <v>3.8</v>
      </c>
      <c r="M2" s="2">
        <f>L23</f>
        <v>3.1</v>
      </c>
      <c r="N2" s="2">
        <f>M23</f>
        <v>32.6</v>
      </c>
    </row>
    <row r="3" spans="1:14" x14ac:dyDescent="0.15">
      <c r="A3" s="2" t="s">
        <v>163</v>
      </c>
      <c r="B3" s="3"/>
      <c r="C3" s="195">
        <v>896.8</v>
      </c>
      <c r="D3" s="195"/>
      <c r="E3" s="2">
        <v>46.9</v>
      </c>
      <c r="F3" s="2">
        <v>48.4</v>
      </c>
      <c r="G3" s="8">
        <v>96.6</v>
      </c>
      <c r="H3" s="2">
        <v>429.4</v>
      </c>
      <c r="I3" s="2">
        <v>49.5</v>
      </c>
      <c r="J3" s="2">
        <v>50.1</v>
      </c>
      <c r="K3" s="2">
        <v>50.1</v>
      </c>
      <c r="L3" s="2">
        <v>266.8</v>
      </c>
      <c r="M3" s="2">
        <v>295.7</v>
      </c>
      <c r="N3" s="2">
        <f>M22</f>
        <v>29.9</v>
      </c>
    </row>
    <row r="4" spans="1:14" x14ac:dyDescent="0.15">
      <c r="A4" s="2" t="s">
        <v>164</v>
      </c>
      <c r="B4" s="5"/>
      <c r="C4" s="2">
        <v>872.8</v>
      </c>
      <c r="D4" s="2">
        <v>877.3</v>
      </c>
      <c r="E4" s="2">
        <v>881.7</v>
      </c>
      <c r="F4" s="8">
        <v>924.4</v>
      </c>
      <c r="G4" s="8">
        <v>1745.7</v>
      </c>
      <c r="H4" s="23">
        <f>H2*H3</f>
        <v>1417.0199999999998</v>
      </c>
      <c r="I4" s="2">
        <f>I3*I2</f>
        <v>346.5</v>
      </c>
      <c r="J4" s="2">
        <f>J3*J2</f>
        <v>350.7</v>
      </c>
      <c r="K4" s="2">
        <f>K3*K2</f>
        <v>350.7</v>
      </c>
      <c r="L4" s="2">
        <f>L2*L3</f>
        <v>1013.84</v>
      </c>
      <c r="M4" s="2">
        <f>M2*M3</f>
        <v>916.67</v>
      </c>
      <c r="N4" s="2">
        <f>N2*N3</f>
        <v>974.74</v>
      </c>
    </row>
    <row r="5" spans="1:14" ht="15.75" x14ac:dyDescent="0.15">
      <c r="A5" s="2" t="s">
        <v>165</v>
      </c>
      <c r="B5" s="4"/>
      <c r="C5" s="2">
        <v>26</v>
      </c>
      <c r="D5" s="2">
        <v>26.2</v>
      </c>
      <c r="E5" s="3" t="s">
        <v>162</v>
      </c>
      <c r="F5" s="3" t="s">
        <v>162</v>
      </c>
      <c r="G5" s="8">
        <v>117.4</v>
      </c>
      <c r="H5" s="23">
        <f>H4/53.04</f>
        <v>26.716063348416284</v>
      </c>
      <c r="I5" s="2">
        <f>I4/15.8</f>
        <v>21.930379746835442</v>
      </c>
      <c r="J5" s="2">
        <f>J4/15.8</f>
        <v>22.196202531645568</v>
      </c>
      <c r="K5" s="2">
        <f>K4/15.8</f>
        <v>22.196202531645568</v>
      </c>
      <c r="L5" s="2">
        <f>L3/0.51</f>
        <v>523.13725490196077</v>
      </c>
      <c r="M5" s="22">
        <f>M3/3</f>
        <v>98.566666666666663</v>
      </c>
      <c r="N5" s="2" t="s">
        <v>221</v>
      </c>
    </row>
    <row r="6" spans="1:14" x14ac:dyDescent="0.15">
      <c r="A6" s="2" t="s">
        <v>166</v>
      </c>
      <c r="B6" s="3"/>
      <c r="C6" s="3" t="s">
        <v>162</v>
      </c>
      <c r="D6" s="3" t="s">
        <v>162</v>
      </c>
      <c r="E6" s="3" t="s">
        <v>162</v>
      </c>
      <c r="F6" s="3" t="s">
        <v>162</v>
      </c>
      <c r="G6" s="8" t="s">
        <v>167</v>
      </c>
      <c r="H6" s="3" t="s">
        <v>162</v>
      </c>
      <c r="I6" s="3" t="s">
        <v>162</v>
      </c>
      <c r="J6" s="3" t="s">
        <v>162</v>
      </c>
      <c r="K6" s="3" t="s">
        <v>162</v>
      </c>
      <c r="L6" s="3" t="s">
        <v>162</v>
      </c>
      <c r="M6" s="22" t="s">
        <v>215</v>
      </c>
      <c r="N6" s="2" t="s">
        <v>221</v>
      </c>
    </row>
    <row r="7" spans="1:14" x14ac:dyDescent="0.15">
      <c r="A7" s="7" t="s">
        <v>168</v>
      </c>
      <c r="B7" s="3"/>
      <c r="C7" s="2">
        <v>3</v>
      </c>
      <c r="D7" s="3" t="s">
        <v>162</v>
      </c>
      <c r="E7" s="3" t="s">
        <v>162</v>
      </c>
      <c r="F7" s="3" t="s">
        <v>162</v>
      </c>
      <c r="G7" s="3" t="s">
        <v>162</v>
      </c>
      <c r="H7" s="2">
        <v>3</v>
      </c>
      <c r="I7" s="2">
        <v>3</v>
      </c>
      <c r="J7" s="2">
        <v>3</v>
      </c>
      <c r="K7" s="2">
        <v>3</v>
      </c>
      <c r="L7" s="3" t="s">
        <v>162</v>
      </c>
      <c r="M7" s="22" t="s">
        <v>215</v>
      </c>
      <c r="N7" s="2" t="s">
        <v>221</v>
      </c>
    </row>
    <row r="8" spans="1:14" x14ac:dyDescent="0.15">
      <c r="A8" s="2" t="s">
        <v>169</v>
      </c>
      <c r="B8" s="3"/>
      <c r="C8" s="2">
        <v>5</v>
      </c>
      <c r="D8" s="2">
        <v>5</v>
      </c>
      <c r="E8" s="3" t="s">
        <v>162</v>
      </c>
      <c r="F8" s="3" t="s">
        <v>162</v>
      </c>
      <c r="G8" s="8" t="s">
        <v>170</v>
      </c>
      <c r="H8" s="2">
        <v>5</v>
      </c>
      <c r="I8" s="2">
        <v>5</v>
      </c>
      <c r="J8" s="2">
        <v>5</v>
      </c>
      <c r="K8" s="2">
        <v>5</v>
      </c>
      <c r="L8" s="3" t="s">
        <v>162</v>
      </c>
      <c r="M8" s="22" t="s">
        <v>215</v>
      </c>
      <c r="N8" s="2" t="s">
        <v>221</v>
      </c>
    </row>
    <row r="9" spans="1:14" x14ac:dyDescent="0.15">
      <c r="A9" s="2" t="s">
        <v>171</v>
      </c>
      <c r="B9" s="3"/>
      <c r="C9" s="2">
        <v>7.35</v>
      </c>
      <c r="D9" s="2">
        <v>7.51</v>
      </c>
      <c r="E9" s="3" t="s">
        <v>162</v>
      </c>
      <c r="F9" s="3" t="s">
        <v>162</v>
      </c>
      <c r="G9" s="3" t="s">
        <v>162</v>
      </c>
      <c r="H9" s="2">
        <v>5</v>
      </c>
      <c r="I9" s="2">
        <v>5.04</v>
      </c>
      <c r="J9" s="2">
        <v>5.25</v>
      </c>
      <c r="K9" s="2">
        <v>5.3</v>
      </c>
      <c r="L9" s="3" t="s">
        <v>162</v>
      </c>
      <c r="M9" s="2" t="s">
        <v>215</v>
      </c>
      <c r="N9" s="2" t="s">
        <v>221</v>
      </c>
    </row>
    <row r="10" spans="1:14" x14ac:dyDescent="0.15">
      <c r="A10" s="2" t="s">
        <v>172</v>
      </c>
      <c r="B10" s="3"/>
      <c r="C10" s="2">
        <v>16.911000000000001</v>
      </c>
      <c r="D10" s="2">
        <v>16.77</v>
      </c>
      <c r="E10" s="3" t="s">
        <v>162</v>
      </c>
      <c r="F10" s="3" t="s">
        <v>162</v>
      </c>
      <c r="G10" s="3" t="s">
        <v>162</v>
      </c>
      <c r="H10" s="2">
        <v>2.86</v>
      </c>
      <c r="I10" s="2">
        <v>48.6</v>
      </c>
      <c r="J10" s="2">
        <v>48.5</v>
      </c>
      <c r="K10" s="2">
        <v>48.5</v>
      </c>
      <c r="L10" s="3" t="s">
        <v>162</v>
      </c>
      <c r="M10" s="22" t="s">
        <v>215</v>
      </c>
      <c r="N10" s="2" t="s">
        <v>221</v>
      </c>
    </row>
    <row r="11" spans="1:14" x14ac:dyDescent="0.15">
      <c r="A11" s="2" t="s">
        <v>173</v>
      </c>
      <c r="B11" s="3"/>
      <c r="C11" s="2">
        <v>200</v>
      </c>
      <c r="D11" s="2">
        <v>200</v>
      </c>
      <c r="E11" s="3" t="s">
        <v>162</v>
      </c>
      <c r="F11" s="3" t="s">
        <v>162</v>
      </c>
      <c r="G11" s="3" t="s">
        <v>162</v>
      </c>
      <c r="H11" s="2">
        <v>150</v>
      </c>
      <c r="I11" s="2">
        <v>120</v>
      </c>
      <c r="J11" s="2">
        <v>120</v>
      </c>
      <c r="K11" s="2">
        <v>120</v>
      </c>
      <c r="L11" s="3" t="s">
        <v>162</v>
      </c>
      <c r="M11" s="22" t="s">
        <v>215</v>
      </c>
      <c r="N11" s="2" t="s">
        <v>221</v>
      </c>
    </row>
    <row r="12" spans="1:14" x14ac:dyDescent="0.15">
      <c r="A12" s="2" t="s">
        <v>174</v>
      </c>
      <c r="B12" s="3"/>
      <c r="C12" s="2">
        <v>447.6</v>
      </c>
      <c r="D12" s="2">
        <v>449.9</v>
      </c>
      <c r="E12" s="2">
        <v>46.9</v>
      </c>
      <c r="F12" s="2">
        <v>48.4</v>
      </c>
      <c r="G12" s="8" t="s">
        <v>175</v>
      </c>
      <c r="H12" s="2">
        <v>429.4</v>
      </c>
      <c r="I12" s="2">
        <v>65.8</v>
      </c>
      <c r="J12" s="2">
        <v>66.400000000000006</v>
      </c>
      <c r="K12" s="2">
        <v>66.5</v>
      </c>
      <c r="L12" s="3" t="s">
        <v>162</v>
      </c>
      <c r="M12" s="2" t="s">
        <v>215</v>
      </c>
      <c r="N12" s="2" t="s">
        <v>221</v>
      </c>
    </row>
    <row r="13" spans="1:14" x14ac:dyDescent="0.15">
      <c r="A13" s="2" t="s">
        <v>176</v>
      </c>
      <c r="B13" s="3"/>
      <c r="C13" s="2">
        <v>11.675000000000001</v>
      </c>
      <c r="D13" s="2">
        <v>11.46</v>
      </c>
      <c r="E13" s="3" t="s">
        <v>162</v>
      </c>
      <c r="F13" s="3" t="s">
        <v>162</v>
      </c>
      <c r="G13" s="3" t="s">
        <v>162</v>
      </c>
      <c r="H13" s="2">
        <v>5.38</v>
      </c>
      <c r="I13" s="2">
        <v>49.9</v>
      </c>
      <c r="J13" s="2">
        <v>50.5</v>
      </c>
      <c r="K13" s="2">
        <v>50.6</v>
      </c>
      <c r="L13" s="3" t="s">
        <v>162</v>
      </c>
      <c r="M13" s="22" t="s">
        <v>215</v>
      </c>
      <c r="N13" s="2" t="s">
        <v>221</v>
      </c>
    </row>
    <row r="14" spans="1:14" x14ac:dyDescent="0.15">
      <c r="A14" s="2" t="s">
        <v>177</v>
      </c>
      <c r="B14" s="3"/>
      <c r="C14" s="2">
        <v>7.09</v>
      </c>
      <c r="D14" s="2">
        <v>7.09</v>
      </c>
      <c r="E14" s="3" t="s">
        <v>162</v>
      </c>
      <c r="F14" s="3" t="s">
        <v>162</v>
      </c>
      <c r="G14" s="3" t="s">
        <v>162</v>
      </c>
      <c r="H14" s="2">
        <v>4.97</v>
      </c>
      <c r="I14" s="2">
        <v>4.93</v>
      </c>
      <c r="J14" s="2">
        <v>5.14</v>
      </c>
      <c r="K14" s="2">
        <v>5.19</v>
      </c>
      <c r="L14" s="3" t="s">
        <v>162</v>
      </c>
      <c r="M14" s="2" t="s">
        <v>215</v>
      </c>
      <c r="N14" s="2" t="s">
        <v>221</v>
      </c>
    </row>
    <row r="15" spans="1:14" x14ac:dyDescent="0.15">
      <c r="A15" s="2" t="s">
        <v>178</v>
      </c>
      <c r="B15" s="3"/>
      <c r="C15" s="2">
        <v>200</v>
      </c>
      <c r="D15" s="2">
        <v>200</v>
      </c>
      <c r="E15" s="3" t="s">
        <v>162</v>
      </c>
      <c r="F15" s="3" t="s">
        <v>162</v>
      </c>
      <c r="G15" s="3" t="s">
        <v>162</v>
      </c>
      <c r="H15" s="3" t="s">
        <v>162</v>
      </c>
      <c r="I15" s="2">
        <v>120</v>
      </c>
      <c r="J15" s="2">
        <v>120</v>
      </c>
      <c r="K15" s="2">
        <v>120</v>
      </c>
      <c r="L15" s="3" t="s">
        <v>162</v>
      </c>
      <c r="M15" s="22" t="s">
        <v>215</v>
      </c>
      <c r="N15" s="2" t="s">
        <v>221</v>
      </c>
    </row>
    <row r="16" spans="1:14" x14ac:dyDescent="0.15">
      <c r="A16" s="2" t="s">
        <v>179</v>
      </c>
      <c r="B16" s="3"/>
      <c r="C16" s="2">
        <v>3</v>
      </c>
      <c r="D16" s="2">
        <v>3</v>
      </c>
      <c r="E16" s="3" t="s">
        <v>162</v>
      </c>
      <c r="F16" s="3" t="s">
        <v>162</v>
      </c>
      <c r="G16" s="3" t="s">
        <v>162</v>
      </c>
      <c r="H16" s="3" t="s">
        <v>162</v>
      </c>
      <c r="I16" s="2">
        <v>2</v>
      </c>
      <c r="J16" s="2">
        <v>2</v>
      </c>
      <c r="K16" s="2">
        <v>2</v>
      </c>
      <c r="L16" s="3" t="s">
        <v>162</v>
      </c>
      <c r="M16" s="2" t="s">
        <v>215</v>
      </c>
      <c r="N16" s="2" t="s">
        <v>221</v>
      </c>
    </row>
    <row r="17" spans="1:15" x14ac:dyDescent="0.15">
      <c r="A17" s="2" t="s">
        <v>180</v>
      </c>
      <c r="B17" s="3"/>
      <c r="C17" s="2">
        <v>5.52</v>
      </c>
      <c r="D17" s="2">
        <v>5.54</v>
      </c>
      <c r="E17" s="3" t="s">
        <v>162</v>
      </c>
      <c r="F17" s="3" t="s">
        <v>162</v>
      </c>
      <c r="G17" s="3" t="s">
        <v>162</v>
      </c>
      <c r="H17" s="3" t="s">
        <v>162</v>
      </c>
      <c r="I17" s="2">
        <v>4.9400000000000004</v>
      </c>
      <c r="J17" s="2">
        <v>5.16</v>
      </c>
      <c r="K17" s="2">
        <v>5.2</v>
      </c>
      <c r="L17" s="3" t="s">
        <v>162</v>
      </c>
      <c r="M17" s="2" t="s">
        <v>215</v>
      </c>
      <c r="N17" s="2" t="s">
        <v>221</v>
      </c>
    </row>
    <row r="18" spans="1:15" x14ac:dyDescent="0.15">
      <c r="A18" s="2" t="s">
        <v>181</v>
      </c>
      <c r="B18" s="3"/>
      <c r="C18" s="2">
        <v>14.404</v>
      </c>
      <c r="D18" s="2">
        <v>14.433</v>
      </c>
      <c r="E18" s="3" t="s">
        <v>162</v>
      </c>
      <c r="F18" s="3" t="s">
        <v>162</v>
      </c>
      <c r="G18" s="3" t="s">
        <v>162</v>
      </c>
      <c r="H18" s="3" t="s">
        <v>162</v>
      </c>
      <c r="I18" s="2">
        <v>58.1</v>
      </c>
      <c r="J18" s="2">
        <v>58.3</v>
      </c>
      <c r="K18" s="2">
        <v>58.7</v>
      </c>
      <c r="L18" s="3" t="s">
        <v>162</v>
      </c>
      <c r="M18" s="22" t="s">
        <v>215</v>
      </c>
      <c r="N18" s="2" t="s">
        <v>221</v>
      </c>
    </row>
    <row r="19" spans="1:15" x14ac:dyDescent="0.15">
      <c r="A19" s="2" t="s">
        <v>182</v>
      </c>
      <c r="B19" s="3"/>
      <c r="C19" s="2">
        <v>200</v>
      </c>
      <c r="D19" s="2">
        <v>200</v>
      </c>
      <c r="E19" s="3" t="s">
        <v>162</v>
      </c>
      <c r="F19" s="3" t="s">
        <v>162</v>
      </c>
      <c r="G19" s="3" t="s">
        <v>162</v>
      </c>
      <c r="H19" s="3" t="s">
        <v>162</v>
      </c>
      <c r="I19" s="2">
        <v>120</v>
      </c>
      <c r="J19" s="2">
        <v>120</v>
      </c>
      <c r="K19" s="2">
        <v>120</v>
      </c>
      <c r="L19" s="3" t="s">
        <v>162</v>
      </c>
      <c r="M19" s="22" t="s">
        <v>215</v>
      </c>
      <c r="N19" s="2" t="s">
        <v>221</v>
      </c>
    </row>
    <row r="20" spans="1:15" x14ac:dyDescent="0.15">
      <c r="A20" s="2" t="s">
        <v>183</v>
      </c>
      <c r="B20" s="3"/>
      <c r="C20" s="2">
        <v>3.58</v>
      </c>
      <c r="D20" s="2">
        <v>3.59</v>
      </c>
      <c r="E20" s="3" t="s">
        <v>162</v>
      </c>
      <c r="F20" s="3" t="s">
        <v>162</v>
      </c>
      <c r="G20" s="3" t="s">
        <v>162</v>
      </c>
      <c r="H20" s="2">
        <v>5.0599999999999996</v>
      </c>
      <c r="I20" s="2">
        <v>5.48</v>
      </c>
      <c r="J20" s="2">
        <v>5.7</v>
      </c>
      <c r="K20" s="2">
        <v>5.7</v>
      </c>
      <c r="L20" s="3" t="s">
        <v>162</v>
      </c>
      <c r="M20" s="22" t="s">
        <v>215</v>
      </c>
      <c r="N20" s="2" t="s">
        <v>221</v>
      </c>
    </row>
    <row r="21" spans="1:15" x14ac:dyDescent="0.15">
      <c r="A21" s="2" t="s">
        <v>184</v>
      </c>
      <c r="B21" s="3"/>
      <c r="C21" s="2">
        <v>5.5369999999999999</v>
      </c>
      <c r="D21" s="2">
        <v>5.5359999999999996</v>
      </c>
      <c r="E21" s="3" t="s">
        <v>162</v>
      </c>
      <c r="F21" s="3" t="s">
        <v>162</v>
      </c>
      <c r="G21" s="3" t="s">
        <v>162</v>
      </c>
      <c r="H21" s="2">
        <v>49</v>
      </c>
      <c r="I21" s="2">
        <v>20.399999999999999</v>
      </c>
      <c r="J21" s="2">
        <v>20.09</v>
      </c>
      <c r="K21" s="2">
        <v>20.100000000000001</v>
      </c>
      <c r="L21" s="3" t="s">
        <v>162</v>
      </c>
      <c r="M21" s="22" t="s">
        <v>215</v>
      </c>
      <c r="N21" s="2" t="s">
        <v>221</v>
      </c>
    </row>
    <row r="22" spans="1:15" x14ac:dyDescent="0.15">
      <c r="A22" s="2" t="s">
        <v>185</v>
      </c>
      <c r="B22" s="3"/>
      <c r="C22" s="2">
        <v>47.7</v>
      </c>
      <c r="D22" s="2">
        <v>48.4</v>
      </c>
      <c r="E22" s="2">
        <v>50.8</v>
      </c>
      <c r="F22" s="2">
        <v>53.1</v>
      </c>
      <c r="G22" s="8" t="s">
        <v>186</v>
      </c>
      <c r="H22" s="2">
        <v>149.9</v>
      </c>
      <c r="I22" s="2">
        <v>45.3</v>
      </c>
      <c r="J22" s="2">
        <v>44.4</v>
      </c>
      <c r="K22" s="2">
        <v>44.7</v>
      </c>
      <c r="L22" s="2">
        <v>296.7</v>
      </c>
      <c r="M22" s="2">
        <v>29.9</v>
      </c>
      <c r="N22" s="2">
        <v>29.684000000000001</v>
      </c>
    </row>
    <row r="23" spans="1:15" x14ac:dyDescent="0.15">
      <c r="A23" s="2" t="s">
        <v>187</v>
      </c>
      <c r="B23" s="3"/>
      <c r="C23" s="2">
        <v>18.8</v>
      </c>
      <c r="D23" s="8">
        <v>19.100000000000001</v>
      </c>
      <c r="E23" s="7">
        <v>18</v>
      </c>
      <c r="F23" s="8">
        <v>17.5</v>
      </c>
      <c r="G23" s="8">
        <v>3.3</v>
      </c>
      <c r="H23" s="8">
        <v>7</v>
      </c>
      <c r="I23" s="8">
        <v>7.1</v>
      </c>
      <c r="J23" s="8">
        <v>7.7</v>
      </c>
      <c r="K23" s="8">
        <v>7.5</v>
      </c>
      <c r="L23" s="8">
        <v>3.1</v>
      </c>
      <c r="M23" s="2">
        <v>32.6</v>
      </c>
    </row>
    <row r="24" spans="1:15" x14ac:dyDescent="0.15">
      <c r="A24" s="2" t="s">
        <v>188</v>
      </c>
      <c r="B24" s="13"/>
      <c r="C24" s="2">
        <v>896.8</v>
      </c>
      <c r="D24" s="8">
        <v>924.4</v>
      </c>
      <c r="E24" s="7">
        <v>914.4</v>
      </c>
      <c r="F24" s="8">
        <v>929.3</v>
      </c>
      <c r="G24" s="8">
        <v>1424</v>
      </c>
      <c r="H24" s="2">
        <f>H22*H23</f>
        <v>1049.3</v>
      </c>
      <c r="I24" s="2">
        <f>I22*I23</f>
        <v>321.62999999999994</v>
      </c>
      <c r="J24" s="2">
        <f>J22*J23</f>
        <v>341.88</v>
      </c>
      <c r="K24" s="2">
        <f>K22*K23</f>
        <v>335.25</v>
      </c>
      <c r="L24" s="2">
        <f>L22*L23</f>
        <v>919.77</v>
      </c>
      <c r="M24" s="2">
        <f>M23*M22</f>
        <v>974.74</v>
      </c>
    </row>
    <row r="25" spans="1:15" x14ac:dyDescent="0.15">
      <c r="A25" s="2" t="s">
        <v>189</v>
      </c>
      <c r="B25" s="16"/>
      <c r="C25" s="16">
        <v>1.0269999999999999</v>
      </c>
      <c r="D25" s="8">
        <v>105.4</v>
      </c>
      <c r="E25" s="24">
        <v>1.0369999999999999</v>
      </c>
      <c r="F25" s="24">
        <v>1.016</v>
      </c>
      <c r="G25" s="24">
        <f>G24/(E24+F24)</f>
        <v>0.77235992840483814</v>
      </c>
      <c r="H25" s="16">
        <f>H24/H4</f>
        <v>0.74049766411200979</v>
      </c>
      <c r="I25" s="16">
        <f>I24/I4</f>
        <v>0.92822510822510806</v>
      </c>
      <c r="J25" s="16">
        <f>J24/J4</f>
        <v>0.97485029940119761</v>
      </c>
      <c r="K25" s="16">
        <f>K24/K4</f>
        <v>0.95594525235243799</v>
      </c>
      <c r="L25" s="16">
        <f>L24/L4</f>
        <v>0.90721415607985478</v>
      </c>
      <c r="M25" s="16">
        <f t="shared" ref="M25" si="0">M24/M4</f>
        <v>1.063348860549598</v>
      </c>
      <c r="O25" s="21"/>
    </row>
    <row r="26" spans="1:15" x14ac:dyDescent="0.15">
      <c r="A26" s="2" t="s">
        <v>190</v>
      </c>
      <c r="B26" s="3"/>
      <c r="C26" s="2">
        <v>500</v>
      </c>
      <c r="D26" s="2">
        <v>500</v>
      </c>
      <c r="E26" s="3" t="s">
        <v>162</v>
      </c>
      <c r="F26" s="3" t="s">
        <v>162</v>
      </c>
      <c r="G26" s="3" t="s">
        <v>162</v>
      </c>
      <c r="H26" s="2">
        <v>100</v>
      </c>
      <c r="I26" s="2">
        <v>300</v>
      </c>
      <c r="J26" s="2">
        <v>300</v>
      </c>
      <c r="K26" s="2">
        <v>300</v>
      </c>
      <c r="L26" s="3" t="s">
        <v>162</v>
      </c>
      <c r="M26" s="22" t="s">
        <v>216</v>
      </c>
    </row>
    <row r="27" spans="1:15" x14ac:dyDescent="0.15">
      <c r="A27" s="2" t="s">
        <v>191</v>
      </c>
      <c r="B27" s="3"/>
      <c r="C27" s="2">
        <v>500</v>
      </c>
      <c r="D27" s="2">
        <v>500</v>
      </c>
      <c r="E27" s="3" t="s">
        <v>162</v>
      </c>
      <c r="F27" s="3" t="s">
        <v>162</v>
      </c>
      <c r="G27" s="3" t="s">
        <v>162</v>
      </c>
      <c r="H27" s="2">
        <v>2100</v>
      </c>
      <c r="I27" s="2">
        <v>200</v>
      </c>
      <c r="J27" s="2">
        <v>200</v>
      </c>
      <c r="K27" s="2">
        <v>200</v>
      </c>
      <c r="L27" s="3" t="s">
        <v>162</v>
      </c>
      <c r="M27" s="22" t="s">
        <v>216</v>
      </c>
    </row>
    <row r="28" spans="1:15" x14ac:dyDescent="0.15">
      <c r="A28" s="2" t="s">
        <v>192</v>
      </c>
      <c r="B28" s="3"/>
      <c r="C28" s="195">
        <v>6875</v>
      </c>
      <c r="D28" s="195"/>
      <c r="E28" s="3" t="s">
        <v>162</v>
      </c>
      <c r="F28" s="3" t="s">
        <v>162</v>
      </c>
      <c r="G28" s="3" t="s">
        <v>162</v>
      </c>
      <c r="H28" s="2">
        <v>3941</v>
      </c>
      <c r="I28" s="2">
        <v>3907</v>
      </c>
      <c r="J28" s="2">
        <v>3907</v>
      </c>
      <c r="K28" s="2">
        <v>3907</v>
      </c>
      <c r="L28" s="3" t="s">
        <v>162</v>
      </c>
      <c r="M28" s="22" t="s">
        <v>216</v>
      </c>
    </row>
    <row r="29" spans="1:15" x14ac:dyDescent="0.15">
      <c r="A29" s="2" t="s">
        <v>193</v>
      </c>
      <c r="B29" s="3"/>
      <c r="C29" s="195">
        <v>1.22</v>
      </c>
      <c r="D29" s="195"/>
      <c r="E29" s="3" t="s">
        <v>162</v>
      </c>
      <c r="F29" s="3" t="s">
        <v>162</v>
      </c>
      <c r="G29" s="3" t="s">
        <v>162</v>
      </c>
      <c r="H29" s="2">
        <v>0.95</v>
      </c>
      <c r="I29" s="2">
        <v>1.18</v>
      </c>
      <c r="J29" s="2">
        <v>1.18</v>
      </c>
      <c r="K29" s="2">
        <v>1.18</v>
      </c>
      <c r="L29" s="3" t="s">
        <v>162</v>
      </c>
      <c r="M29" s="22" t="s">
        <v>216</v>
      </c>
    </row>
    <row r="30" spans="1:15" x14ac:dyDescent="0.15">
      <c r="A30" s="2" t="s">
        <v>194</v>
      </c>
      <c r="B30" s="3"/>
      <c r="C30" s="195">
        <v>150</v>
      </c>
      <c r="D30" s="195"/>
      <c r="E30" s="3" t="s">
        <v>162</v>
      </c>
      <c r="F30" s="3" t="s">
        <v>162</v>
      </c>
      <c r="G30" s="3" t="s">
        <v>162</v>
      </c>
      <c r="H30" s="2">
        <v>150</v>
      </c>
      <c r="I30" s="2">
        <v>120</v>
      </c>
      <c r="J30" s="2">
        <v>120</v>
      </c>
      <c r="K30" s="2">
        <v>120</v>
      </c>
      <c r="L30" s="3" t="s">
        <v>162</v>
      </c>
      <c r="M30" s="22" t="s">
        <v>216</v>
      </c>
    </row>
    <row r="31" spans="1:15" x14ac:dyDescent="0.15">
      <c r="A31" s="7" t="s">
        <v>195</v>
      </c>
      <c r="B31" s="3"/>
      <c r="C31" s="195">
        <v>3</v>
      </c>
      <c r="D31" s="195"/>
      <c r="E31" s="3" t="s">
        <v>162</v>
      </c>
      <c r="F31" s="3" t="s">
        <v>162</v>
      </c>
      <c r="G31" s="3" t="s">
        <v>162</v>
      </c>
      <c r="H31" s="2">
        <v>3</v>
      </c>
      <c r="I31" s="2">
        <v>3</v>
      </c>
      <c r="J31" s="2">
        <v>3</v>
      </c>
      <c r="K31" s="2">
        <v>3</v>
      </c>
      <c r="L31" s="3" t="s">
        <v>162</v>
      </c>
      <c r="M31" s="2" t="s">
        <v>216</v>
      </c>
    </row>
    <row r="32" spans="1:15" x14ac:dyDescent="0.15">
      <c r="A32" s="2" t="s">
        <v>196</v>
      </c>
      <c r="B32" s="3"/>
      <c r="C32" s="195" t="s">
        <v>162</v>
      </c>
      <c r="D32" s="195"/>
      <c r="E32" s="3" t="s">
        <v>162</v>
      </c>
      <c r="F32" s="3" t="s">
        <v>162</v>
      </c>
      <c r="G32" s="3" t="s">
        <v>197</v>
      </c>
      <c r="H32" s="2">
        <v>1.73</v>
      </c>
      <c r="I32" s="2">
        <v>30</v>
      </c>
      <c r="J32" s="2" t="s">
        <v>198</v>
      </c>
      <c r="K32" s="2" t="s">
        <v>199</v>
      </c>
      <c r="L32" s="3">
        <v>25</v>
      </c>
      <c r="M32" s="22" t="s">
        <v>217</v>
      </c>
    </row>
    <row r="33" spans="1:20" x14ac:dyDescent="0.15">
      <c r="A33" s="2" t="s">
        <v>200</v>
      </c>
      <c r="B33" s="3"/>
      <c r="C33" s="195" t="s">
        <v>162</v>
      </c>
      <c r="D33" s="195"/>
      <c r="E33" s="3" t="s">
        <v>162</v>
      </c>
      <c r="F33" s="3" t="s">
        <v>162</v>
      </c>
      <c r="G33" s="3" t="s">
        <v>162</v>
      </c>
      <c r="H33" s="2">
        <v>1.42</v>
      </c>
      <c r="I33" s="2">
        <v>30</v>
      </c>
      <c r="J33" s="2" t="s">
        <v>198</v>
      </c>
      <c r="K33" s="2" t="s">
        <v>199</v>
      </c>
      <c r="L33" s="3" t="s">
        <v>162</v>
      </c>
      <c r="M33" s="22" t="s">
        <v>218</v>
      </c>
    </row>
    <row r="34" spans="1:20" x14ac:dyDescent="0.15">
      <c r="A34" s="2" t="s">
        <v>201</v>
      </c>
      <c r="B34" s="3"/>
      <c r="C34" s="195" t="s">
        <v>162</v>
      </c>
      <c r="D34" s="195"/>
      <c r="E34" s="3" t="s">
        <v>162</v>
      </c>
      <c r="F34" s="3" t="s">
        <v>162</v>
      </c>
      <c r="G34" s="3" t="s">
        <v>162</v>
      </c>
      <c r="H34" s="3" t="s">
        <v>162</v>
      </c>
      <c r="I34" s="3" t="s">
        <v>162</v>
      </c>
      <c r="J34" s="3" t="s">
        <v>162</v>
      </c>
      <c r="K34" s="3" t="s">
        <v>162</v>
      </c>
      <c r="L34" s="3" t="s">
        <v>162</v>
      </c>
      <c r="M34" s="22"/>
    </row>
    <row r="35" spans="1:20" x14ac:dyDescent="0.15">
      <c r="A35" s="2" t="s">
        <v>202</v>
      </c>
      <c r="B35" s="3"/>
      <c r="C35" s="3">
        <v>21</v>
      </c>
      <c r="D35" s="3">
        <v>21</v>
      </c>
      <c r="E35" s="3">
        <v>21</v>
      </c>
      <c r="F35" s="3">
        <v>21</v>
      </c>
      <c r="G35" s="3" t="s">
        <v>162</v>
      </c>
      <c r="H35" s="3">
        <v>21.1</v>
      </c>
      <c r="I35" s="2">
        <v>21.3</v>
      </c>
      <c r="J35" s="2">
        <v>21.1</v>
      </c>
      <c r="K35" s="2">
        <v>21.2</v>
      </c>
      <c r="L35" s="2">
        <v>22</v>
      </c>
      <c r="M35" s="22" t="s">
        <v>219</v>
      </c>
    </row>
    <row r="36" spans="1:20" x14ac:dyDescent="0.15">
      <c r="A36" s="2" t="s">
        <v>203</v>
      </c>
      <c r="B36" s="3"/>
      <c r="C36" s="195" t="s">
        <v>162</v>
      </c>
      <c r="D36" s="195"/>
      <c r="E36" s="3">
        <v>400</v>
      </c>
      <c r="F36" s="3">
        <v>400</v>
      </c>
      <c r="G36" s="3">
        <v>1060</v>
      </c>
      <c r="H36" s="3" t="s">
        <v>162</v>
      </c>
      <c r="I36" s="3" t="s">
        <v>162</v>
      </c>
      <c r="J36" s="3" t="s">
        <v>162</v>
      </c>
      <c r="K36" s="3" t="s">
        <v>162</v>
      </c>
      <c r="L36" s="3" t="s">
        <v>162</v>
      </c>
      <c r="M36" s="22" t="s">
        <v>216</v>
      </c>
      <c r="N36" s="2" t="s">
        <v>222</v>
      </c>
    </row>
    <row r="37" spans="1:20" x14ac:dyDescent="0.15">
      <c r="A37" s="2" t="s">
        <v>204</v>
      </c>
      <c r="B37" s="3"/>
      <c r="C37" s="195" t="s">
        <v>162</v>
      </c>
      <c r="D37" s="195"/>
      <c r="E37" s="3">
        <v>3500</v>
      </c>
      <c r="F37" s="3">
        <v>3800</v>
      </c>
      <c r="G37" s="3" t="s">
        <v>162</v>
      </c>
      <c r="H37" s="3" t="s">
        <v>162</v>
      </c>
      <c r="I37" s="3" t="s">
        <v>162</v>
      </c>
      <c r="J37" s="3" t="s">
        <v>162</v>
      </c>
      <c r="K37" s="3" t="s">
        <v>162</v>
      </c>
      <c r="L37" s="3" t="s">
        <v>162</v>
      </c>
      <c r="M37" s="22" t="s">
        <v>216</v>
      </c>
    </row>
    <row r="38" spans="1:20" x14ac:dyDescent="0.15">
      <c r="A38" s="2" t="s">
        <v>205</v>
      </c>
      <c r="B38" s="19"/>
      <c r="C38" s="3">
        <v>800</v>
      </c>
      <c r="D38" s="3">
        <v>2</v>
      </c>
      <c r="E38" s="3">
        <v>7</v>
      </c>
      <c r="F38" s="3" t="s">
        <v>206</v>
      </c>
      <c r="G38" s="3" t="s">
        <v>207</v>
      </c>
      <c r="H38" s="2" t="s">
        <v>208</v>
      </c>
      <c r="I38" s="25" t="s">
        <v>209</v>
      </c>
      <c r="J38" s="25" t="s">
        <v>210</v>
      </c>
      <c r="K38" s="25" t="s">
        <v>210</v>
      </c>
      <c r="L38" s="2" t="s">
        <v>211</v>
      </c>
      <c r="M38" s="2" t="s">
        <v>220</v>
      </c>
      <c r="N38" s="2">
        <f>160+2*127+16+3+25+4</f>
        <v>462</v>
      </c>
    </row>
    <row r="39" spans="1:20" x14ac:dyDescent="0.15">
      <c r="A39" s="2" t="s">
        <v>212</v>
      </c>
      <c r="B39" s="3"/>
      <c r="C39" s="3">
        <v>60</v>
      </c>
      <c r="D39" s="3">
        <v>60</v>
      </c>
      <c r="E39" s="3">
        <v>60</v>
      </c>
      <c r="F39" s="3">
        <v>60</v>
      </c>
      <c r="G39" s="3">
        <v>180</v>
      </c>
      <c r="H39" s="3">
        <v>80</v>
      </c>
      <c r="I39" s="3">
        <v>60</v>
      </c>
      <c r="J39" s="3">
        <v>60</v>
      </c>
      <c r="K39" s="3">
        <v>60</v>
      </c>
      <c r="L39" s="3">
        <v>80</v>
      </c>
      <c r="M39" s="2">
        <v>50</v>
      </c>
    </row>
    <row r="40" spans="1:20" x14ac:dyDescent="0.15">
      <c r="A40" s="2" t="s">
        <v>213</v>
      </c>
      <c r="B40" s="19"/>
      <c r="G40" s="3"/>
      <c r="M40" s="195"/>
      <c r="N40" s="195"/>
      <c r="O40" s="195"/>
      <c r="P40" s="195"/>
      <c r="Q40" s="195"/>
      <c r="R40" s="195"/>
      <c r="S40" s="195"/>
      <c r="T40" s="195"/>
    </row>
    <row r="41" spans="1:20" x14ac:dyDescent="0.15">
      <c r="A41" s="7" t="s">
        <v>214</v>
      </c>
      <c r="I41" s="195"/>
      <c r="J41" s="195"/>
      <c r="K41" s="195"/>
    </row>
  </sheetData>
  <mergeCells count="16">
    <mergeCell ref="C28:D28"/>
    <mergeCell ref="C1:D1"/>
    <mergeCell ref="E1:F1"/>
    <mergeCell ref="I1:K1"/>
    <mergeCell ref="C2:D2"/>
    <mergeCell ref="C3:D3"/>
    <mergeCell ref="C36:D36"/>
    <mergeCell ref="C37:D37"/>
    <mergeCell ref="M40:T40"/>
    <mergeCell ref="I41:K41"/>
    <mergeCell ref="C29:D29"/>
    <mergeCell ref="C30:D30"/>
    <mergeCell ref="C31:D31"/>
    <mergeCell ref="C32:D32"/>
    <mergeCell ref="C33:D33"/>
    <mergeCell ref="C34:D3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O26" sqref="O26"/>
    </sheetView>
  </sheetViews>
  <sheetFormatPr defaultRowHeight="13.5" x14ac:dyDescent="0.15"/>
  <sheetData>
    <row r="1" spans="1:10" ht="15" x14ac:dyDescent="0.25">
      <c r="A1" s="26" t="s">
        <v>223</v>
      </c>
      <c r="B1" s="1" t="s">
        <v>224</v>
      </c>
      <c r="C1" s="1">
        <v>47500</v>
      </c>
      <c r="D1" s="1" t="s">
        <v>225</v>
      </c>
      <c r="E1" s="1" t="s">
        <v>226</v>
      </c>
      <c r="F1" s="1" t="s">
        <v>227</v>
      </c>
      <c r="G1" s="1">
        <v>144654</v>
      </c>
      <c r="H1" s="1" t="s">
        <v>228</v>
      </c>
      <c r="I1" s="1" t="s">
        <v>229</v>
      </c>
      <c r="J1" s="1">
        <v>393284</v>
      </c>
    </row>
    <row r="2" spans="1:10" ht="15" x14ac:dyDescent="0.25">
      <c r="A2" s="1"/>
      <c r="B2" s="1" t="s">
        <v>230</v>
      </c>
      <c r="C2" s="1">
        <v>472500</v>
      </c>
      <c r="D2" s="1"/>
      <c r="E2" s="1"/>
      <c r="F2" s="1" t="s">
        <v>231</v>
      </c>
      <c r="G2" s="1">
        <v>158683</v>
      </c>
      <c r="H2" s="1"/>
      <c r="I2" s="1"/>
      <c r="J2" s="1"/>
    </row>
    <row r="3" spans="1:10" ht="15" x14ac:dyDescent="0.25">
      <c r="A3" s="1"/>
      <c r="B3" s="1"/>
      <c r="C3" s="1"/>
      <c r="D3" s="1"/>
      <c r="E3" s="1"/>
      <c r="F3" s="1" t="s">
        <v>232</v>
      </c>
      <c r="G3" s="1">
        <v>97954</v>
      </c>
      <c r="H3" s="1"/>
      <c r="I3" s="1"/>
      <c r="J3" s="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4"/>
  <sheetViews>
    <sheetView topLeftCell="A52" workbookViewId="0">
      <selection activeCell="I86" sqref="I86"/>
    </sheetView>
  </sheetViews>
  <sheetFormatPr defaultRowHeight="13.5" x14ac:dyDescent="0.15"/>
  <cols>
    <col min="2" max="2" width="19.125" customWidth="1"/>
    <col min="3" max="3" width="13.625" customWidth="1"/>
    <col min="4" max="4" width="13.875" customWidth="1"/>
    <col min="5" max="5" width="12" customWidth="1"/>
  </cols>
  <sheetData>
    <row r="1" spans="1:10" x14ac:dyDescent="0.15">
      <c r="A1" s="27"/>
      <c r="B1" s="27"/>
      <c r="C1" s="28" t="s">
        <v>235</v>
      </c>
      <c r="D1" s="28" t="s">
        <v>236</v>
      </c>
      <c r="E1" s="27" t="s">
        <v>237</v>
      </c>
      <c r="F1" s="197" t="s">
        <v>238</v>
      </c>
      <c r="G1" s="197"/>
      <c r="H1" s="197" t="s">
        <v>252</v>
      </c>
      <c r="I1" s="197"/>
    </row>
    <row r="2" spans="1:10" x14ac:dyDescent="0.15">
      <c r="A2" s="198" t="s">
        <v>239</v>
      </c>
      <c r="B2" s="27" t="s">
        <v>240</v>
      </c>
      <c r="C2" s="197" t="s">
        <v>241</v>
      </c>
      <c r="D2" s="197"/>
      <c r="E2" s="197"/>
      <c r="F2" s="197">
        <v>26.1</v>
      </c>
      <c r="G2" s="197"/>
      <c r="H2" s="197">
        <v>26.1</v>
      </c>
      <c r="I2" s="197"/>
    </row>
    <row r="3" spans="1:10" x14ac:dyDescent="0.15">
      <c r="A3" s="199"/>
      <c r="B3" s="27" t="s">
        <v>242</v>
      </c>
      <c r="C3" s="197">
        <v>5191</v>
      </c>
      <c r="D3" s="197"/>
      <c r="E3" s="197"/>
      <c r="F3" s="197">
        <v>5759</v>
      </c>
      <c r="G3" s="197"/>
      <c r="H3" s="197">
        <v>5759</v>
      </c>
      <c r="I3" s="197"/>
    </row>
    <row r="4" spans="1:10" x14ac:dyDescent="0.15">
      <c r="A4" s="199"/>
      <c r="B4" s="27" t="s">
        <v>243</v>
      </c>
      <c r="C4" s="197" t="s">
        <v>244</v>
      </c>
      <c r="D4" s="197"/>
      <c r="E4" s="197"/>
      <c r="F4" s="197">
        <v>32.799999999999997</v>
      </c>
      <c r="G4" s="197"/>
      <c r="H4" s="197">
        <v>32.799999999999997</v>
      </c>
      <c r="I4" s="197"/>
    </row>
    <row r="5" spans="1:10" x14ac:dyDescent="0.15">
      <c r="A5" s="199"/>
      <c r="B5" s="27" t="s">
        <v>245</v>
      </c>
      <c r="C5" s="197">
        <v>1.08</v>
      </c>
      <c r="D5" s="197"/>
      <c r="E5" s="197"/>
      <c r="F5" s="197">
        <v>1.26</v>
      </c>
      <c r="G5" s="197"/>
      <c r="H5" s="197">
        <v>1.26</v>
      </c>
      <c r="I5" s="197"/>
    </row>
    <row r="6" spans="1:10" x14ac:dyDescent="0.15">
      <c r="A6" s="199"/>
      <c r="B6" s="27" t="s">
        <v>246</v>
      </c>
      <c r="C6" s="28">
        <v>114.1</v>
      </c>
      <c r="D6" s="28">
        <v>91.6</v>
      </c>
      <c r="E6" s="27">
        <v>101.3</v>
      </c>
      <c r="F6" s="27">
        <v>1046</v>
      </c>
      <c r="G6" s="27">
        <v>1047.8</v>
      </c>
      <c r="H6" s="32">
        <v>1130.8</v>
      </c>
      <c r="I6" s="32">
        <v>1128.8</v>
      </c>
      <c r="J6" s="37"/>
    </row>
    <row r="7" spans="1:10" x14ac:dyDescent="0.15">
      <c r="A7" s="199"/>
      <c r="B7" s="27" t="s">
        <v>247</v>
      </c>
      <c r="C7" s="28">
        <v>28.4</v>
      </c>
      <c r="D7" s="28">
        <v>19.7</v>
      </c>
      <c r="E7" s="27">
        <v>19.3</v>
      </c>
      <c r="F7" s="27">
        <v>23.1</v>
      </c>
      <c r="G7" s="27">
        <v>22.7</v>
      </c>
      <c r="H7" s="32">
        <v>23</v>
      </c>
      <c r="I7" s="32">
        <v>22.9</v>
      </c>
    </row>
    <row r="8" spans="1:10" x14ac:dyDescent="0.15">
      <c r="A8" s="199"/>
      <c r="B8" s="27" t="s">
        <v>248</v>
      </c>
      <c r="C8" s="28">
        <v>3.7040000000000002</v>
      </c>
      <c r="D8" s="28">
        <v>3.5680000000000001</v>
      </c>
      <c r="E8" s="27">
        <v>3.9350000000000001</v>
      </c>
      <c r="F8" s="27">
        <v>41.8</v>
      </c>
      <c r="G8" s="27">
        <v>42</v>
      </c>
      <c r="H8" s="32">
        <v>45.3</v>
      </c>
      <c r="I8" s="32">
        <v>45.4</v>
      </c>
      <c r="J8" s="37"/>
    </row>
    <row r="9" spans="1:10" x14ac:dyDescent="0.15">
      <c r="A9" s="199"/>
      <c r="B9" s="27" t="s">
        <v>249</v>
      </c>
      <c r="C9" s="28">
        <v>105.2</v>
      </c>
      <c r="D9" s="28">
        <v>70.3</v>
      </c>
      <c r="E9" s="27">
        <v>75.900000000000006</v>
      </c>
      <c r="F9" s="27">
        <f>F7*F8</f>
        <v>965.58</v>
      </c>
      <c r="G9" s="27">
        <f>G7*G8</f>
        <v>953.4</v>
      </c>
      <c r="H9" s="32">
        <v>1041.9000000000001</v>
      </c>
      <c r="I9" s="32">
        <v>1039.7</v>
      </c>
    </row>
    <row r="10" spans="1:10" x14ac:dyDescent="0.15">
      <c r="A10" s="199"/>
      <c r="B10" s="27" t="s">
        <v>253</v>
      </c>
      <c r="C10" s="28">
        <v>92.2</v>
      </c>
      <c r="D10" s="28">
        <v>76.7</v>
      </c>
      <c r="E10" s="27">
        <v>74.900000000000006</v>
      </c>
      <c r="F10" s="27">
        <v>92.3</v>
      </c>
      <c r="G10" s="27">
        <v>91</v>
      </c>
      <c r="H10" s="32">
        <v>92.1</v>
      </c>
      <c r="I10" s="32">
        <v>92.1</v>
      </c>
    </row>
    <row r="11" spans="1:10" x14ac:dyDescent="0.15">
      <c r="A11" s="199"/>
      <c r="B11" s="29" t="s">
        <v>250</v>
      </c>
      <c r="C11" s="28">
        <v>16.010000000000002</v>
      </c>
      <c r="D11" s="28" t="s">
        <v>254</v>
      </c>
      <c r="E11" s="27">
        <v>10.5</v>
      </c>
      <c r="F11" s="30">
        <v>11.4</v>
      </c>
      <c r="G11" s="30">
        <v>10.9</v>
      </c>
      <c r="H11" s="30"/>
      <c r="I11" s="27"/>
    </row>
    <row r="12" spans="1:10" x14ac:dyDescent="0.15">
      <c r="A12" s="199"/>
      <c r="B12" s="29" t="s">
        <v>251</v>
      </c>
      <c r="C12" s="28" t="s">
        <v>255</v>
      </c>
      <c r="D12" s="28" t="s">
        <v>256</v>
      </c>
      <c r="E12" s="27">
        <v>7.1</v>
      </c>
      <c r="F12" s="27">
        <v>6.8</v>
      </c>
      <c r="G12" s="27">
        <v>6.9</v>
      </c>
      <c r="H12" s="27"/>
      <c r="I12" s="27"/>
    </row>
    <row r="13" spans="1:10" x14ac:dyDescent="0.15">
      <c r="A13" s="199"/>
      <c r="B13" s="29" t="s">
        <v>257</v>
      </c>
      <c r="C13" s="28">
        <v>24.2</v>
      </c>
      <c r="D13" s="28">
        <v>23.5</v>
      </c>
      <c r="E13" s="27">
        <v>22.5</v>
      </c>
      <c r="F13" s="30" t="s">
        <v>258</v>
      </c>
      <c r="G13" s="30" t="s">
        <v>259</v>
      </c>
      <c r="H13" s="30"/>
      <c r="I13" s="27"/>
    </row>
    <row r="14" spans="1:10" x14ac:dyDescent="0.15">
      <c r="A14" s="199"/>
      <c r="B14" s="29" t="s">
        <v>260</v>
      </c>
      <c r="C14" s="28" t="s">
        <v>261</v>
      </c>
      <c r="D14" s="28" t="s">
        <v>262</v>
      </c>
      <c r="E14" s="27">
        <v>2383</v>
      </c>
      <c r="F14" s="30"/>
      <c r="G14" s="30"/>
      <c r="H14" s="30"/>
      <c r="I14" s="27"/>
    </row>
    <row r="15" spans="1:10" x14ac:dyDescent="0.15">
      <c r="A15" s="199"/>
      <c r="B15" s="29" t="s">
        <v>263</v>
      </c>
      <c r="C15" s="28" t="s">
        <v>264</v>
      </c>
      <c r="D15" s="28" t="s">
        <v>265</v>
      </c>
      <c r="E15" s="27">
        <v>4.2</v>
      </c>
      <c r="F15" s="27">
        <v>3.5</v>
      </c>
      <c r="G15" s="27">
        <v>3.6</v>
      </c>
      <c r="H15" s="27"/>
      <c r="I15" s="27"/>
    </row>
    <row r="16" spans="1:10" x14ac:dyDescent="0.15">
      <c r="A16" s="199"/>
      <c r="B16" s="29" t="s">
        <v>266</v>
      </c>
      <c r="C16" s="28">
        <v>11.2</v>
      </c>
      <c r="D16" s="28" t="s">
        <v>267</v>
      </c>
      <c r="E16" s="27">
        <v>9.9</v>
      </c>
      <c r="F16" s="27">
        <v>11.7</v>
      </c>
      <c r="G16" s="27">
        <v>11.6</v>
      </c>
      <c r="H16" s="27"/>
      <c r="I16" s="27"/>
    </row>
    <row r="17" spans="1:10" x14ac:dyDescent="0.15">
      <c r="A17" s="199"/>
      <c r="B17" s="31" t="s">
        <v>268</v>
      </c>
      <c r="C17" s="28">
        <v>24.5</v>
      </c>
      <c r="D17" s="28" t="s">
        <v>269</v>
      </c>
      <c r="E17" s="27">
        <v>23.8</v>
      </c>
      <c r="F17" s="27">
        <v>21.1</v>
      </c>
      <c r="G17" s="27">
        <v>21.3</v>
      </c>
      <c r="H17" s="27"/>
      <c r="I17" s="27"/>
    </row>
    <row r="18" spans="1:10" x14ac:dyDescent="0.15">
      <c r="A18" s="200"/>
      <c r="B18" s="31" t="s">
        <v>270</v>
      </c>
      <c r="C18" s="28" t="s">
        <v>271</v>
      </c>
      <c r="D18" s="28" t="s">
        <v>272</v>
      </c>
      <c r="E18" s="27">
        <v>2</v>
      </c>
      <c r="F18" s="27">
        <v>34</v>
      </c>
      <c r="G18" s="27">
        <v>4</v>
      </c>
      <c r="H18" s="32">
        <v>4</v>
      </c>
      <c r="I18" s="32">
        <v>3</v>
      </c>
    </row>
    <row r="19" spans="1:10" x14ac:dyDescent="0.15">
      <c r="A19" s="27"/>
      <c r="B19" s="27"/>
      <c r="C19" s="28" t="s">
        <v>273</v>
      </c>
      <c r="D19" s="28" t="s">
        <v>274</v>
      </c>
      <c r="E19" s="27" t="s">
        <v>275</v>
      </c>
      <c r="F19" s="27"/>
      <c r="G19" s="27"/>
      <c r="H19" s="27"/>
      <c r="I19" s="27"/>
    </row>
    <row r="20" spans="1:10" x14ac:dyDescent="0.15">
      <c r="A20" s="198" t="s">
        <v>276</v>
      </c>
      <c r="B20" s="27" t="s">
        <v>246</v>
      </c>
      <c r="C20" s="28">
        <v>105.2</v>
      </c>
      <c r="D20" s="28">
        <v>70.3</v>
      </c>
      <c r="E20" s="27">
        <v>75.900000000000006</v>
      </c>
      <c r="F20" s="27">
        <f>F9</f>
        <v>965.58</v>
      </c>
      <c r="G20" s="27">
        <f>G9</f>
        <v>953.4</v>
      </c>
      <c r="H20" s="32">
        <f>H9</f>
        <v>1041.9000000000001</v>
      </c>
      <c r="I20" s="32">
        <f>I9</f>
        <v>1039.7</v>
      </c>
    </row>
    <row r="21" spans="1:10" x14ac:dyDescent="0.15">
      <c r="A21" s="199"/>
      <c r="B21" s="27" t="s">
        <v>247</v>
      </c>
      <c r="C21" s="28">
        <v>20.7</v>
      </c>
      <c r="D21" s="28">
        <v>18.600000000000001</v>
      </c>
      <c r="E21" s="27">
        <v>18.600000000000001</v>
      </c>
      <c r="F21" s="27">
        <v>22.3</v>
      </c>
      <c r="G21" s="27">
        <v>22.6</v>
      </c>
      <c r="H21" s="32">
        <v>22.2</v>
      </c>
      <c r="I21" s="32">
        <v>22.9</v>
      </c>
    </row>
    <row r="22" spans="1:10" x14ac:dyDescent="0.15">
      <c r="A22" s="199"/>
      <c r="B22" s="27" t="s">
        <v>248</v>
      </c>
      <c r="C22" s="28">
        <v>5.1760000000000002</v>
      </c>
      <c r="D22" s="28">
        <v>3.6</v>
      </c>
      <c r="E22" s="27">
        <v>3.9079999999999999</v>
      </c>
      <c r="F22" s="27">
        <v>43.6</v>
      </c>
      <c r="G22" s="27">
        <v>43.8</v>
      </c>
      <c r="H22" s="32">
        <v>47.3</v>
      </c>
      <c r="I22" s="32">
        <v>47.3</v>
      </c>
    </row>
    <row r="23" spans="1:10" x14ac:dyDescent="0.15">
      <c r="A23" s="199"/>
      <c r="B23" s="27" t="s">
        <v>249</v>
      </c>
      <c r="C23" s="28">
        <v>107.1</v>
      </c>
      <c r="D23" s="28">
        <v>67</v>
      </c>
      <c r="E23" s="27">
        <v>72.7</v>
      </c>
      <c r="F23" s="27">
        <f>F22*F21</f>
        <v>972.28000000000009</v>
      </c>
      <c r="G23" s="27">
        <f>G22*G21</f>
        <v>989.88</v>
      </c>
      <c r="H23" s="32">
        <v>1050.0999999999999</v>
      </c>
      <c r="I23" s="32">
        <v>1083.2</v>
      </c>
    </row>
    <row r="24" spans="1:10" x14ac:dyDescent="0.15">
      <c r="A24" s="199"/>
      <c r="B24" s="27" t="s">
        <v>253</v>
      </c>
      <c r="C24" s="28">
        <v>101.8</v>
      </c>
      <c r="D24" s="28">
        <v>95.3</v>
      </c>
      <c r="E24" s="27">
        <v>95.8</v>
      </c>
      <c r="F24" s="27">
        <v>100</v>
      </c>
      <c r="G24" s="27">
        <v>103.8</v>
      </c>
      <c r="H24" s="32">
        <v>92.9</v>
      </c>
      <c r="I24" s="32">
        <v>96</v>
      </c>
    </row>
    <row r="25" spans="1:10" x14ac:dyDescent="0.15">
      <c r="A25" s="199"/>
      <c r="B25" s="31" t="s">
        <v>277</v>
      </c>
      <c r="C25" s="28">
        <v>1</v>
      </c>
      <c r="D25" s="28">
        <v>2</v>
      </c>
      <c r="E25" s="27">
        <v>2</v>
      </c>
      <c r="F25" s="27">
        <v>0</v>
      </c>
      <c r="G25" s="27">
        <v>0</v>
      </c>
      <c r="H25" s="32">
        <v>0</v>
      </c>
      <c r="I25" s="32">
        <v>0</v>
      </c>
    </row>
    <row r="26" spans="1:10" x14ac:dyDescent="0.15">
      <c r="A26" s="199"/>
      <c r="B26" s="31" t="s">
        <v>278</v>
      </c>
      <c r="C26" s="28"/>
      <c r="D26" s="28"/>
      <c r="E26" s="27"/>
      <c r="F26" s="27">
        <v>1.5</v>
      </c>
      <c r="G26" s="27">
        <v>1.5</v>
      </c>
      <c r="H26" s="32">
        <v>1.7</v>
      </c>
      <c r="I26" s="32">
        <v>1.6</v>
      </c>
    </row>
    <row r="27" spans="1:10" x14ac:dyDescent="0.15">
      <c r="A27" s="199"/>
      <c r="B27" s="31" t="s">
        <v>279</v>
      </c>
      <c r="C27" s="28"/>
      <c r="D27" s="28"/>
      <c r="E27" s="27"/>
      <c r="F27" s="27">
        <v>0.3</v>
      </c>
      <c r="G27" s="27">
        <v>0.3</v>
      </c>
      <c r="H27" s="32">
        <v>0.3</v>
      </c>
      <c r="I27" s="32">
        <v>0.3</v>
      </c>
    </row>
    <row r="28" spans="1:10" x14ac:dyDescent="0.15">
      <c r="A28" s="200"/>
      <c r="B28" s="31" t="s">
        <v>270</v>
      </c>
      <c r="C28" s="28" t="s">
        <v>280</v>
      </c>
      <c r="D28" s="28" t="s">
        <v>281</v>
      </c>
      <c r="E28" s="32">
        <v>32</v>
      </c>
      <c r="F28" s="27">
        <v>32</v>
      </c>
      <c r="G28" s="27">
        <v>33</v>
      </c>
      <c r="H28" s="32">
        <v>14</v>
      </c>
      <c r="I28" s="32">
        <v>14</v>
      </c>
    </row>
    <row r="29" spans="1:10" x14ac:dyDescent="0.15">
      <c r="A29" s="198" t="s">
        <v>282</v>
      </c>
      <c r="B29" s="31" t="s">
        <v>283</v>
      </c>
      <c r="C29" s="28"/>
      <c r="D29" s="28"/>
      <c r="E29" s="32"/>
      <c r="F29" s="27">
        <v>0.55000000000000004</v>
      </c>
      <c r="G29" s="27">
        <v>0.55000000000000004</v>
      </c>
      <c r="H29" s="32">
        <v>0.55000000000000004</v>
      </c>
      <c r="I29" s="32">
        <v>0.55000000000000004</v>
      </c>
    </row>
    <row r="30" spans="1:10" x14ac:dyDescent="0.15">
      <c r="A30" s="199"/>
      <c r="B30" s="31" t="s">
        <v>284</v>
      </c>
      <c r="C30" s="28"/>
      <c r="D30" s="28"/>
      <c r="E30" s="32"/>
      <c r="F30" s="27">
        <v>43.6</v>
      </c>
      <c r="G30" s="27">
        <v>43.8</v>
      </c>
      <c r="H30" s="32">
        <v>47.3</v>
      </c>
      <c r="I30" s="32">
        <v>47.3</v>
      </c>
    </row>
    <row r="31" spans="1:10" x14ac:dyDescent="0.15">
      <c r="A31" s="199"/>
      <c r="B31" s="31" t="s">
        <v>248</v>
      </c>
      <c r="C31" s="28"/>
      <c r="D31" s="28"/>
      <c r="E31" s="32"/>
      <c r="F31" s="27">
        <v>43.6</v>
      </c>
      <c r="G31" s="27">
        <v>44.2</v>
      </c>
      <c r="H31" s="32">
        <v>49.7</v>
      </c>
      <c r="I31" s="32">
        <v>49</v>
      </c>
      <c r="J31" s="37"/>
    </row>
    <row r="32" spans="1:10" x14ac:dyDescent="0.15">
      <c r="A32" s="199"/>
      <c r="B32" s="31" t="s">
        <v>270</v>
      </c>
      <c r="C32" s="28"/>
      <c r="D32" s="28"/>
      <c r="E32" s="32"/>
      <c r="F32" s="27">
        <v>247</v>
      </c>
      <c r="G32" s="27">
        <v>1</v>
      </c>
      <c r="H32" s="32">
        <v>12</v>
      </c>
      <c r="I32" s="32">
        <v>4</v>
      </c>
    </row>
    <row r="33" spans="1:9" x14ac:dyDescent="0.15">
      <c r="A33" s="199"/>
      <c r="B33" s="31" t="s">
        <v>285</v>
      </c>
      <c r="C33" s="28"/>
      <c r="D33" s="28"/>
      <c r="E33" s="32"/>
      <c r="F33" s="27">
        <v>20</v>
      </c>
      <c r="G33" s="27">
        <v>20</v>
      </c>
      <c r="H33" s="32">
        <v>19.399999999999999</v>
      </c>
      <c r="I33" s="32">
        <v>20.2</v>
      </c>
    </row>
    <row r="34" spans="1:9" x14ac:dyDescent="0.15">
      <c r="A34" s="199"/>
      <c r="B34" s="31" t="s">
        <v>286</v>
      </c>
      <c r="C34" s="28"/>
      <c r="D34" s="28"/>
      <c r="E34" s="32"/>
      <c r="F34" s="27">
        <f>F33*F31</f>
        <v>872</v>
      </c>
      <c r="G34" s="27">
        <f>G33*G31</f>
        <v>884</v>
      </c>
      <c r="H34" s="32">
        <v>964.2</v>
      </c>
      <c r="I34" s="32">
        <v>989.8</v>
      </c>
    </row>
    <row r="35" spans="1:9" x14ac:dyDescent="0.15">
      <c r="A35" s="200"/>
      <c r="B35" s="31" t="s">
        <v>287</v>
      </c>
      <c r="C35" s="28"/>
      <c r="D35" s="28"/>
      <c r="E35" s="32"/>
      <c r="F35" s="27">
        <v>89.7</v>
      </c>
      <c r="G35" s="27">
        <v>89.3</v>
      </c>
      <c r="H35" s="32">
        <v>91.8</v>
      </c>
      <c r="I35" s="32">
        <v>91.4</v>
      </c>
    </row>
    <row r="36" spans="1:9" x14ac:dyDescent="0.15">
      <c r="A36" s="27"/>
      <c r="B36" s="27"/>
      <c r="C36" s="28" t="s">
        <v>288</v>
      </c>
      <c r="D36" s="28" t="s">
        <v>289</v>
      </c>
      <c r="E36" s="27"/>
      <c r="F36" s="197"/>
      <c r="G36" s="197"/>
      <c r="H36" s="27"/>
      <c r="I36" s="27"/>
    </row>
    <row r="37" spans="1:9" x14ac:dyDescent="0.15">
      <c r="A37" s="198" t="s">
        <v>290</v>
      </c>
      <c r="B37" s="27" t="s">
        <v>240</v>
      </c>
      <c r="C37" s="197">
        <v>25.5</v>
      </c>
      <c r="D37" s="197"/>
      <c r="E37" s="30"/>
      <c r="F37" s="197">
        <v>23.1</v>
      </c>
      <c r="G37" s="197"/>
      <c r="H37" s="197">
        <v>23.1</v>
      </c>
      <c r="I37" s="197"/>
    </row>
    <row r="38" spans="1:9" x14ac:dyDescent="0.15">
      <c r="A38" s="199"/>
      <c r="B38" s="27" t="s">
        <v>242</v>
      </c>
      <c r="C38" s="197">
        <v>5524</v>
      </c>
      <c r="D38" s="197"/>
      <c r="E38" s="30"/>
      <c r="F38" s="197">
        <v>4634</v>
      </c>
      <c r="G38" s="197"/>
      <c r="H38" s="197">
        <v>4634</v>
      </c>
      <c r="I38" s="197"/>
    </row>
    <row r="39" spans="1:9" x14ac:dyDescent="0.15">
      <c r="A39" s="199"/>
      <c r="B39" s="27" t="s">
        <v>243</v>
      </c>
      <c r="C39" s="197">
        <v>8.01</v>
      </c>
      <c r="D39" s="197"/>
      <c r="E39" s="30"/>
      <c r="F39" s="197">
        <v>65.3</v>
      </c>
      <c r="G39" s="197"/>
      <c r="H39" s="197">
        <v>65.3</v>
      </c>
      <c r="I39" s="197"/>
    </row>
    <row r="40" spans="1:9" x14ac:dyDescent="0.15">
      <c r="A40" s="199"/>
      <c r="B40" s="27" t="s">
        <v>245</v>
      </c>
      <c r="C40" s="197">
        <v>0.95</v>
      </c>
      <c r="D40" s="197"/>
      <c r="E40" s="30"/>
      <c r="F40" s="197">
        <v>1.1000000000000001</v>
      </c>
      <c r="G40" s="197"/>
      <c r="H40" s="197">
        <v>1.1000000000000001</v>
      </c>
      <c r="I40" s="197"/>
    </row>
    <row r="41" spans="1:9" x14ac:dyDescent="0.15">
      <c r="A41" s="199"/>
      <c r="B41" s="27" t="s">
        <v>246</v>
      </c>
      <c r="C41" s="197">
        <v>246.1</v>
      </c>
      <c r="D41" s="197"/>
      <c r="E41" s="27"/>
      <c r="F41" s="197">
        <v>1745.42</v>
      </c>
      <c r="G41" s="197"/>
      <c r="H41" s="197">
        <v>1993.7</v>
      </c>
      <c r="I41" s="197"/>
    </row>
    <row r="42" spans="1:9" x14ac:dyDescent="0.15">
      <c r="A42" s="199"/>
      <c r="B42" s="27" t="s">
        <v>247</v>
      </c>
      <c r="C42" s="28">
        <v>4.0999999999999996</v>
      </c>
      <c r="D42" s="28" t="s">
        <v>291</v>
      </c>
      <c r="E42" s="27"/>
      <c r="F42" s="197">
        <v>3.7</v>
      </c>
      <c r="G42" s="197"/>
      <c r="H42" s="197">
        <v>3.7</v>
      </c>
      <c r="I42" s="197"/>
    </row>
    <row r="43" spans="1:9" x14ac:dyDescent="0.15">
      <c r="A43" s="199"/>
      <c r="B43" s="27" t="s">
        <v>248</v>
      </c>
      <c r="C43" s="28">
        <v>22.609000000000002</v>
      </c>
      <c r="D43" s="28" t="s">
        <v>292</v>
      </c>
      <c r="E43" s="27"/>
      <c r="F43" s="197">
        <v>469</v>
      </c>
      <c r="G43" s="197"/>
      <c r="H43" s="197">
        <v>517.1</v>
      </c>
      <c r="I43" s="197"/>
    </row>
    <row r="44" spans="1:9" x14ac:dyDescent="0.15">
      <c r="A44" s="199"/>
      <c r="B44" s="27" t="s">
        <v>249</v>
      </c>
      <c r="C44" s="28">
        <v>92.7</v>
      </c>
      <c r="D44" s="28" t="s">
        <v>293</v>
      </c>
      <c r="E44" s="27"/>
      <c r="F44" s="197">
        <f>F43*F42</f>
        <v>1735.3000000000002</v>
      </c>
      <c r="G44" s="197"/>
      <c r="H44" s="197">
        <v>1913.3</v>
      </c>
      <c r="I44" s="197"/>
    </row>
    <row r="45" spans="1:9" x14ac:dyDescent="0.15">
      <c r="A45" s="199"/>
      <c r="B45" s="27" t="s">
        <v>253</v>
      </c>
      <c r="C45" s="201" t="s">
        <v>294</v>
      </c>
      <c r="D45" s="201"/>
      <c r="E45" s="27"/>
      <c r="F45" s="197">
        <v>99.4</v>
      </c>
      <c r="G45" s="197"/>
      <c r="H45" s="197">
        <v>96</v>
      </c>
      <c r="I45" s="197"/>
    </row>
    <row r="46" spans="1:9" x14ac:dyDescent="0.15">
      <c r="A46" s="199"/>
      <c r="B46" s="29" t="s">
        <v>250</v>
      </c>
      <c r="C46" s="201" t="s">
        <v>295</v>
      </c>
      <c r="D46" s="201"/>
      <c r="E46" s="27"/>
      <c r="F46" s="197">
        <v>4.3</v>
      </c>
      <c r="G46" s="197"/>
      <c r="H46" s="197"/>
      <c r="I46" s="197"/>
    </row>
    <row r="47" spans="1:9" x14ac:dyDescent="0.15">
      <c r="A47" s="199"/>
      <c r="B47" s="29" t="s">
        <v>251</v>
      </c>
      <c r="C47" s="201" t="s">
        <v>296</v>
      </c>
      <c r="D47" s="201"/>
      <c r="E47" s="27"/>
      <c r="F47" s="197">
        <v>7</v>
      </c>
      <c r="G47" s="197"/>
      <c r="H47" s="197"/>
      <c r="I47" s="197"/>
    </row>
    <row r="48" spans="1:9" x14ac:dyDescent="0.15">
      <c r="A48" s="199"/>
      <c r="B48" s="29" t="s">
        <v>257</v>
      </c>
      <c r="C48" s="201" t="s">
        <v>297</v>
      </c>
      <c r="D48" s="201"/>
      <c r="E48" s="27"/>
      <c r="F48" s="197">
        <v>19.600000000000001</v>
      </c>
      <c r="G48" s="197"/>
      <c r="H48" s="197"/>
      <c r="I48" s="197"/>
    </row>
    <row r="49" spans="1:9" x14ac:dyDescent="0.15">
      <c r="A49" s="199"/>
      <c r="B49" s="29" t="s">
        <v>298</v>
      </c>
      <c r="C49" s="201" t="s">
        <v>299</v>
      </c>
      <c r="D49" s="201"/>
      <c r="E49" s="27"/>
      <c r="F49" s="197"/>
      <c r="G49" s="197"/>
      <c r="H49" s="197"/>
      <c r="I49" s="197"/>
    </row>
    <row r="50" spans="1:9" x14ac:dyDescent="0.15">
      <c r="A50" s="200"/>
      <c r="B50" s="29" t="s">
        <v>270</v>
      </c>
      <c r="C50" s="33" t="s">
        <v>300</v>
      </c>
      <c r="D50" s="33" t="s">
        <v>300</v>
      </c>
      <c r="E50" s="27"/>
      <c r="F50" s="197">
        <v>32</v>
      </c>
      <c r="G50" s="197"/>
      <c r="H50" s="197">
        <v>13</v>
      </c>
      <c r="I50" s="197"/>
    </row>
    <row r="51" spans="1:9" x14ac:dyDescent="0.15">
      <c r="A51" s="27"/>
      <c r="B51" s="27"/>
      <c r="C51" s="28" t="s">
        <v>301</v>
      </c>
      <c r="D51" s="28" t="s">
        <v>302</v>
      </c>
      <c r="E51" s="27"/>
      <c r="F51" s="27"/>
      <c r="G51" s="27"/>
      <c r="H51" s="27"/>
      <c r="I51" s="27"/>
    </row>
    <row r="52" spans="1:9" x14ac:dyDescent="0.15">
      <c r="A52" s="198" t="s">
        <v>303</v>
      </c>
      <c r="B52" s="27" t="s">
        <v>240</v>
      </c>
      <c r="C52" s="197">
        <v>21.5</v>
      </c>
      <c r="D52" s="197"/>
      <c r="E52" s="30"/>
      <c r="F52" s="197">
        <v>18.2</v>
      </c>
      <c r="G52" s="197"/>
      <c r="H52" s="197">
        <v>18.2</v>
      </c>
      <c r="I52" s="197"/>
    </row>
    <row r="53" spans="1:9" x14ac:dyDescent="0.15">
      <c r="A53" s="199"/>
      <c r="B53" s="27" t="s">
        <v>242</v>
      </c>
      <c r="C53" s="197">
        <v>6331</v>
      </c>
      <c r="D53" s="197"/>
      <c r="E53" s="30"/>
      <c r="F53" s="197">
        <v>5533</v>
      </c>
      <c r="G53" s="197"/>
      <c r="H53" s="197">
        <v>5533</v>
      </c>
      <c r="I53" s="197"/>
    </row>
    <row r="54" spans="1:9" x14ac:dyDescent="0.15">
      <c r="A54" s="199"/>
      <c r="B54" s="27" t="s">
        <v>243</v>
      </c>
      <c r="C54" s="197">
        <v>3.31</v>
      </c>
      <c r="D54" s="197"/>
      <c r="E54" s="30"/>
      <c r="F54" s="197">
        <v>51.4</v>
      </c>
      <c r="G54" s="197"/>
      <c r="H54" s="197">
        <v>51.4</v>
      </c>
      <c r="I54" s="197"/>
    </row>
    <row r="55" spans="1:9" x14ac:dyDescent="0.15">
      <c r="A55" s="199"/>
      <c r="B55" s="27" t="s">
        <v>245</v>
      </c>
      <c r="C55" s="197">
        <v>0.99</v>
      </c>
      <c r="D55" s="197"/>
      <c r="E55" s="30"/>
      <c r="F55" s="197">
        <v>0.93</v>
      </c>
      <c r="G55" s="197"/>
      <c r="H55" s="197">
        <v>0.93</v>
      </c>
      <c r="I55" s="197"/>
    </row>
    <row r="56" spans="1:9" x14ac:dyDescent="0.15">
      <c r="A56" s="199"/>
      <c r="B56" s="27" t="s">
        <v>246</v>
      </c>
      <c r="C56" s="28">
        <v>117.4</v>
      </c>
      <c r="D56" s="28" t="s">
        <v>304</v>
      </c>
      <c r="E56" s="27"/>
      <c r="F56" s="197">
        <v>1735.3</v>
      </c>
      <c r="G56" s="197"/>
      <c r="H56" s="197">
        <v>1710.5</v>
      </c>
      <c r="I56" s="197"/>
    </row>
    <row r="57" spans="1:9" x14ac:dyDescent="0.15">
      <c r="A57" s="199"/>
      <c r="B57" s="27" t="s">
        <v>247</v>
      </c>
      <c r="C57" s="28" t="s">
        <v>305</v>
      </c>
      <c r="D57" s="28" t="s">
        <v>306</v>
      </c>
      <c r="E57" s="27"/>
      <c r="F57" s="197">
        <v>31.5</v>
      </c>
      <c r="G57" s="197"/>
      <c r="H57" s="197">
        <v>30.1</v>
      </c>
      <c r="I57" s="197"/>
    </row>
    <row r="58" spans="1:9" x14ac:dyDescent="0.15">
      <c r="A58" s="199"/>
      <c r="B58" s="27" t="s">
        <v>248</v>
      </c>
      <c r="C58" s="28" t="s">
        <v>307</v>
      </c>
      <c r="D58" s="28" t="s">
        <v>308</v>
      </c>
      <c r="E58" s="27"/>
      <c r="F58" s="197">
        <v>33.700000000000003</v>
      </c>
      <c r="G58" s="197"/>
      <c r="H58" s="197">
        <v>33.4</v>
      </c>
      <c r="I58" s="197"/>
    </row>
    <row r="59" spans="1:9" x14ac:dyDescent="0.15">
      <c r="A59" s="199"/>
      <c r="B59" s="27" t="s">
        <v>249</v>
      </c>
      <c r="C59" s="28" t="s">
        <v>309</v>
      </c>
      <c r="D59" s="28" t="s">
        <v>310</v>
      </c>
      <c r="E59" s="27"/>
      <c r="F59" s="197">
        <f>F58*F57</f>
        <v>1061.5500000000002</v>
      </c>
      <c r="G59" s="197"/>
      <c r="H59" s="197">
        <v>1005.3</v>
      </c>
      <c r="I59" s="197"/>
    </row>
    <row r="60" spans="1:9" x14ac:dyDescent="0.15">
      <c r="A60" s="199"/>
      <c r="B60" s="27" t="s">
        <v>253</v>
      </c>
      <c r="C60" s="28" t="s">
        <v>311</v>
      </c>
      <c r="D60" s="28" t="s">
        <v>312</v>
      </c>
      <c r="E60" s="27"/>
      <c r="F60" s="197">
        <v>61.2</v>
      </c>
      <c r="G60" s="197"/>
      <c r="H60" s="197">
        <v>58.8</v>
      </c>
      <c r="I60" s="197"/>
    </row>
    <row r="61" spans="1:9" x14ac:dyDescent="0.15">
      <c r="A61" s="199"/>
      <c r="B61" s="29" t="s">
        <v>250</v>
      </c>
      <c r="C61" s="28" t="s">
        <v>313</v>
      </c>
      <c r="D61" s="28" t="s">
        <v>313</v>
      </c>
      <c r="E61" s="27"/>
      <c r="F61" s="197">
        <v>4.8</v>
      </c>
      <c r="G61" s="197"/>
      <c r="H61" s="197"/>
      <c r="I61" s="197"/>
    </row>
    <row r="62" spans="1:9" x14ac:dyDescent="0.15">
      <c r="A62" s="199"/>
      <c r="B62" s="29" t="s">
        <v>251</v>
      </c>
      <c r="C62" s="28" t="s">
        <v>314</v>
      </c>
      <c r="D62" s="28" t="s">
        <v>315</v>
      </c>
      <c r="E62" s="27"/>
      <c r="F62" s="197">
        <v>6.1</v>
      </c>
      <c r="G62" s="197"/>
      <c r="H62" s="197"/>
      <c r="I62" s="197"/>
    </row>
    <row r="63" spans="1:9" x14ac:dyDescent="0.15">
      <c r="A63" s="199"/>
      <c r="B63" s="29" t="s">
        <v>257</v>
      </c>
      <c r="C63" s="28" t="s">
        <v>316</v>
      </c>
      <c r="D63" s="28" t="s">
        <v>317</v>
      </c>
      <c r="E63" s="27"/>
      <c r="F63" s="197">
        <v>20.6</v>
      </c>
      <c r="G63" s="197"/>
      <c r="H63" s="197"/>
      <c r="I63" s="197"/>
    </row>
    <row r="64" spans="1:9" x14ac:dyDescent="0.15">
      <c r="A64" s="199"/>
      <c r="B64" s="29" t="s">
        <v>260</v>
      </c>
      <c r="C64" s="28" t="s">
        <v>318</v>
      </c>
      <c r="D64" s="28" t="s">
        <v>319</v>
      </c>
      <c r="E64" s="27"/>
      <c r="F64" s="197"/>
      <c r="G64" s="197"/>
      <c r="H64" s="197"/>
      <c r="I64" s="197"/>
    </row>
    <row r="65" spans="1:9" x14ac:dyDescent="0.15">
      <c r="A65" s="199"/>
      <c r="B65" s="29" t="s">
        <v>263</v>
      </c>
      <c r="C65" s="28" t="s">
        <v>295</v>
      </c>
      <c r="D65" s="28" t="s">
        <v>313</v>
      </c>
      <c r="E65" s="27"/>
      <c r="F65" s="197">
        <v>7</v>
      </c>
      <c r="G65" s="197"/>
      <c r="H65" s="197"/>
      <c r="I65" s="197"/>
    </row>
    <row r="66" spans="1:9" x14ac:dyDescent="0.15">
      <c r="A66" s="199"/>
      <c r="B66" s="29" t="s">
        <v>266</v>
      </c>
      <c r="C66" s="28" t="s">
        <v>320</v>
      </c>
      <c r="D66" s="28" t="s">
        <v>321</v>
      </c>
      <c r="E66" s="27"/>
      <c r="F66" s="197">
        <v>31.2</v>
      </c>
      <c r="G66" s="197"/>
      <c r="H66" s="197"/>
      <c r="I66" s="197"/>
    </row>
    <row r="67" spans="1:9" x14ac:dyDescent="0.15">
      <c r="A67" s="199"/>
      <c r="B67" s="31" t="s">
        <v>268</v>
      </c>
      <c r="C67" s="28" t="s">
        <v>322</v>
      </c>
      <c r="D67" s="28" t="s">
        <v>323</v>
      </c>
      <c r="E67" s="27"/>
      <c r="F67" s="197">
        <v>22.3</v>
      </c>
      <c r="G67" s="197"/>
      <c r="H67" s="197"/>
      <c r="I67" s="197"/>
    </row>
    <row r="68" spans="1:9" x14ac:dyDescent="0.15">
      <c r="A68" s="200"/>
      <c r="B68" s="31" t="s">
        <v>270</v>
      </c>
      <c r="C68" s="28" t="s">
        <v>324</v>
      </c>
      <c r="D68" s="204"/>
      <c r="E68" s="27"/>
      <c r="F68" s="197">
        <v>31</v>
      </c>
      <c r="G68" s="197"/>
      <c r="H68" s="197" t="s">
        <v>325</v>
      </c>
      <c r="I68" s="197"/>
    </row>
    <row r="69" spans="1:9" x14ac:dyDescent="0.15">
      <c r="A69" s="27"/>
      <c r="B69" s="27"/>
      <c r="C69" s="28" t="s">
        <v>326</v>
      </c>
      <c r="D69" s="205"/>
      <c r="E69" s="27"/>
      <c r="F69" s="27"/>
      <c r="G69" s="27"/>
      <c r="H69" s="27"/>
      <c r="I69" s="27"/>
    </row>
    <row r="70" spans="1:9" x14ac:dyDescent="0.15">
      <c r="A70" s="198" t="s">
        <v>327</v>
      </c>
      <c r="B70" s="27" t="s">
        <v>246</v>
      </c>
      <c r="C70" s="28" t="s">
        <v>328</v>
      </c>
      <c r="D70" s="205"/>
      <c r="E70" s="27"/>
      <c r="F70" s="197">
        <v>1061.55</v>
      </c>
      <c r="G70" s="197"/>
      <c r="H70" s="197">
        <v>1020.4</v>
      </c>
      <c r="I70" s="197"/>
    </row>
    <row r="71" spans="1:9" x14ac:dyDescent="0.15">
      <c r="A71" s="199"/>
      <c r="B71" s="27" t="s">
        <v>284</v>
      </c>
      <c r="C71" s="28" t="s">
        <v>329</v>
      </c>
      <c r="D71" s="205"/>
      <c r="E71" s="27"/>
      <c r="F71" s="197" t="s">
        <v>330</v>
      </c>
      <c r="G71" s="197"/>
      <c r="H71" s="197" t="s">
        <v>331</v>
      </c>
      <c r="I71" s="197"/>
    </row>
    <row r="72" spans="1:9" x14ac:dyDescent="0.15">
      <c r="A72" s="199"/>
      <c r="B72" s="27" t="s">
        <v>247</v>
      </c>
      <c r="C72" s="28" t="s">
        <v>256</v>
      </c>
      <c r="D72" s="205"/>
      <c r="E72" s="27"/>
      <c r="F72" s="197">
        <v>7.4</v>
      </c>
      <c r="G72" s="197"/>
      <c r="H72" s="197">
        <v>7.2</v>
      </c>
      <c r="I72" s="197"/>
    </row>
    <row r="73" spans="1:9" x14ac:dyDescent="0.15">
      <c r="A73" s="199"/>
      <c r="B73" s="27" t="s">
        <v>248</v>
      </c>
      <c r="C73" s="28" t="s">
        <v>332</v>
      </c>
      <c r="D73" s="205"/>
      <c r="E73" s="27"/>
      <c r="F73" s="197">
        <v>139.19999999999999</v>
      </c>
      <c r="G73" s="197"/>
      <c r="H73" s="197">
        <v>133.80000000000001</v>
      </c>
      <c r="I73" s="197"/>
    </row>
    <row r="74" spans="1:9" x14ac:dyDescent="0.15">
      <c r="A74" s="199"/>
      <c r="B74" s="27" t="s">
        <v>249</v>
      </c>
      <c r="C74" s="28" t="s">
        <v>333</v>
      </c>
      <c r="D74" s="205"/>
      <c r="E74" s="27"/>
      <c r="F74" s="197">
        <f>F73*F72</f>
        <v>1030.08</v>
      </c>
      <c r="G74" s="197"/>
      <c r="H74" s="197">
        <v>963.4</v>
      </c>
      <c r="I74" s="197"/>
    </row>
    <row r="75" spans="1:9" x14ac:dyDescent="0.15">
      <c r="A75" s="199"/>
      <c r="B75" s="27" t="s">
        <v>253</v>
      </c>
      <c r="C75" s="28" t="s">
        <v>334</v>
      </c>
      <c r="D75" s="205"/>
      <c r="E75" s="27"/>
      <c r="F75" s="197">
        <v>97</v>
      </c>
      <c r="G75" s="197"/>
      <c r="H75" s="197">
        <v>94.4</v>
      </c>
      <c r="I75" s="197"/>
    </row>
    <row r="76" spans="1:9" x14ac:dyDescent="0.15">
      <c r="A76" s="199"/>
      <c r="B76" s="27" t="s">
        <v>335</v>
      </c>
      <c r="C76" s="28" t="s">
        <v>336</v>
      </c>
      <c r="D76" s="205"/>
      <c r="E76" s="27"/>
      <c r="F76" s="197">
        <v>0.51</v>
      </c>
      <c r="G76" s="197"/>
      <c r="H76" s="197">
        <v>0.51</v>
      </c>
      <c r="I76" s="197"/>
    </row>
    <row r="77" spans="1:9" x14ac:dyDescent="0.15">
      <c r="A77" s="200"/>
      <c r="B77" s="27" t="s">
        <v>270</v>
      </c>
      <c r="C77" s="28" t="s">
        <v>337</v>
      </c>
      <c r="D77" s="205"/>
      <c r="E77" s="27"/>
      <c r="F77" s="197">
        <v>755</v>
      </c>
      <c r="G77" s="197"/>
      <c r="H77" s="197" t="s">
        <v>338</v>
      </c>
      <c r="I77" s="197"/>
    </row>
    <row r="78" spans="1:9" x14ac:dyDescent="0.15">
      <c r="A78" s="27"/>
      <c r="B78" s="27"/>
      <c r="C78" s="28" t="s">
        <v>339</v>
      </c>
      <c r="D78" s="205"/>
      <c r="E78" s="27"/>
      <c r="F78" s="197"/>
      <c r="G78" s="197"/>
      <c r="H78" s="197"/>
      <c r="I78" s="197"/>
    </row>
    <row r="79" spans="1:9" x14ac:dyDescent="0.15">
      <c r="A79" s="202" t="s">
        <v>340</v>
      </c>
      <c r="B79" s="27" t="s">
        <v>246</v>
      </c>
      <c r="C79" s="28" t="s">
        <v>341</v>
      </c>
      <c r="D79" s="205"/>
      <c r="E79" s="27"/>
      <c r="F79" s="197">
        <v>1030.8</v>
      </c>
      <c r="G79" s="197"/>
      <c r="H79" s="197">
        <v>911.5</v>
      </c>
      <c r="I79" s="197"/>
    </row>
    <row r="80" spans="1:9" x14ac:dyDescent="0.15">
      <c r="A80" s="203"/>
      <c r="B80" s="27" t="s">
        <v>247</v>
      </c>
      <c r="C80" s="28" t="s">
        <v>342</v>
      </c>
      <c r="D80" s="205"/>
      <c r="E80" s="27"/>
      <c r="F80" s="197">
        <v>56.8</v>
      </c>
      <c r="G80" s="197"/>
      <c r="H80" s="197">
        <v>54.4</v>
      </c>
      <c r="I80" s="197"/>
    </row>
    <row r="81" spans="1:9" x14ac:dyDescent="0.15">
      <c r="A81" s="203"/>
      <c r="B81" s="27" t="s">
        <v>248</v>
      </c>
      <c r="C81" s="28" t="s">
        <v>343</v>
      </c>
      <c r="D81" s="205"/>
      <c r="E81" s="27"/>
      <c r="F81" s="197">
        <v>17.5</v>
      </c>
      <c r="G81" s="197"/>
      <c r="H81" s="197">
        <v>15.4</v>
      </c>
      <c r="I81" s="197"/>
    </row>
    <row r="82" spans="1:9" x14ac:dyDescent="0.15">
      <c r="A82" s="203"/>
      <c r="B82" s="34" t="s">
        <v>249</v>
      </c>
      <c r="C82" s="35" t="s">
        <v>344</v>
      </c>
      <c r="D82" s="205"/>
      <c r="E82" s="27"/>
      <c r="F82" s="197">
        <f>F81*F80</f>
        <v>994</v>
      </c>
      <c r="G82" s="197"/>
      <c r="H82" s="197">
        <v>837.8</v>
      </c>
      <c r="I82" s="197"/>
    </row>
    <row r="83" spans="1:9" x14ac:dyDescent="0.15">
      <c r="A83" s="203"/>
      <c r="B83" s="29" t="s">
        <v>253</v>
      </c>
      <c r="C83" s="36" t="s">
        <v>345</v>
      </c>
      <c r="D83" s="205"/>
      <c r="E83" s="27"/>
      <c r="F83" s="197">
        <v>96.4</v>
      </c>
      <c r="G83" s="197"/>
      <c r="H83" s="197">
        <v>91.9</v>
      </c>
      <c r="I83" s="197"/>
    </row>
    <row r="84" spans="1:9" x14ac:dyDescent="0.15">
      <c r="A84" s="203"/>
      <c r="B84" s="29" t="s">
        <v>335</v>
      </c>
      <c r="C84" s="36" t="s">
        <v>346</v>
      </c>
      <c r="D84" s="206"/>
      <c r="E84" s="27"/>
      <c r="F84" s="197">
        <v>3</v>
      </c>
      <c r="G84" s="197"/>
      <c r="H84" s="197">
        <v>3</v>
      </c>
      <c r="I84" s="197"/>
    </row>
  </sheetData>
  <mergeCells count="129">
    <mergeCell ref="H83:I83"/>
    <mergeCell ref="F84:G84"/>
    <mergeCell ref="H84:I84"/>
    <mergeCell ref="A79:A84"/>
    <mergeCell ref="F79:G79"/>
    <mergeCell ref="H79:I79"/>
    <mergeCell ref="F80:G80"/>
    <mergeCell ref="H80:I80"/>
    <mergeCell ref="F81:G81"/>
    <mergeCell ref="H81:I81"/>
    <mergeCell ref="F82:G82"/>
    <mergeCell ref="H82:I82"/>
    <mergeCell ref="F83:G83"/>
    <mergeCell ref="D68:D84"/>
    <mergeCell ref="F68:G68"/>
    <mergeCell ref="H68:I68"/>
    <mergeCell ref="A70:A77"/>
    <mergeCell ref="F70:G70"/>
    <mergeCell ref="H70:I70"/>
    <mergeCell ref="F71:G71"/>
    <mergeCell ref="H71:I71"/>
    <mergeCell ref="F72:G72"/>
    <mergeCell ref="H72:I72"/>
    <mergeCell ref="A52:A68"/>
    <mergeCell ref="F76:G76"/>
    <mergeCell ref="H76:I76"/>
    <mergeCell ref="F77:G77"/>
    <mergeCell ref="H77:I77"/>
    <mergeCell ref="F78:G78"/>
    <mergeCell ref="H78:I78"/>
    <mergeCell ref="F73:G73"/>
    <mergeCell ref="H73:I73"/>
    <mergeCell ref="F74:G74"/>
    <mergeCell ref="H74:I74"/>
    <mergeCell ref="F75:G75"/>
    <mergeCell ref="H75:I75"/>
    <mergeCell ref="F65:G65"/>
    <mergeCell ref="H65:I65"/>
    <mergeCell ref="F66:G66"/>
    <mergeCell ref="H66:I66"/>
    <mergeCell ref="F67:G67"/>
    <mergeCell ref="H67:I67"/>
    <mergeCell ref="F62:G62"/>
    <mergeCell ref="H62:I62"/>
    <mergeCell ref="F63:G63"/>
    <mergeCell ref="H63:I63"/>
    <mergeCell ref="F64:G64"/>
    <mergeCell ref="H64:I64"/>
    <mergeCell ref="F59:G59"/>
    <mergeCell ref="H59:I59"/>
    <mergeCell ref="F60:G60"/>
    <mergeCell ref="H60:I60"/>
    <mergeCell ref="F61:G61"/>
    <mergeCell ref="H61:I61"/>
    <mergeCell ref="F56:G56"/>
    <mergeCell ref="H56:I56"/>
    <mergeCell ref="F57:G57"/>
    <mergeCell ref="H57:I57"/>
    <mergeCell ref="F58:G58"/>
    <mergeCell ref="H58:I58"/>
    <mergeCell ref="F53:G53"/>
    <mergeCell ref="H53:I53"/>
    <mergeCell ref="C54:D54"/>
    <mergeCell ref="F54:G54"/>
    <mergeCell ref="H54:I54"/>
    <mergeCell ref="C55:D55"/>
    <mergeCell ref="F55:G55"/>
    <mergeCell ref="H55:I55"/>
    <mergeCell ref="C49:D49"/>
    <mergeCell ref="F49:G49"/>
    <mergeCell ref="H49:I49"/>
    <mergeCell ref="F50:G50"/>
    <mergeCell ref="H50:I50"/>
    <mergeCell ref="C52:D52"/>
    <mergeCell ref="F52:G52"/>
    <mergeCell ref="H52:I52"/>
    <mergeCell ref="C53:D53"/>
    <mergeCell ref="C47:D47"/>
    <mergeCell ref="F47:G47"/>
    <mergeCell ref="H47:I47"/>
    <mergeCell ref="C48:D48"/>
    <mergeCell ref="F48:G48"/>
    <mergeCell ref="H48:I48"/>
    <mergeCell ref="C45:D45"/>
    <mergeCell ref="F45:G45"/>
    <mergeCell ref="H45:I45"/>
    <mergeCell ref="C46:D46"/>
    <mergeCell ref="F46:G46"/>
    <mergeCell ref="H46:I46"/>
    <mergeCell ref="A29:A35"/>
    <mergeCell ref="F36:G36"/>
    <mergeCell ref="A37:A50"/>
    <mergeCell ref="C37:D37"/>
    <mergeCell ref="F37:G37"/>
    <mergeCell ref="H37:I37"/>
    <mergeCell ref="C38:D38"/>
    <mergeCell ref="F38:G38"/>
    <mergeCell ref="H38:I38"/>
    <mergeCell ref="C39:D39"/>
    <mergeCell ref="F42:G42"/>
    <mergeCell ref="H42:I42"/>
    <mergeCell ref="F43:G43"/>
    <mergeCell ref="H43:I43"/>
    <mergeCell ref="F44:G44"/>
    <mergeCell ref="H44:I44"/>
    <mergeCell ref="F39:G39"/>
    <mergeCell ref="H39:I39"/>
    <mergeCell ref="C40:D40"/>
    <mergeCell ref="F40:G40"/>
    <mergeCell ref="H40:I40"/>
    <mergeCell ref="C41:D41"/>
    <mergeCell ref="F41:G41"/>
    <mergeCell ref="H41:I41"/>
    <mergeCell ref="F4:G4"/>
    <mergeCell ref="H4:I4"/>
    <mergeCell ref="C5:E5"/>
    <mergeCell ref="F5:G5"/>
    <mergeCell ref="H5:I5"/>
    <mergeCell ref="A20:A28"/>
    <mergeCell ref="F1:G1"/>
    <mergeCell ref="H1:I1"/>
    <mergeCell ref="A2:A18"/>
    <mergeCell ref="C2:E2"/>
    <mergeCell ref="F2:G2"/>
    <mergeCell ref="H2:I2"/>
    <mergeCell ref="C3:E3"/>
    <mergeCell ref="F3:G3"/>
    <mergeCell ref="H3:I3"/>
    <mergeCell ref="C4:E4"/>
  </mergeCells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0"/>
  <sheetViews>
    <sheetView workbookViewId="0">
      <selection activeCell="I20" sqref="I20"/>
    </sheetView>
  </sheetViews>
  <sheetFormatPr defaultColWidth="9" defaultRowHeight="15" x14ac:dyDescent="0.25"/>
  <cols>
    <col min="1" max="1" width="9.375" style="106" customWidth="1"/>
    <col min="2" max="2" width="17.625" style="38" customWidth="1"/>
    <col min="3" max="3" width="7.375" style="38" customWidth="1"/>
    <col min="4" max="4" width="9.625" style="38" hidden="1" customWidth="1"/>
    <col min="5" max="5" width="9.125" style="38" customWidth="1"/>
    <col min="6" max="6" width="9" style="39"/>
    <col min="7" max="7" width="9.5" style="39" bestFit="1" customWidth="1"/>
    <col min="8" max="8" width="9.5" style="39" customWidth="1"/>
    <col min="9" max="16384" width="9" style="39"/>
  </cols>
  <sheetData>
    <row r="1" spans="1:8" ht="30" x14ac:dyDescent="0.25">
      <c r="B1" s="109"/>
      <c r="C1" s="80" t="s">
        <v>0</v>
      </c>
      <c r="D1" s="81" t="s">
        <v>419</v>
      </c>
      <c r="E1" s="57" t="s">
        <v>491</v>
      </c>
      <c r="F1" s="58" t="s">
        <v>527</v>
      </c>
      <c r="G1" s="58" t="s">
        <v>531</v>
      </c>
      <c r="H1" s="58" t="s">
        <v>536</v>
      </c>
    </row>
    <row r="2" spans="1:8" ht="15" hidden="1" customHeight="1" x14ac:dyDescent="0.25">
      <c r="A2" s="207" t="s">
        <v>538</v>
      </c>
      <c r="B2" s="109" t="s">
        <v>364</v>
      </c>
      <c r="C2" s="80" t="s">
        <v>1</v>
      </c>
      <c r="D2" s="80"/>
      <c r="E2" s="80"/>
      <c r="F2" s="58">
        <v>855.08</v>
      </c>
      <c r="G2" s="58">
        <v>836.23</v>
      </c>
      <c r="H2" s="58">
        <v>836</v>
      </c>
    </row>
    <row r="3" spans="1:8" s="77" customFormat="1" ht="15" hidden="1" customHeight="1" x14ac:dyDescent="0.25">
      <c r="A3" s="207"/>
      <c r="B3" s="109" t="s">
        <v>2</v>
      </c>
      <c r="C3" s="80" t="s">
        <v>3</v>
      </c>
      <c r="D3" s="80"/>
      <c r="E3" s="80"/>
      <c r="F3" s="82">
        <v>1.72</v>
      </c>
      <c r="G3" s="82">
        <v>1.55</v>
      </c>
      <c r="H3" s="82">
        <v>1.53</v>
      </c>
    </row>
    <row r="4" spans="1:8" s="78" customFormat="1" ht="15" hidden="1" customHeight="1" x14ac:dyDescent="0.25">
      <c r="A4" s="207"/>
      <c r="B4" s="109" t="s">
        <v>365</v>
      </c>
      <c r="C4" s="80" t="s">
        <v>234</v>
      </c>
      <c r="D4" s="80"/>
      <c r="E4" s="80"/>
      <c r="F4" s="83">
        <v>11</v>
      </c>
      <c r="G4" s="83">
        <v>11</v>
      </c>
      <c r="H4" s="83">
        <v>11</v>
      </c>
    </row>
    <row r="5" spans="1:8" x14ac:dyDescent="0.25">
      <c r="A5" s="207"/>
      <c r="B5" s="109" t="s">
        <v>367</v>
      </c>
      <c r="C5" s="80" t="s">
        <v>368</v>
      </c>
      <c r="D5" s="80" t="s">
        <v>421</v>
      </c>
      <c r="E5" s="80" t="s">
        <v>465</v>
      </c>
      <c r="F5" s="58">
        <f>F2/F4</f>
        <v>77.734545454545454</v>
      </c>
      <c r="G5" s="58">
        <f>G2/G4</f>
        <v>76.020909090909086</v>
      </c>
      <c r="H5" s="58">
        <f>H2/H4</f>
        <v>76</v>
      </c>
    </row>
    <row r="6" spans="1:8" s="78" customFormat="1" ht="15" hidden="1" customHeight="1" x14ac:dyDescent="0.25">
      <c r="A6" s="207"/>
      <c r="B6" s="109" t="s">
        <v>369</v>
      </c>
      <c r="C6" s="80" t="s">
        <v>234</v>
      </c>
      <c r="D6" s="80"/>
      <c r="E6" s="80"/>
      <c r="F6" s="83">
        <v>5.5</v>
      </c>
      <c r="G6" s="83">
        <v>5.5</v>
      </c>
      <c r="H6" s="83">
        <v>5.5</v>
      </c>
    </row>
    <row r="7" spans="1:8" x14ac:dyDescent="0.25">
      <c r="A7" s="207"/>
      <c r="B7" s="109" t="s">
        <v>370</v>
      </c>
      <c r="C7" s="80" t="s">
        <v>368</v>
      </c>
      <c r="D7" s="80" t="s">
        <v>421</v>
      </c>
      <c r="E7" s="80" t="s">
        <v>466</v>
      </c>
      <c r="F7" s="58">
        <f>F2/F6</f>
        <v>155.46909090909091</v>
      </c>
      <c r="G7" s="58">
        <f>G2/G6</f>
        <v>152.04181818181817</v>
      </c>
      <c r="H7" s="58">
        <f>H2/H6</f>
        <v>152</v>
      </c>
    </row>
    <row r="8" spans="1:8" ht="15" hidden="1" customHeight="1" x14ac:dyDescent="0.25">
      <c r="A8" s="207"/>
      <c r="B8" s="109" t="s">
        <v>371</v>
      </c>
      <c r="C8" s="80" t="s">
        <v>234</v>
      </c>
      <c r="D8" s="80"/>
      <c r="E8" s="80"/>
      <c r="F8" s="83">
        <v>1.2</v>
      </c>
      <c r="G8" s="83">
        <v>1.2</v>
      </c>
      <c r="H8" s="83">
        <v>1.2</v>
      </c>
    </row>
    <row r="9" spans="1:8" x14ac:dyDescent="0.25">
      <c r="A9" s="207"/>
      <c r="B9" s="109" t="s">
        <v>372</v>
      </c>
      <c r="C9" s="80" t="s">
        <v>368</v>
      </c>
      <c r="D9" s="80" t="s">
        <v>422</v>
      </c>
      <c r="E9" s="80" t="s">
        <v>467</v>
      </c>
      <c r="F9" s="58">
        <f>F2/F8</f>
        <v>712.56666666666672</v>
      </c>
      <c r="G9" s="58">
        <f>G2/G8</f>
        <v>696.85833333333335</v>
      </c>
      <c r="H9" s="58">
        <f>H2/H8</f>
        <v>696.66666666666674</v>
      </c>
    </row>
    <row r="10" spans="1:8" x14ac:dyDescent="0.25">
      <c r="A10" s="207"/>
      <c r="B10" s="109" t="s">
        <v>373</v>
      </c>
      <c r="C10" s="80" t="s">
        <v>359</v>
      </c>
      <c r="D10" s="80"/>
      <c r="E10" s="80"/>
      <c r="F10" s="58">
        <v>825</v>
      </c>
      <c r="G10" s="58">
        <v>825</v>
      </c>
      <c r="H10" s="58">
        <v>825</v>
      </c>
    </row>
    <row r="11" spans="1:8" x14ac:dyDescent="0.25">
      <c r="A11" s="207"/>
      <c r="B11" s="109" t="s">
        <v>374</v>
      </c>
      <c r="C11" s="80" t="s">
        <v>360</v>
      </c>
      <c r="D11" s="80" t="s">
        <v>421</v>
      </c>
      <c r="E11" s="80" t="s">
        <v>449</v>
      </c>
      <c r="F11" s="58">
        <f>F10/F4</f>
        <v>75</v>
      </c>
      <c r="G11" s="58">
        <f>G10/G4</f>
        <v>75</v>
      </c>
      <c r="H11" s="58">
        <f>H10/H4</f>
        <v>75</v>
      </c>
    </row>
    <row r="12" spans="1:8" x14ac:dyDescent="0.25">
      <c r="A12" s="207"/>
      <c r="B12" s="109" t="s">
        <v>493</v>
      </c>
      <c r="C12" s="80" t="s">
        <v>358</v>
      </c>
      <c r="D12" s="80" t="s">
        <v>421</v>
      </c>
      <c r="E12" s="80" t="s">
        <v>492</v>
      </c>
      <c r="F12" s="80" t="s">
        <v>492</v>
      </c>
      <c r="G12" s="80" t="s">
        <v>522</v>
      </c>
      <c r="H12" s="80" t="s">
        <v>492</v>
      </c>
    </row>
    <row r="13" spans="1:8" ht="15" hidden="1" customHeight="1" x14ac:dyDescent="0.25">
      <c r="A13" s="207"/>
      <c r="B13" s="110" t="s">
        <v>494</v>
      </c>
      <c r="C13" s="80" t="s">
        <v>1</v>
      </c>
      <c r="D13" s="80"/>
      <c r="E13" s="80"/>
      <c r="F13" s="58">
        <v>960.1</v>
      </c>
      <c r="G13" s="58">
        <v>954</v>
      </c>
      <c r="H13" s="58">
        <v>950</v>
      </c>
    </row>
    <row r="14" spans="1:8" s="77" customFormat="1" ht="15" hidden="1" customHeight="1" x14ac:dyDescent="0.25">
      <c r="A14" s="207"/>
      <c r="B14" s="109" t="s">
        <v>376</v>
      </c>
      <c r="C14" s="80" t="s">
        <v>3</v>
      </c>
      <c r="D14" s="80"/>
      <c r="E14" s="80"/>
      <c r="F14" s="82">
        <v>1.42</v>
      </c>
      <c r="G14" s="82">
        <v>1.26</v>
      </c>
      <c r="H14" s="82">
        <v>1.25</v>
      </c>
    </row>
    <row r="15" spans="1:8" s="77" customFormat="1" ht="15" hidden="1" customHeight="1" x14ac:dyDescent="0.25">
      <c r="A15" s="207"/>
      <c r="B15" s="110" t="s">
        <v>440</v>
      </c>
      <c r="C15" s="80" t="s">
        <v>1</v>
      </c>
      <c r="D15" s="80"/>
      <c r="E15" s="80"/>
      <c r="F15" s="82">
        <v>11.8</v>
      </c>
      <c r="H15" s="77">
        <v>209.9</v>
      </c>
    </row>
    <row r="16" spans="1:8" s="79" customFormat="1" hidden="1" x14ac:dyDescent="0.25">
      <c r="A16" s="207"/>
      <c r="B16" s="109" t="s">
        <v>377</v>
      </c>
      <c r="C16" s="80" t="s">
        <v>6</v>
      </c>
      <c r="D16" s="80"/>
      <c r="E16" s="80"/>
      <c r="F16" s="84">
        <f>F14*F13/F3/F2</f>
        <v>0.92697840865698944</v>
      </c>
      <c r="G16" s="84">
        <f>G14*G13/G3/G2</f>
        <v>0.92738801217291278</v>
      </c>
      <c r="H16" s="84">
        <f>H14*H13/H3/H2</f>
        <v>0.92840166369578137</v>
      </c>
    </row>
    <row r="17" spans="1:8" s="50" customFormat="1" ht="15" hidden="1" customHeight="1" x14ac:dyDescent="0.25">
      <c r="A17" s="207"/>
      <c r="B17" s="111" t="s">
        <v>416</v>
      </c>
      <c r="C17" s="85" t="s">
        <v>417</v>
      </c>
      <c r="D17" s="85"/>
      <c r="E17" s="85"/>
      <c r="F17" s="64">
        <f>F14*(F13-F15)</f>
        <v>1346.586</v>
      </c>
      <c r="G17" s="64">
        <f>G14*(G13-G15)</f>
        <v>1202.04</v>
      </c>
      <c r="H17" s="64">
        <f>H14*(H13-H15)</f>
        <v>925.125</v>
      </c>
    </row>
    <row r="18" spans="1:8" s="46" customFormat="1" hidden="1" x14ac:dyDescent="0.25">
      <c r="A18" s="107"/>
      <c r="B18" s="112"/>
      <c r="C18" s="47"/>
      <c r="D18" s="47"/>
      <c r="E18" s="47"/>
    </row>
    <row r="19" spans="1:8" x14ac:dyDescent="0.25">
      <c r="A19" s="207" t="s">
        <v>7</v>
      </c>
      <c r="B19" s="109" t="s">
        <v>378</v>
      </c>
      <c r="C19" s="80" t="s">
        <v>8</v>
      </c>
      <c r="D19" s="80"/>
      <c r="E19" s="80" t="s">
        <v>468</v>
      </c>
      <c r="F19" s="58">
        <v>3781</v>
      </c>
      <c r="G19" s="58">
        <v>3781</v>
      </c>
      <c r="H19" s="58">
        <v>3781</v>
      </c>
    </row>
    <row r="20" spans="1:8" s="77" customFormat="1" x14ac:dyDescent="0.25">
      <c r="A20" s="207"/>
      <c r="B20" s="109" t="s">
        <v>9</v>
      </c>
      <c r="C20" s="80"/>
      <c r="D20" s="80"/>
      <c r="E20" s="80" t="s">
        <v>361</v>
      </c>
      <c r="F20" s="82">
        <v>1.1599999999999999</v>
      </c>
      <c r="G20" s="82">
        <v>1.1599999999999999</v>
      </c>
      <c r="H20" s="82">
        <v>1.1599999999999999</v>
      </c>
    </row>
    <row r="21" spans="1:8" s="52" customFormat="1" x14ac:dyDescent="0.25">
      <c r="A21" s="207"/>
      <c r="B21" s="113" t="s">
        <v>10</v>
      </c>
      <c r="C21" s="85" t="s">
        <v>11</v>
      </c>
      <c r="D21" s="85"/>
      <c r="E21" s="85" t="s">
        <v>12</v>
      </c>
      <c r="F21" s="66">
        <v>25.1</v>
      </c>
      <c r="G21" s="66">
        <v>25.1</v>
      </c>
      <c r="H21" s="66">
        <v>25.1</v>
      </c>
    </row>
    <row r="22" spans="1:8" s="78" customFormat="1" hidden="1" x14ac:dyDescent="0.25">
      <c r="A22" s="207"/>
      <c r="B22" s="109" t="s">
        <v>13</v>
      </c>
      <c r="C22" s="80" t="s">
        <v>14</v>
      </c>
      <c r="D22" s="80"/>
      <c r="E22" s="80"/>
      <c r="F22" s="83">
        <v>17.3</v>
      </c>
      <c r="G22" s="83">
        <v>17.3</v>
      </c>
      <c r="H22" s="83">
        <v>17.3</v>
      </c>
    </row>
    <row r="23" spans="1:8" hidden="1" x14ac:dyDescent="0.25">
      <c r="A23" s="207" t="s">
        <v>15</v>
      </c>
      <c r="B23" s="109" t="s">
        <v>379</v>
      </c>
      <c r="C23" s="80" t="s">
        <v>14</v>
      </c>
      <c r="D23" s="80"/>
      <c r="E23" s="80"/>
      <c r="F23" s="58">
        <v>317.3</v>
      </c>
      <c r="G23" s="58">
        <v>311.3</v>
      </c>
      <c r="H23" s="58">
        <v>248.2</v>
      </c>
    </row>
    <row r="24" spans="1:8" s="78" customFormat="1" x14ac:dyDescent="0.25">
      <c r="A24" s="207"/>
      <c r="B24" s="109" t="s">
        <v>380</v>
      </c>
      <c r="C24" s="80" t="s">
        <v>381</v>
      </c>
      <c r="D24" s="80" t="s">
        <v>422</v>
      </c>
      <c r="E24" s="80" t="s">
        <v>469</v>
      </c>
      <c r="F24" s="83">
        <f>F14*F23/F22</f>
        <v>26.044277456647396</v>
      </c>
      <c r="G24" s="83">
        <f>G14*G23/G22</f>
        <v>22.672716763005781</v>
      </c>
      <c r="H24" s="83">
        <f>H14*H23/H22</f>
        <v>17.933526011560694</v>
      </c>
    </row>
    <row r="25" spans="1:8" s="77" customFormat="1" x14ac:dyDescent="0.25">
      <c r="A25" s="207"/>
      <c r="B25" s="109" t="s">
        <v>382</v>
      </c>
      <c r="C25" s="80"/>
      <c r="D25" s="80" t="s">
        <v>424</v>
      </c>
      <c r="E25" s="80" t="s">
        <v>450</v>
      </c>
      <c r="F25" s="82">
        <v>3.52</v>
      </c>
      <c r="G25" s="82">
        <v>3.5</v>
      </c>
      <c r="H25" s="82">
        <v>3.54</v>
      </c>
    </row>
    <row r="26" spans="1:8" s="78" customFormat="1" hidden="1" x14ac:dyDescent="0.25">
      <c r="A26" s="207"/>
      <c r="B26" s="109" t="s">
        <v>383</v>
      </c>
      <c r="C26" s="80" t="s">
        <v>14</v>
      </c>
      <c r="D26" s="80"/>
      <c r="E26" s="80"/>
      <c r="F26" s="83">
        <v>20.399999999999999</v>
      </c>
      <c r="G26" s="83">
        <v>18.5</v>
      </c>
      <c r="H26" s="83">
        <v>17</v>
      </c>
    </row>
    <row r="27" spans="1:8" s="77" customFormat="1" x14ac:dyDescent="0.25">
      <c r="A27" s="207"/>
      <c r="B27" s="109" t="s">
        <v>384</v>
      </c>
      <c r="C27" s="80"/>
      <c r="D27" s="80"/>
      <c r="E27" s="80"/>
      <c r="F27" s="82">
        <f>F26/F22</f>
        <v>1.1791907514450866</v>
      </c>
      <c r="G27" s="82">
        <f>G26/G22</f>
        <v>1.0693641618497109</v>
      </c>
      <c r="H27" s="82">
        <f>H26/H22</f>
        <v>0.98265895953757221</v>
      </c>
    </row>
    <row r="28" spans="1:8" s="43" customFormat="1" hidden="1" x14ac:dyDescent="0.25">
      <c r="A28" s="207"/>
      <c r="B28" s="109" t="s">
        <v>386</v>
      </c>
      <c r="C28" s="80" t="s">
        <v>1</v>
      </c>
      <c r="D28" s="80"/>
      <c r="E28" s="80"/>
      <c r="F28" s="86">
        <v>0.7</v>
      </c>
      <c r="G28" s="86">
        <v>0.6</v>
      </c>
      <c r="H28" s="86">
        <v>0.16400000000000001</v>
      </c>
    </row>
    <row r="29" spans="1:8" s="78" customFormat="1" hidden="1" x14ac:dyDescent="0.25">
      <c r="A29" s="207"/>
      <c r="B29" s="109" t="s">
        <v>387</v>
      </c>
      <c r="C29" s="80" t="s">
        <v>14</v>
      </c>
      <c r="D29" s="80"/>
      <c r="E29" s="80"/>
      <c r="F29" s="83">
        <v>19.7</v>
      </c>
      <c r="G29" s="83">
        <v>17.899999999999999</v>
      </c>
      <c r="H29" s="83">
        <v>16.8</v>
      </c>
    </row>
    <row r="30" spans="1:8" s="77" customFormat="1" hidden="1" x14ac:dyDescent="0.25">
      <c r="A30" s="207"/>
      <c r="B30" s="109" t="s">
        <v>376</v>
      </c>
      <c r="C30" s="80" t="s">
        <v>3</v>
      </c>
      <c r="D30" s="80"/>
      <c r="E30" s="80" t="s">
        <v>470</v>
      </c>
      <c r="F30" s="68">
        <v>21.8</v>
      </c>
      <c r="G30" s="68">
        <v>20.399999999999999</v>
      </c>
      <c r="H30" s="68">
        <v>17.899999999999999</v>
      </c>
    </row>
    <row r="31" spans="1:8" s="79" customFormat="1" hidden="1" x14ac:dyDescent="0.25">
      <c r="A31" s="207"/>
      <c r="B31" s="110" t="s">
        <v>416</v>
      </c>
      <c r="C31" s="80" t="s">
        <v>417</v>
      </c>
      <c r="D31" s="80"/>
      <c r="E31" s="80"/>
      <c r="F31" s="68">
        <f>F30*F29</f>
        <v>429.46</v>
      </c>
      <c r="G31" s="68">
        <f>G30*G29</f>
        <v>365.15999999999997</v>
      </c>
      <c r="H31" s="68">
        <f>H30*H29</f>
        <v>300.71999999999997</v>
      </c>
    </row>
    <row r="32" spans="1:8" s="79" customFormat="1" hidden="1" x14ac:dyDescent="0.25">
      <c r="A32" s="207"/>
      <c r="B32" s="110" t="s">
        <v>495</v>
      </c>
      <c r="C32" s="80" t="s">
        <v>6</v>
      </c>
      <c r="D32" s="80"/>
      <c r="E32" s="80"/>
      <c r="F32" s="69">
        <f>F30*(F29+F28)/F23/F14</f>
        <v>0.98702520829356843</v>
      </c>
      <c r="G32" s="69">
        <f>G30*(G29+G28)/G23/G14</f>
        <v>0.96217092683523775</v>
      </c>
      <c r="H32" s="69">
        <f>H30*(H29+H28)/H23/H14</f>
        <v>0.97874488315874297</v>
      </c>
    </row>
    <row r="33" spans="1:8" s="78" customFormat="1" ht="15.75" hidden="1" x14ac:dyDescent="0.25">
      <c r="A33" s="207" t="s">
        <v>459</v>
      </c>
      <c r="B33" s="109" t="s">
        <v>389</v>
      </c>
      <c r="C33" s="80" t="s">
        <v>390</v>
      </c>
      <c r="D33" s="87" t="s">
        <v>423</v>
      </c>
      <c r="E33" s="80" t="s">
        <v>453</v>
      </c>
      <c r="F33" s="68">
        <v>21.23</v>
      </c>
      <c r="G33" s="68">
        <v>21.54</v>
      </c>
      <c r="H33" s="68">
        <v>21.34</v>
      </c>
    </row>
    <row r="34" spans="1:8" s="78" customFormat="1" hidden="1" x14ac:dyDescent="0.25">
      <c r="A34" s="207"/>
      <c r="B34" s="110" t="s">
        <v>454</v>
      </c>
      <c r="C34" s="80" t="s">
        <v>20</v>
      </c>
      <c r="D34" s="80"/>
      <c r="E34" s="80"/>
      <c r="F34" s="68">
        <v>0</v>
      </c>
      <c r="G34" s="68">
        <v>0</v>
      </c>
      <c r="H34" s="68">
        <v>0</v>
      </c>
    </row>
    <row r="35" spans="1:8" s="77" customFormat="1" hidden="1" x14ac:dyDescent="0.25">
      <c r="A35" s="207"/>
      <c r="B35" s="109" t="s">
        <v>391</v>
      </c>
      <c r="C35" s="80"/>
      <c r="D35" s="80"/>
      <c r="E35" s="80"/>
      <c r="F35" s="82">
        <v>4.01</v>
      </c>
      <c r="G35" s="82">
        <v>3.91</v>
      </c>
      <c r="H35" s="82">
        <v>3.87</v>
      </c>
    </row>
    <row r="36" spans="1:8" s="77" customFormat="1" hidden="1" x14ac:dyDescent="0.25">
      <c r="A36" s="207"/>
      <c r="B36" s="109" t="s">
        <v>392</v>
      </c>
      <c r="C36" s="80" t="s">
        <v>20</v>
      </c>
      <c r="D36" s="80"/>
      <c r="E36" s="80"/>
      <c r="F36" s="82">
        <v>0.3</v>
      </c>
      <c r="G36" s="82">
        <v>0.2</v>
      </c>
      <c r="H36" s="82">
        <v>0.2</v>
      </c>
    </row>
    <row r="37" spans="1:8" s="77" customFormat="1" hidden="1" x14ac:dyDescent="0.25">
      <c r="A37" s="207"/>
      <c r="B37" s="110" t="s">
        <v>431</v>
      </c>
      <c r="C37" s="80" t="s">
        <v>6</v>
      </c>
      <c r="D37" s="80"/>
      <c r="E37" s="80"/>
      <c r="F37" s="88">
        <f>F36/F29</f>
        <v>1.5228426395939087E-2</v>
      </c>
      <c r="G37" s="88">
        <f>G36/G29</f>
        <v>1.1173184357541902E-2</v>
      </c>
      <c r="H37" s="88">
        <f>H36/H29</f>
        <v>1.1904761904761904E-2</v>
      </c>
    </row>
    <row r="38" spans="1:8" s="77" customFormat="1" ht="15.75" hidden="1" x14ac:dyDescent="0.25">
      <c r="A38" s="207"/>
      <c r="B38" s="109" t="s">
        <v>393</v>
      </c>
      <c r="C38" s="80"/>
      <c r="D38" s="87" t="s">
        <v>423</v>
      </c>
      <c r="E38" s="80" t="s">
        <v>455</v>
      </c>
      <c r="F38" s="82">
        <v>3.55</v>
      </c>
      <c r="G38" s="82">
        <v>3.55</v>
      </c>
      <c r="H38" s="82">
        <v>3.56</v>
      </c>
    </row>
    <row r="39" spans="1:8" ht="15.75" hidden="1" x14ac:dyDescent="0.25">
      <c r="A39" s="207"/>
      <c r="B39" s="109" t="s">
        <v>394</v>
      </c>
      <c r="C39" s="80" t="s">
        <v>21</v>
      </c>
      <c r="D39" s="87" t="s">
        <v>423</v>
      </c>
      <c r="E39" s="80" t="s">
        <v>456</v>
      </c>
      <c r="F39" s="58">
        <v>61</v>
      </c>
      <c r="G39" s="58">
        <v>61</v>
      </c>
      <c r="H39" s="58">
        <v>61</v>
      </c>
    </row>
    <row r="40" spans="1:8" s="77" customFormat="1" hidden="1" x14ac:dyDescent="0.25">
      <c r="A40" s="207"/>
      <c r="B40" s="109" t="s">
        <v>395</v>
      </c>
      <c r="C40" s="80" t="s">
        <v>20</v>
      </c>
      <c r="D40" s="80"/>
      <c r="E40" s="80"/>
      <c r="F40" s="83">
        <v>2.6</v>
      </c>
      <c r="G40" s="83">
        <v>2.2000000000000002</v>
      </c>
      <c r="H40" s="83">
        <v>2</v>
      </c>
    </row>
    <row r="41" spans="1:8" s="77" customFormat="1" hidden="1" x14ac:dyDescent="0.25">
      <c r="A41" s="207"/>
      <c r="B41" s="110" t="s">
        <v>429</v>
      </c>
      <c r="C41" s="80" t="s">
        <v>433</v>
      </c>
      <c r="D41" s="80"/>
      <c r="E41" s="80"/>
      <c r="F41" s="88">
        <f>F40/F29</f>
        <v>0.13197969543147209</v>
      </c>
      <c r="G41" s="88">
        <f>G40/G29</f>
        <v>0.12290502793296092</v>
      </c>
      <c r="H41" s="88">
        <f>H40/H29</f>
        <v>0.11904761904761904</v>
      </c>
    </row>
    <row r="42" spans="1:8" s="77" customFormat="1" hidden="1" x14ac:dyDescent="0.25">
      <c r="A42" s="207"/>
      <c r="B42" s="109" t="s">
        <v>385</v>
      </c>
      <c r="C42" s="80"/>
      <c r="D42" s="80"/>
      <c r="E42" s="80" t="s">
        <v>457</v>
      </c>
      <c r="F42" s="82">
        <v>6.52</v>
      </c>
      <c r="G42" s="82">
        <v>6.5</v>
      </c>
      <c r="H42" s="82">
        <v>6.49</v>
      </c>
    </row>
    <row r="43" spans="1:8" s="43" customFormat="1" hidden="1" x14ac:dyDescent="0.25">
      <c r="A43" s="207"/>
      <c r="B43" s="109" t="s">
        <v>396</v>
      </c>
      <c r="C43" s="80" t="s">
        <v>1</v>
      </c>
      <c r="D43" s="80"/>
      <c r="E43" s="80"/>
      <c r="F43" s="86">
        <v>2E-3</v>
      </c>
      <c r="G43" s="86">
        <v>2E-3</v>
      </c>
      <c r="H43" s="86">
        <v>2E-3</v>
      </c>
    </row>
    <row r="44" spans="1:8" s="77" customFormat="1" hidden="1" x14ac:dyDescent="0.25">
      <c r="A44" s="207"/>
      <c r="B44" s="109" t="s">
        <v>397</v>
      </c>
      <c r="C44" s="80" t="s">
        <v>14</v>
      </c>
      <c r="D44" s="80"/>
      <c r="E44" s="80"/>
      <c r="F44" s="83">
        <v>22.3</v>
      </c>
      <c r="G44" s="83">
        <v>20.100000000000001</v>
      </c>
      <c r="H44" s="83">
        <v>19</v>
      </c>
    </row>
    <row r="45" spans="1:8" s="77" customFormat="1" hidden="1" x14ac:dyDescent="0.25">
      <c r="A45" s="207"/>
      <c r="B45" s="109" t="s">
        <v>376</v>
      </c>
      <c r="C45" s="80" t="s">
        <v>3</v>
      </c>
      <c r="D45" s="80"/>
      <c r="E45" s="80"/>
      <c r="F45" s="83">
        <v>18.899999999999999</v>
      </c>
      <c r="G45" s="83">
        <v>19</v>
      </c>
      <c r="H45" s="83">
        <v>16.100000000000001</v>
      </c>
    </row>
    <row r="46" spans="1:8" s="50" customFormat="1" hidden="1" x14ac:dyDescent="0.25">
      <c r="A46" s="207"/>
      <c r="B46" s="111" t="s">
        <v>446</v>
      </c>
      <c r="C46" s="85" t="s">
        <v>6</v>
      </c>
      <c r="D46" s="85"/>
      <c r="E46" s="85"/>
      <c r="F46" s="72">
        <f>F45*F44/F31</f>
        <v>0.9813952405346249</v>
      </c>
      <c r="G46" s="72">
        <f>G45*G44/G31</f>
        <v>1.0458429181728559</v>
      </c>
      <c r="H46" s="72">
        <f>H45*H44/H31</f>
        <v>1.0172253258845441</v>
      </c>
    </row>
    <row r="47" spans="1:8" s="50" customFormat="1" hidden="1" x14ac:dyDescent="0.25">
      <c r="A47" s="207"/>
      <c r="B47" s="111" t="s">
        <v>416</v>
      </c>
      <c r="C47" s="85" t="s">
        <v>417</v>
      </c>
      <c r="D47" s="85"/>
      <c r="E47" s="85"/>
      <c r="F47" s="66">
        <f>F45*F44</f>
        <v>421.46999999999997</v>
      </c>
      <c r="G47" s="66">
        <f>G45*G44</f>
        <v>381.90000000000003</v>
      </c>
      <c r="H47" s="66">
        <f>H45*H44</f>
        <v>305.90000000000003</v>
      </c>
    </row>
    <row r="48" spans="1:8" x14ac:dyDescent="0.25">
      <c r="A48" s="207" t="s">
        <v>17</v>
      </c>
      <c r="B48" s="109" t="s">
        <v>379</v>
      </c>
      <c r="C48" s="80" t="s">
        <v>14</v>
      </c>
      <c r="D48" s="80"/>
      <c r="E48" s="80"/>
      <c r="F48" s="58">
        <v>322.10000000000002</v>
      </c>
      <c r="G48" s="58">
        <v>320.60000000000002</v>
      </c>
      <c r="H48" s="58">
        <v>245.8</v>
      </c>
    </row>
    <row r="49" spans="1:8" s="78" customFormat="1" x14ac:dyDescent="0.25">
      <c r="A49" s="207"/>
      <c r="B49" s="109" t="s">
        <v>380</v>
      </c>
      <c r="C49" s="80" t="s">
        <v>381</v>
      </c>
      <c r="D49" s="80" t="s">
        <v>422</v>
      </c>
      <c r="E49" s="80" t="s">
        <v>469</v>
      </c>
      <c r="F49" s="83">
        <f>F14*F48/F22</f>
        <v>26.438265895953755</v>
      </c>
      <c r="G49" s="83">
        <f>G14*G48/G22</f>
        <v>23.350057803468207</v>
      </c>
      <c r="H49" s="83">
        <f>H14*H48/H22</f>
        <v>17.760115606936417</v>
      </c>
    </row>
    <row r="50" spans="1:8" s="77" customFormat="1" x14ac:dyDescent="0.25">
      <c r="A50" s="207"/>
      <c r="B50" s="109" t="s">
        <v>382</v>
      </c>
      <c r="C50" s="80"/>
      <c r="D50" s="80" t="s">
        <v>424</v>
      </c>
      <c r="E50" s="80" t="s">
        <v>450</v>
      </c>
      <c r="F50" s="82">
        <v>3.53</v>
      </c>
      <c r="G50" s="82">
        <v>3.51</v>
      </c>
      <c r="H50" s="82">
        <v>3.52</v>
      </c>
    </row>
    <row r="51" spans="1:8" s="78" customFormat="1" hidden="1" x14ac:dyDescent="0.25">
      <c r="A51" s="207"/>
      <c r="B51" s="109" t="s">
        <v>383</v>
      </c>
      <c r="C51" s="80" t="s">
        <v>14</v>
      </c>
      <c r="D51" s="80"/>
      <c r="E51" s="80"/>
      <c r="F51" s="83">
        <v>20.2</v>
      </c>
      <c r="G51" s="83">
        <v>18.899999999999999</v>
      </c>
      <c r="H51" s="83">
        <v>18.100000000000001</v>
      </c>
    </row>
    <row r="52" spans="1:8" s="77" customFormat="1" x14ac:dyDescent="0.25">
      <c r="A52" s="207"/>
      <c r="B52" s="109" t="s">
        <v>384</v>
      </c>
      <c r="C52" s="80"/>
      <c r="D52" s="80"/>
      <c r="E52" s="80"/>
      <c r="F52" s="82">
        <f>F51/F22</f>
        <v>1.1676300578034682</v>
      </c>
      <c r="G52" s="82">
        <f>G51/G22</f>
        <v>1.0924855491329479</v>
      </c>
      <c r="H52" s="82">
        <f>H51/H22</f>
        <v>1.046242774566474</v>
      </c>
    </row>
    <row r="53" spans="1:8" s="43" customFormat="1" hidden="1" x14ac:dyDescent="0.25">
      <c r="A53" s="207"/>
      <c r="B53" s="109" t="s">
        <v>386</v>
      </c>
      <c r="C53" s="80" t="s">
        <v>1</v>
      </c>
      <c r="D53" s="80"/>
      <c r="E53" s="80"/>
      <c r="F53" s="86">
        <v>0.16400000000000001</v>
      </c>
      <c r="G53" s="86">
        <v>6.5000000000000002E-2</v>
      </c>
      <c r="H53" s="86">
        <v>0.16400000000000001</v>
      </c>
    </row>
    <row r="54" spans="1:8" s="78" customFormat="1" hidden="1" x14ac:dyDescent="0.25">
      <c r="A54" s="207"/>
      <c r="B54" s="109" t="s">
        <v>387</v>
      </c>
      <c r="C54" s="80" t="s">
        <v>14</v>
      </c>
      <c r="D54" s="80"/>
      <c r="E54" s="80"/>
      <c r="F54" s="83">
        <v>20</v>
      </c>
      <c r="G54" s="83">
        <v>18.8</v>
      </c>
      <c r="H54" s="83">
        <v>17.899999999999999</v>
      </c>
    </row>
    <row r="55" spans="1:8" s="77" customFormat="1" hidden="1" x14ac:dyDescent="0.25">
      <c r="A55" s="207"/>
      <c r="B55" s="109" t="s">
        <v>376</v>
      </c>
      <c r="C55" s="80" t="s">
        <v>3</v>
      </c>
      <c r="D55" s="80"/>
      <c r="E55" s="80" t="s">
        <v>470</v>
      </c>
      <c r="F55" s="83">
        <v>21.6</v>
      </c>
      <c r="G55" s="83">
        <v>20.2</v>
      </c>
      <c r="H55" s="83">
        <v>16.5</v>
      </c>
    </row>
    <row r="56" spans="1:8" s="77" customFormat="1" hidden="1" x14ac:dyDescent="0.25">
      <c r="A56" s="207"/>
      <c r="B56" s="110" t="s">
        <v>496</v>
      </c>
      <c r="C56" s="80" t="s">
        <v>6</v>
      </c>
      <c r="D56" s="80"/>
      <c r="E56" s="80"/>
      <c r="F56" s="84">
        <f>F55*(F54+F53)/F48/F14</f>
        <v>0.95225085377212049</v>
      </c>
      <c r="G56" s="84">
        <f>G55*(G54+G53)/G48/G14</f>
        <v>0.94335274138767589</v>
      </c>
      <c r="H56" s="84">
        <f>H55*(H54+H53)/H48/H14</f>
        <v>0.97007648494711129</v>
      </c>
    </row>
    <row r="57" spans="1:8" s="79" customFormat="1" hidden="1" x14ac:dyDescent="0.25">
      <c r="A57" s="207"/>
      <c r="B57" s="110" t="s">
        <v>416</v>
      </c>
      <c r="C57" s="80" t="s">
        <v>417</v>
      </c>
      <c r="D57" s="80"/>
      <c r="E57" s="80"/>
      <c r="F57" s="83">
        <f>F55*F54</f>
        <v>432</v>
      </c>
      <c r="G57" s="83">
        <f>G55*G54</f>
        <v>379.76</v>
      </c>
      <c r="H57" s="83">
        <f>H55*H54</f>
        <v>295.34999999999997</v>
      </c>
    </row>
    <row r="58" spans="1:8" s="78" customFormat="1" ht="15.75" hidden="1" x14ac:dyDescent="0.25">
      <c r="A58" s="207" t="s">
        <v>460</v>
      </c>
      <c r="B58" s="109" t="s">
        <v>389</v>
      </c>
      <c r="C58" s="80" t="s">
        <v>390</v>
      </c>
      <c r="D58" s="87" t="s">
        <v>423</v>
      </c>
      <c r="E58" s="80" t="s">
        <v>453</v>
      </c>
      <c r="F58" s="83">
        <v>21.35</v>
      </c>
      <c r="G58" s="83">
        <v>21.33</v>
      </c>
      <c r="H58" s="83">
        <v>21.23</v>
      </c>
    </row>
    <row r="59" spans="1:8" s="78" customFormat="1" hidden="1" x14ac:dyDescent="0.25">
      <c r="A59" s="207"/>
      <c r="B59" s="110" t="s">
        <v>454</v>
      </c>
      <c r="C59" s="80" t="s">
        <v>20</v>
      </c>
      <c r="D59" s="80"/>
      <c r="E59" s="80"/>
      <c r="F59" s="83">
        <v>0</v>
      </c>
      <c r="G59" s="83">
        <v>0</v>
      </c>
      <c r="H59" s="83">
        <v>0</v>
      </c>
    </row>
    <row r="60" spans="1:8" s="77" customFormat="1" hidden="1" x14ac:dyDescent="0.25">
      <c r="A60" s="207"/>
      <c r="B60" s="109" t="s">
        <v>391</v>
      </c>
      <c r="C60" s="80"/>
      <c r="D60" s="80"/>
      <c r="E60" s="80"/>
      <c r="F60" s="82">
        <v>4</v>
      </c>
      <c r="G60" s="82">
        <v>3.99</v>
      </c>
      <c r="H60" s="82">
        <v>3.87</v>
      </c>
    </row>
    <row r="61" spans="1:8" s="77" customFormat="1" hidden="1" x14ac:dyDescent="0.25">
      <c r="A61" s="207"/>
      <c r="B61" s="109" t="s">
        <v>392</v>
      </c>
      <c r="C61" s="80" t="s">
        <v>20</v>
      </c>
      <c r="D61" s="80"/>
      <c r="E61" s="80"/>
      <c r="F61" s="82">
        <v>0.4</v>
      </c>
      <c r="G61" s="82">
        <v>0.2</v>
      </c>
      <c r="H61" s="82">
        <v>0.2</v>
      </c>
    </row>
    <row r="62" spans="1:8" s="77" customFormat="1" hidden="1" x14ac:dyDescent="0.25">
      <c r="A62" s="207"/>
      <c r="B62" s="110" t="s">
        <v>431</v>
      </c>
      <c r="C62" s="80" t="s">
        <v>6</v>
      </c>
      <c r="D62" s="80"/>
      <c r="E62" s="80"/>
      <c r="F62" s="82">
        <f>F61/F54</f>
        <v>0.02</v>
      </c>
      <c r="G62" s="82">
        <f>G61/G54</f>
        <v>1.0638297872340425E-2</v>
      </c>
      <c r="H62" s="82">
        <f>H61/H54</f>
        <v>1.1173184357541902E-2</v>
      </c>
    </row>
    <row r="63" spans="1:8" s="77" customFormat="1" ht="15.75" hidden="1" x14ac:dyDescent="0.25">
      <c r="A63" s="207"/>
      <c r="B63" s="109" t="s">
        <v>393</v>
      </c>
      <c r="C63" s="80"/>
      <c r="D63" s="87" t="s">
        <v>423</v>
      </c>
      <c r="E63" s="80" t="s">
        <v>455</v>
      </c>
      <c r="F63" s="82">
        <v>3.55</v>
      </c>
      <c r="G63" s="82">
        <v>3.54</v>
      </c>
      <c r="H63" s="82">
        <v>3.54</v>
      </c>
    </row>
    <row r="64" spans="1:8" ht="15.75" hidden="1" x14ac:dyDescent="0.25">
      <c r="A64" s="207"/>
      <c r="B64" s="109" t="s">
        <v>394</v>
      </c>
      <c r="C64" s="80" t="s">
        <v>21</v>
      </c>
      <c r="D64" s="87" t="s">
        <v>423</v>
      </c>
      <c r="E64" s="80" t="s">
        <v>456</v>
      </c>
      <c r="F64" s="58">
        <v>61</v>
      </c>
      <c r="G64" s="58">
        <v>61</v>
      </c>
      <c r="H64" s="58">
        <v>61</v>
      </c>
    </row>
    <row r="65" spans="1:8" s="77" customFormat="1" hidden="1" x14ac:dyDescent="0.25">
      <c r="A65" s="207"/>
      <c r="B65" s="109" t="s">
        <v>395</v>
      </c>
      <c r="C65" s="80" t="s">
        <v>20</v>
      </c>
      <c r="D65" s="80"/>
      <c r="E65" s="80"/>
      <c r="F65" s="82">
        <v>2.6</v>
      </c>
      <c r="G65" s="82">
        <v>2.5</v>
      </c>
      <c r="H65" s="82">
        <v>2.2000000000000002</v>
      </c>
    </row>
    <row r="66" spans="1:8" s="77" customFormat="1" hidden="1" x14ac:dyDescent="0.25">
      <c r="A66" s="207"/>
      <c r="B66" s="110" t="s">
        <v>429</v>
      </c>
      <c r="C66" s="80" t="s">
        <v>433</v>
      </c>
      <c r="D66" s="80"/>
      <c r="E66" s="80"/>
      <c r="F66" s="88">
        <f>F65/F54</f>
        <v>0.13</v>
      </c>
      <c r="G66" s="88">
        <f>G65/G54</f>
        <v>0.13297872340425532</v>
      </c>
      <c r="H66" s="88">
        <f>H65/H54</f>
        <v>0.12290502793296092</v>
      </c>
    </row>
    <row r="67" spans="1:8" s="77" customFormat="1" hidden="1" x14ac:dyDescent="0.25">
      <c r="A67" s="207"/>
      <c r="B67" s="109" t="s">
        <v>385</v>
      </c>
      <c r="C67" s="80"/>
      <c r="D67" s="80"/>
      <c r="E67" s="80" t="s">
        <v>457</v>
      </c>
      <c r="F67" s="82">
        <v>6.48</v>
      </c>
      <c r="G67" s="82">
        <v>6.48</v>
      </c>
      <c r="H67" s="82">
        <v>6.47</v>
      </c>
    </row>
    <row r="68" spans="1:8" hidden="1" x14ac:dyDescent="0.25">
      <c r="A68" s="207" t="s">
        <v>461</v>
      </c>
      <c r="B68" s="109" t="s">
        <v>379</v>
      </c>
      <c r="C68" s="80" t="s">
        <v>1</v>
      </c>
      <c r="D68" s="80"/>
      <c r="E68" s="80"/>
      <c r="F68" s="58">
        <v>308.89999999999998</v>
      </c>
      <c r="G68" s="58">
        <v>309.5</v>
      </c>
      <c r="H68" s="58">
        <v>246.1</v>
      </c>
    </row>
    <row r="69" spans="1:8" s="78" customFormat="1" x14ac:dyDescent="0.25">
      <c r="A69" s="207"/>
      <c r="B69" s="109" t="s">
        <v>380</v>
      </c>
      <c r="C69" s="80" t="s">
        <v>381</v>
      </c>
      <c r="D69" s="80" t="s">
        <v>422</v>
      </c>
      <c r="E69" s="80" t="s">
        <v>469</v>
      </c>
      <c r="F69" s="83">
        <f>F68*F14/F22</f>
        <v>25.354797687861264</v>
      </c>
      <c r="G69" s="83">
        <f>G68*G14/G22</f>
        <v>22.541618497109827</v>
      </c>
      <c r="H69" s="83">
        <f>H68*H14/H22</f>
        <v>17.781791907514449</v>
      </c>
    </row>
    <row r="70" spans="1:8" s="77" customFormat="1" x14ac:dyDescent="0.25">
      <c r="A70" s="207"/>
      <c r="B70" s="109" t="s">
        <v>382</v>
      </c>
      <c r="C70" s="80"/>
      <c r="D70" s="80" t="s">
        <v>424</v>
      </c>
      <c r="E70" s="80" t="s">
        <v>450</v>
      </c>
      <c r="F70" s="82">
        <v>3.52</v>
      </c>
      <c r="G70" s="82">
        <v>3.49</v>
      </c>
      <c r="H70" s="82">
        <v>3.5</v>
      </c>
    </row>
    <row r="71" spans="1:8" s="78" customFormat="1" hidden="1" x14ac:dyDescent="0.25">
      <c r="A71" s="207"/>
      <c r="B71" s="109" t="s">
        <v>383</v>
      </c>
      <c r="C71" s="80" t="s">
        <v>1</v>
      </c>
      <c r="D71" s="80"/>
      <c r="E71" s="80"/>
      <c r="F71" s="83">
        <v>20.399999999999999</v>
      </c>
      <c r="G71" s="83">
        <v>18.8</v>
      </c>
      <c r="H71" s="83">
        <v>16.899999999999999</v>
      </c>
    </row>
    <row r="72" spans="1:8" s="77" customFormat="1" x14ac:dyDescent="0.25">
      <c r="A72" s="207"/>
      <c r="B72" s="109" t="s">
        <v>384</v>
      </c>
      <c r="C72" s="80"/>
      <c r="D72" s="80"/>
      <c r="E72" s="80"/>
      <c r="F72" s="82">
        <f>F71/F22</f>
        <v>1.1791907514450866</v>
      </c>
      <c r="G72" s="82">
        <f>G71/G22</f>
        <v>1.0867052023121386</v>
      </c>
      <c r="H72" s="82">
        <f>H71/H22</f>
        <v>0.97687861271676291</v>
      </c>
    </row>
    <row r="73" spans="1:8" s="43" customFormat="1" hidden="1" x14ac:dyDescent="0.25">
      <c r="A73" s="207"/>
      <c r="B73" s="109" t="s">
        <v>386</v>
      </c>
      <c r="C73" s="80" t="s">
        <v>1</v>
      </c>
      <c r="D73" s="80"/>
      <c r="E73" s="80"/>
      <c r="F73" s="86">
        <v>0.2</v>
      </c>
      <c r="G73" s="86">
        <v>0.16400000000000001</v>
      </c>
      <c r="H73" s="86">
        <v>0.16400000000000001</v>
      </c>
    </row>
    <row r="74" spans="1:8" s="78" customFormat="1" hidden="1" x14ac:dyDescent="0.25">
      <c r="A74" s="207"/>
      <c r="B74" s="109" t="s">
        <v>387</v>
      </c>
      <c r="C74" s="80" t="s">
        <v>1</v>
      </c>
      <c r="D74" s="80"/>
      <c r="E74" s="80"/>
      <c r="F74" s="83">
        <v>20.2</v>
      </c>
      <c r="G74" s="83">
        <v>18.7</v>
      </c>
      <c r="H74" s="83">
        <v>16.7</v>
      </c>
    </row>
    <row r="75" spans="1:8" s="77" customFormat="1" hidden="1" x14ac:dyDescent="0.25">
      <c r="A75" s="207"/>
      <c r="B75" s="109" t="s">
        <v>376</v>
      </c>
      <c r="C75" s="80" t="s">
        <v>3</v>
      </c>
      <c r="D75" s="80"/>
      <c r="E75" s="80" t="s">
        <v>470</v>
      </c>
      <c r="F75" s="83">
        <v>20.7</v>
      </c>
      <c r="G75" s="83">
        <v>20.2</v>
      </c>
      <c r="H75" s="83">
        <v>17.3</v>
      </c>
    </row>
    <row r="76" spans="1:8" s="77" customFormat="1" hidden="1" x14ac:dyDescent="0.25">
      <c r="A76" s="207"/>
      <c r="B76" s="110" t="s">
        <v>496</v>
      </c>
      <c r="C76" s="80" t="s">
        <v>497</v>
      </c>
      <c r="D76" s="80"/>
      <c r="E76" s="80"/>
      <c r="F76" s="84">
        <f>F75*(F74+F73)/F68/F14</f>
        <v>0.9627072893821329</v>
      </c>
      <c r="G76" s="84">
        <f>G75*(G74+G73)/G68/G14</f>
        <v>0.97713362566351258</v>
      </c>
      <c r="H76" s="84">
        <f>H75*(H74+H73)/H68/H14</f>
        <v>0.94838585940674525</v>
      </c>
    </row>
    <row r="77" spans="1:8" s="79" customFormat="1" hidden="1" x14ac:dyDescent="0.25">
      <c r="A77" s="207"/>
      <c r="B77" s="110" t="s">
        <v>416</v>
      </c>
      <c r="C77" s="80" t="s">
        <v>417</v>
      </c>
      <c r="D77" s="80"/>
      <c r="E77" s="80"/>
      <c r="F77" s="83">
        <f>F75*F74</f>
        <v>418.14</v>
      </c>
      <c r="G77" s="83">
        <f>G75*G74</f>
        <v>377.73999999999995</v>
      </c>
      <c r="H77" s="83">
        <f>H75*H74</f>
        <v>288.91000000000003</v>
      </c>
    </row>
    <row r="78" spans="1:8" s="78" customFormat="1" ht="15.75" hidden="1" x14ac:dyDescent="0.25">
      <c r="A78" s="207" t="s">
        <v>462</v>
      </c>
      <c r="B78" s="109" t="s">
        <v>389</v>
      </c>
      <c r="C78" s="80" t="s">
        <v>390</v>
      </c>
      <c r="D78" s="87" t="s">
        <v>423</v>
      </c>
      <c r="E78" s="80" t="s">
        <v>453</v>
      </c>
      <c r="F78" s="83">
        <v>21.34</v>
      </c>
      <c r="G78" s="83">
        <v>21.24</v>
      </c>
      <c r="H78" s="83">
        <v>21.24</v>
      </c>
    </row>
    <row r="79" spans="1:8" s="78" customFormat="1" hidden="1" x14ac:dyDescent="0.25">
      <c r="A79" s="207"/>
      <c r="B79" s="110" t="s">
        <v>454</v>
      </c>
      <c r="C79" s="80" t="s">
        <v>20</v>
      </c>
      <c r="D79" s="80"/>
      <c r="E79" s="80"/>
      <c r="F79" s="83">
        <v>0</v>
      </c>
      <c r="G79" s="83">
        <v>0</v>
      </c>
      <c r="H79" s="83">
        <v>0</v>
      </c>
    </row>
    <row r="80" spans="1:8" s="77" customFormat="1" hidden="1" x14ac:dyDescent="0.25">
      <c r="A80" s="207"/>
      <c r="B80" s="109" t="s">
        <v>391</v>
      </c>
      <c r="C80" s="80"/>
      <c r="D80" s="80"/>
      <c r="E80" s="80"/>
      <c r="F80" s="82">
        <v>3.99</v>
      </c>
      <c r="G80" s="82">
        <v>3.9</v>
      </c>
      <c r="H80" s="82">
        <v>3.88</v>
      </c>
    </row>
    <row r="81" spans="1:8" s="77" customFormat="1" hidden="1" x14ac:dyDescent="0.25">
      <c r="A81" s="207"/>
      <c r="B81" s="109" t="s">
        <v>392</v>
      </c>
      <c r="C81" s="80" t="s">
        <v>20</v>
      </c>
      <c r="D81" s="80"/>
      <c r="E81" s="80"/>
      <c r="F81" s="82">
        <v>0.3</v>
      </c>
      <c r="G81" s="82">
        <v>0.2</v>
      </c>
      <c r="H81" s="82">
        <v>0.2</v>
      </c>
    </row>
    <row r="82" spans="1:8" s="77" customFormat="1" hidden="1" x14ac:dyDescent="0.25">
      <c r="A82" s="207"/>
      <c r="B82" s="110" t="s">
        <v>431</v>
      </c>
      <c r="C82" s="80" t="s">
        <v>6</v>
      </c>
      <c r="D82" s="80"/>
      <c r="E82" s="80"/>
      <c r="F82" s="88">
        <f>F81/F74</f>
        <v>1.4851485148514851E-2</v>
      </c>
      <c r="G82" s="88">
        <f>G81/G74</f>
        <v>1.0695187165775402E-2</v>
      </c>
      <c r="H82" s="88">
        <f>H81/H74</f>
        <v>1.1976047904191617E-2</v>
      </c>
    </row>
    <row r="83" spans="1:8" s="77" customFormat="1" ht="15.75" hidden="1" x14ac:dyDescent="0.25">
      <c r="A83" s="207"/>
      <c r="B83" s="109" t="s">
        <v>393</v>
      </c>
      <c r="C83" s="80"/>
      <c r="D83" s="87" t="s">
        <v>423</v>
      </c>
      <c r="E83" s="80" t="s">
        <v>455</v>
      </c>
      <c r="F83" s="82">
        <v>3.55</v>
      </c>
      <c r="G83" s="82">
        <v>3.55</v>
      </c>
      <c r="H83" s="82">
        <v>3.57</v>
      </c>
    </row>
    <row r="84" spans="1:8" ht="15.75" hidden="1" x14ac:dyDescent="0.25">
      <c r="A84" s="207"/>
      <c r="B84" s="109" t="s">
        <v>394</v>
      </c>
      <c r="C84" s="80" t="s">
        <v>21</v>
      </c>
      <c r="D84" s="87" t="s">
        <v>423</v>
      </c>
      <c r="E84" s="80" t="s">
        <v>456</v>
      </c>
      <c r="F84" s="58">
        <v>61</v>
      </c>
      <c r="G84" s="58">
        <v>61</v>
      </c>
      <c r="H84" s="58">
        <v>61</v>
      </c>
    </row>
    <row r="85" spans="1:8" s="77" customFormat="1" hidden="1" x14ac:dyDescent="0.25">
      <c r="A85" s="207"/>
      <c r="B85" s="109" t="s">
        <v>395</v>
      </c>
      <c r="C85" s="80" t="s">
        <v>20</v>
      </c>
      <c r="D85" s="80"/>
      <c r="E85" s="80"/>
      <c r="F85" s="83">
        <v>2.7</v>
      </c>
      <c r="G85" s="83">
        <v>2.2999999999999998</v>
      </c>
      <c r="H85" s="83">
        <v>2</v>
      </c>
    </row>
    <row r="86" spans="1:8" s="77" customFormat="1" hidden="1" x14ac:dyDescent="0.25">
      <c r="A86" s="207"/>
      <c r="B86" s="110" t="s">
        <v>429</v>
      </c>
      <c r="C86" s="80" t="s">
        <v>433</v>
      </c>
      <c r="D86" s="80"/>
      <c r="E86" s="80"/>
      <c r="F86" s="88">
        <f>F85/F74</f>
        <v>0.13366336633663367</v>
      </c>
      <c r="G86" s="88">
        <f>G85/G74</f>
        <v>0.1229946524064171</v>
      </c>
      <c r="H86" s="88">
        <f>H85/H74</f>
        <v>0.11976047904191617</v>
      </c>
    </row>
    <row r="87" spans="1:8" s="77" customFormat="1" hidden="1" x14ac:dyDescent="0.25">
      <c r="A87" s="207"/>
      <c r="B87" s="109" t="s">
        <v>385</v>
      </c>
      <c r="C87" s="80"/>
      <c r="D87" s="80"/>
      <c r="E87" s="80" t="s">
        <v>457</v>
      </c>
      <c r="F87" s="82">
        <v>6.49</v>
      </c>
      <c r="G87" s="82">
        <v>6.57</v>
      </c>
      <c r="H87" s="82">
        <v>6.5</v>
      </c>
    </row>
    <row r="88" spans="1:8" s="79" customFormat="1" hidden="1" x14ac:dyDescent="0.25">
      <c r="A88" s="207" t="s">
        <v>7</v>
      </c>
      <c r="B88" s="109" t="s">
        <v>388</v>
      </c>
      <c r="C88" s="80" t="s">
        <v>6</v>
      </c>
      <c r="D88" s="80"/>
      <c r="E88" s="80"/>
      <c r="F88" s="84">
        <f>(F75*(F74+F73)+F55*(F54+F53)+F30*(F29+F28))/(F14*(F23+F48+F68))</f>
        <v>0.96729239721785321</v>
      </c>
      <c r="G88" s="84">
        <f>(G75*(G74+G73)+G55*(G54+G53)+G30*(G29+G28))/(G14*(G23+G48+G68))</f>
        <v>0.96068149092368316</v>
      </c>
      <c r="H88" s="84">
        <f>(H75*(H74+H73)+H55*(H54+H53)+H30*(H29+H28))/(H14*(H23+H48+H68))</f>
        <v>0.96577089582488862</v>
      </c>
    </row>
    <row r="89" spans="1:8" s="50" customFormat="1" hidden="1" x14ac:dyDescent="0.25">
      <c r="A89" s="207"/>
      <c r="B89" s="111" t="s">
        <v>445</v>
      </c>
      <c r="C89" s="85" t="s">
        <v>417</v>
      </c>
      <c r="D89" s="85"/>
      <c r="E89" s="85"/>
      <c r="F89" s="66">
        <f>F77+F57+F31</f>
        <v>1279.5999999999999</v>
      </c>
      <c r="G89" s="66">
        <f>G77+G57+G31</f>
        <v>1122.6599999999999</v>
      </c>
      <c r="H89" s="66">
        <f>H77+H57+H31</f>
        <v>884.98</v>
      </c>
    </row>
    <row r="90" spans="1:8" s="79" customFormat="1" hidden="1" x14ac:dyDescent="0.25">
      <c r="A90" s="207" t="s">
        <v>463</v>
      </c>
      <c r="B90" s="109" t="s">
        <v>498</v>
      </c>
      <c r="C90" s="80" t="s">
        <v>499</v>
      </c>
      <c r="D90" s="80"/>
      <c r="E90" s="80"/>
      <c r="F90" s="83">
        <v>18.600000000000001</v>
      </c>
      <c r="G90" s="83">
        <v>17.2</v>
      </c>
      <c r="H90" s="83">
        <v>15.1</v>
      </c>
    </row>
    <row r="91" spans="1:8" s="50" customFormat="1" hidden="1" x14ac:dyDescent="0.25">
      <c r="A91" s="207"/>
      <c r="B91" s="111" t="s">
        <v>438</v>
      </c>
      <c r="C91" s="85" t="s">
        <v>1</v>
      </c>
      <c r="D91" s="85"/>
      <c r="E91" s="85"/>
      <c r="F91" s="82">
        <v>0.03</v>
      </c>
      <c r="G91" s="82">
        <v>0.03</v>
      </c>
      <c r="H91" s="82">
        <v>0.03</v>
      </c>
    </row>
    <row r="92" spans="1:8" s="50" customFormat="1" hidden="1" x14ac:dyDescent="0.25">
      <c r="A92" s="207"/>
      <c r="B92" s="111" t="s">
        <v>444</v>
      </c>
      <c r="C92" s="85" t="s">
        <v>1</v>
      </c>
      <c r="D92" s="85"/>
      <c r="E92" s="85"/>
      <c r="F92" s="83">
        <v>68.2</v>
      </c>
      <c r="G92" s="83">
        <v>62.6</v>
      </c>
      <c r="H92" s="83">
        <v>57.6</v>
      </c>
    </row>
    <row r="93" spans="1:8" s="50" customFormat="1" hidden="1" x14ac:dyDescent="0.25">
      <c r="A93" s="207"/>
      <c r="B93" s="111" t="s">
        <v>442</v>
      </c>
      <c r="C93" s="85"/>
      <c r="D93" s="85"/>
      <c r="E93" s="85"/>
      <c r="F93" s="72">
        <f>(F92+F91)*F90/F89</f>
        <v>0.99177711784932809</v>
      </c>
      <c r="G93" s="72">
        <f>(G92+G91)*G90/G89</f>
        <v>0.95953895213154494</v>
      </c>
      <c r="H93" s="72">
        <f>(H92+H91)*H90/H89</f>
        <v>0.98331374720332654</v>
      </c>
    </row>
    <row r="94" spans="1:8" s="50" customFormat="1" hidden="1" x14ac:dyDescent="0.25">
      <c r="A94" s="207"/>
      <c r="B94" s="111" t="s">
        <v>445</v>
      </c>
      <c r="C94" s="85" t="s">
        <v>417</v>
      </c>
      <c r="D94" s="85"/>
      <c r="E94" s="85"/>
      <c r="F94" s="66">
        <f>F92*F90</f>
        <v>1268.5200000000002</v>
      </c>
      <c r="G94" s="66">
        <f>G92*G90</f>
        <v>1076.72</v>
      </c>
      <c r="H94" s="66">
        <f>H92*H90</f>
        <v>869.76</v>
      </c>
    </row>
    <row r="95" spans="1:8" s="46" customFormat="1" hidden="1" x14ac:dyDescent="0.25">
      <c r="A95" s="107"/>
      <c r="B95" s="112"/>
      <c r="C95" s="47"/>
      <c r="D95" s="47"/>
      <c r="E95" s="47"/>
    </row>
    <row r="96" spans="1:8" s="53" customFormat="1" x14ac:dyDescent="0.25">
      <c r="A96" s="207" t="s">
        <v>541</v>
      </c>
      <c r="B96" s="113" t="s">
        <v>369</v>
      </c>
      <c r="C96" s="85" t="s">
        <v>234</v>
      </c>
      <c r="D96" s="85"/>
      <c r="E96" s="85"/>
      <c r="F96" s="74">
        <v>0.55000000000000004</v>
      </c>
      <c r="G96" s="74">
        <v>0.55000000000000004</v>
      </c>
      <c r="H96" s="74">
        <v>0.55000000000000004</v>
      </c>
    </row>
    <row r="97" spans="1:8" s="52" customFormat="1" x14ac:dyDescent="0.25">
      <c r="A97" s="207"/>
      <c r="B97" s="113" t="s">
        <v>380</v>
      </c>
      <c r="C97" s="85" t="s">
        <v>368</v>
      </c>
      <c r="D97" s="85" t="s">
        <v>422</v>
      </c>
      <c r="E97" s="85" t="s">
        <v>471</v>
      </c>
      <c r="F97" s="66">
        <f>F92/F96</f>
        <v>124</v>
      </c>
      <c r="G97" s="66">
        <f>G92/G96</f>
        <v>113.81818181818181</v>
      </c>
      <c r="H97" s="66">
        <f>H92/H96</f>
        <v>104.72727272727272</v>
      </c>
    </row>
    <row r="98" spans="1:8" s="52" customFormat="1" x14ac:dyDescent="0.25">
      <c r="A98" s="207"/>
      <c r="B98" s="113" t="s">
        <v>373</v>
      </c>
      <c r="C98" s="85" t="s">
        <v>359</v>
      </c>
      <c r="D98" s="85"/>
      <c r="E98" s="85"/>
      <c r="F98" s="66">
        <v>110</v>
      </c>
      <c r="G98" s="66">
        <v>110</v>
      </c>
      <c r="H98" s="66">
        <v>110</v>
      </c>
    </row>
    <row r="99" spans="1:8" s="52" customFormat="1" x14ac:dyDescent="0.25">
      <c r="A99" s="207"/>
      <c r="B99" s="113" t="s">
        <v>374</v>
      </c>
      <c r="C99" s="85" t="s">
        <v>360</v>
      </c>
      <c r="D99" s="85" t="s">
        <v>422</v>
      </c>
      <c r="E99" s="85" t="s">
        <v>464</v>
      </c>
      <c r="F99" s="64">
        <v>200</v>
      </c>
      <c r="G99" s="64">
        <v>200</v>
      </c>
      <c r="H99" s="64">
        <v>200</v>
      </c>
    </row>
    <row r="100" spans="1:8" s="54" customFormat="1" hidden="1" x14ac:dyDescent="0.25">
      <c r="A100" s="207"/>
      <c r="B100" s="113" t="s">
        <v>396</v>
      </c>
      <c r="C100" s="85" t="s">
        <v>1</v>
      </c>
      <c r="D100" s="85"/>
      <c r="E100" s="85"/>
      <c r="F100" s="75">
        <v>1.6519999999999999</v>
      </c>
      <c r="G100" s="75">
        <v>1.4990000000000001</v>
      </c>
      <c r="H100" s="75"/>
    </row>
    <row r="101" spans="1:8" s="52" customFormat="1" hidden="1" x14ac:dyDescent="0.25">
      <c r="A101" s="207"/>
      <c r="B101" s="111" t="s">
        <v>458</v>
      </c>
      <c r="C101" s="85" t="s">
        <v>14</v>
      </c>
      <c r="D101" s="85"/>
      <c r="E101" s="85"/>
      <c r="F101" s="66">
        <v>81.5</v>
      </c>
      <c r="G101" s="66">
        <v>78.7</v>
      </c>
      <c r="H101" s="66">
        <v>72.400000000000006</v>
      </c>
    </row>
    <row r="102" spans="1:8" s="52" customFormat="1" hidden="1" x14ac:dyDescent="0.25">
      <c r="A102" s="207"/>
      <c r="B102" s="113" t="s">
        <v>376</v>
      </c>
      <c r="C102" s="85" t="s">
        <v>3</v>
      </c>
      <c r="D102" s="85"/>
      <c r="E102" s="85"/>
      <c r="F102" s="66">
        <v>15.3</v>
      </c>
      <c r="G102" s="66">
        <v>14.1</v>
      </c>
      <c r="H102" s="66">
        <v>12.4</v>
      </c>
    </row>
    <row r="103" spans="1:8" s="50" customFormat="1" hidden="1" x14ac:dyDescent="0.25">
      <c r="A103" s="207"/>
      <c r="B103" s="113" t="s">
        <v>377</v>
      </c>
      <c r="C103" s="85" t="s">
        <v>6</v>
      </c>
      <c r="D103" s="85"/>
      <c r="E103" s="85"/>
      <c r="F103" s="101">
        <f>F102*(F101+F100)/F94</f>
        <v>1.002921199508088</v>
      </c>
      <c r="G103" s="101">
        <f>G102*(G101+G100)/G94</f>
        <v>1.0502320937662528</v>
      </c>
      <c r="H103" s="101">
        <f>H102*(H101+H100)/H94</f>
        <v>1.0321927888153055</v>
      </c>
    </row>
    <row r="104" spans="1:8" s="50" customFormat="1" hidden="1" x14ac:dyDescent="0.25">
      <c r="A104" s="207"/>
      <c r="B104" s="111" t="s">
        <v>416</v>
      </c>
      <c r="C104" s="85" t="s">
        <v>417</v>
      </c>
      <c r="D104" s="85"/>
      <c r="E104" s="85"/>
      <c r="F104" s="66">
        <f>F102*F101</f>
        <v>1246.95</v>
      </c>
      <c r="G104" s="66">
        <f>G102*G101</f>
        <v>1109.67</v>
      </c>
      <c r="H104" s="66">
        <f>H102*H101</f>
        <v>897.7600000000001</v>
      </c>
    </row>
    <row r="105" spans="1:8" s="46" customFormat="1" hidden="1" x14ac:dyDescent="0.25">
      <c r="A105" s="107"/>
      <c r="B105" s="112"/>
      <c r="C105" s="47"/>
      <c r="D105" s="47"/>
      <c r="E105" s="47"/>
    </row>
    <row r="106" spans="1:8" s="51" customFormat="1" x14ac:dyDescent="0.25">
      <c r="A106" s="207" t="s">
        <v>18</v>
      </c>
      <c r="B106" s="113" t="s">
        <v>354</v>
      </c>
      <c r="C106" s="85"/>
      <c r="D106" s="85"/>
      <c r="E106" s="85" t="s">
        <v>468</v>
      </c>
      <c r="F106" s="64">
        <v>4627</v>
      </c>
      <c r="G106" s="64">
        <v>4627</v>
      </c>
      <c r="H106" s="64">
        <v>4627</v>
      </c>
    </row>
    <row r="107" spans="1:8" s="53" customFormat="1" x14ac:dyDescent="0.25">
      <c r="A107" s="207"/>
      <c r="B107" s="113" t="s">
        <v>9</v>
      </c>
      <c r="C107" s="85"/>
      <c r="D107" s="85"/>
      <c r="E107" s="85" t="s">
        <v>347</v>
      </c>
      <c r="F107" s="74">
        <v>0.91</v>
      </c>
      <c r="G107" s="74">
        <v>0.91</v>
      </c>
      <c r="H107" s="74">
        <v>0.91</v>
      </c>
    </row>
    <row r="108" spans="1:8" s="52" customFormat="1" x14ac:dyDescent="0.25">
      <c r="A108" s="207"/>
      <c r="B108" s="113" t="s">
        <v>23</v>
      </c>
      <c r="C108" s="85" t="s">
        <v>11</v>
      </c>
      <c r="D108" s="85" t="s">
        <v>422</v>
      </c>
      <c r="E108" s="85" t="s">
        <v>473</v>
      </c>
      <c r="F108" s="66">
        <v>18.899999999999999</v>
      </c>
      <c r="G108" s="66">
        <v>18.899999999999999</v>
      </c>
      <c r="H108" s="66">
        <v>18.899999999999999</v>
      </c>
    </row>
    <row r="109" spans="1:8" s="52" customFormat="1" hidden="1" x14ac:dyDescent="0.25">
      <c r="A109" s="207"/>
      <c r="B109" s="113" t="s">
        <v>13</v>
      </c>
      <c r="C109" s="85" t="s">
        <v>1</v>
      </c>
      <c r="D109" s="85"/>
      <c r="E109" s="85"/>
      <c r="F109" s="66">
        <v>13.4</v>
      </c>
      <c r="G109" s="66">
        <v>13.4</v>
      </c>
      <c r="H109" s="66">
        <v>13.4</v>
      </c>
    </row>
    <row r="110" spans="1:8" s="78" customFormat="1" hidden="1" x14ac:dyDescent="0.25">
      <c r="A110" s="207" t="s">
        <v>357</v>
      </c>
      <c r="B110" s="109" t="s">
        <v>482</v>
      </c>
      <c r="C110" s="80" t="s">
        <v>483</v>
      </c>
      <c r="D110" s="80"/>
      <c r="E110" s="80"/>
      <c r="F110" s="83">
        <v>27.4</v>
      </c>
      <c r="G110" s="83">
        <v>26.1</v>
      </c>
      <c r="H110" s="83">
        <v>28.1</v>
      </c>
    </row>
    <row r="111" spans="1:8" s="78" customFormat="1" hidden="1" x14ac:dyDescent="0.25">
      <c r="A111" s="207"/>
      <c r="B111" s="110" t="s">
        <v>484</v>
      </c>
      <c r="C111" s="80" t="s">
        <v>483</v>
      </c>
      <c r="D111" s="80"/>
      <c r="E111" s="80"/>
      <c r="F111" s="83">
        <v>136.9</v>
      </c>
      <c r="G111" s="83">
        <v>130.5</v>
      </c>
      <c r="H111" s="83">
        <v>140.30000000000001</v>
      </c>
    </row>
    <row r="112" spans="1:8" s="78" customFormat="1" hidden="1" x14ac:dyDescent="0.25">
      <c r="A112" s="207"/>
      <c r="B112" s="109" t="s">
        <v>430</v>
      </c>
      <c r="C112" s="80" t="s">
        <v>356</v>
      </c>
      <c r="D112" s="80"/>
      <c r="E112" s="80"/>
      <c r="F112" s="83">
        <v>0.6</v>
      </c>
      <c r="G112" s="83">
        <v>0.8</v>
      </c>
      <c r="H112" s="83">
        <v>0.7</v>
      </c>
    </row>
    <row r="113" spans="1:8" s="78" customFormat="1" hidden="1" x14ac:dyDescent="0.25">
      <c r="A113" s="207"/>
      <c r="B113" s="110" t="s">
        <v>431</v>
      </c>
      <c r="C113" s="80" t="s">
        <v>433</v>
      </c>
      <c r="D113" s="80"/>
      <c r="E113" s="80"/>
      <c r="F113" s="89">
        <f>F112/F111</f>
        <v>4.3827611395178961E-3</v>
      </c>
      <c r="G113" s="89">
        <f>G112/G111</f>
        <v>6.1302681992337167E-3</v>
      </c>
      <c r="H113" s="89">
        <f>H112/H111</f>
        <v>4.9893086243763358E-3</v>
      </c>
    </row>
    <row r="114" spans="1:8" s="77" customFormat="1" ht="15.75" x14ac:dyDescent="0.25">
      <c r="A114" s="207"/>
      <c r="B114" s="109" t="s">
        <v>398</v>
      </c>
      <c r="C114" s="80"/>
      <c r="D114" s="87" t="s">
        <v>480</v>
      </c>
      <c r="E114" s="80" t="s">
        <v>474</v>
      </c>
      <c r="F114" s="82">
        <v>5.03</v>
      </c>
      <c r="G114" s="82">
        <v>5</v>
      </c>
      <c r="H114" s="82">
        <v>5.01</v>
      </c>
    </row>
    <row r="115" spans="1:8" s="77" customFormat="1" ht="15.75" x14ac:dyDescent="0.25">
      <c r="A115" s="207"/>
      <c r="B115" s="109" t="s">
        <v>399</v>
      </c>
      <c r="C115" s="80" t="s">
        <v>349</v>
      </c>
      <c r="D115" s="87" t="s">
        <v>480</v>
      </c>
      <c r="E115" s="85" t="s">
        <v>481</v>
      </c>
      <c r="F115" s="82">
        <v>4.09</v>
      </c>
      <c r="G115" s="82">
        <v>3.82</v>
      </c>
      <c r="H115" s="82">
        <v>3.81</v>
      </c>
    </row>
    <row r="116" spans="1:8" s="78" customFormat="1" ht="15.75" x14ac:dyDescent="0.25">
      <c r="A116" s="207"/>
      <c r="B116" s="109" t="s">
        <v>380</v>
      </c>
      <c r="C116" s="80" t="s">
        <v>381</v>
      </c>
      <c r="D116" s="87" t="s">
        <v>423</v>
      </c>
      <c r="E116" s="80" t="s">
        <v>479</v>
      </c>
      <c r="F116" s="83">
        <f>F110*F102/F109</f>
        <v>31.285074626865669</v>
      </c>
      <c r="G116" s="83">
        <f>G110*G102/G109</f>
        <v>27.463432835820893</v>
      </c>
      <c r="H116" s="83">
        <f>H110*H102/H109</f>
        <v>26.002985074626871</v>
      </c>
    </row>
    <row r="117" spans="1:8" s="77" customFormat="1" ht="15.75" x14ac:dyDescent="0.25">
      <c r="A117" s="207"/>
      <c r="B117" s="109" t="s">
        <v>475</v>
      </c>
      <c r="C117" s="80"/>
      <c r="D117" s="87" t="s">
        <v>423</v>
      </c>
      <c r="E117" s="80" t="s">
        <v>477</v>
      </c>
      <c r="F117" s="82">
        <v>6.02</v>
      </c>
      <c r="G117" s="82">
        <v>6.03</v>
      </c>
      <c r="H117" s="82">
        <v>6.02</v>
      </c>
    </row>
    <row r="118" spans="1:8" s="77" customFormat="1" ht="15.75" x14ac:dyDescent="0.25">
      <c r="A118" s="207"/>
      <c r="B118" s="110" t="s">
        <v>476</v>
      </c>
      <c r="C118" s="80" t="s">
        <v>349</v>
      </c>
      <c r="D118" s="87" t="s">
        <v>423</v>
      </c>
      <c r="E118" s="80" t="s">
        <v>478</v>
      </c>
      <c r="F118" s="82">
        <v>18.09</v>
      </c>
      <c r="G118" s="82">
        <v>17.809999999999999</v>
      </c>
      <c r="H118" s="82">
        <v>17.91</v>
      </c>
    </row>
    <row r="119" spans="1:8" s="78" customFormat="1" hidden="1" x14ac:dyDescent="0.25">
      <c r="A119" s="207"/>
      <c r="B119" s="109" t="s">
        <v>375</v>
      </c>
      <c r="C119" s="80" t="s">
        <v>14</v>
      </c>
      <c r="D119" s="80"/>
      <c r="E119" s="80"/>
      <c r="F119" s="83">
        <v>74</v>
      </c>
      <c r="G119" s="83">
        <v>74.2</v>
      </c>
      <c r="H119" s="83">
        <v>70.599999999999994</v>
      </c>
    </row>
    <row r="120" spans="1:8" s="77" customFormat="1" x14ac:dyDescent="0.25">
      <c r="A120" s="207"/>
      <c r="B120" s="109" t="s">
        <v>384</v>
      </c>
      <c r="C120" s="80"/>
      <c r="D120" s="80"/>
      <c r="E120" s="80"/>
      <c r="F120" s="82">
        <f>F119/F109</f>
        <v>5.522388059701492</v>
      </c>
      <c r="G120" s="82">
        <f>G119/G109</f>
        <v>5.5373134328358207</v>
      </c>
      <c r="H120" s="82">
        <f>H119/H109</f>
        <v>5.2686567164179099</v>
      </c>
    </row>
    <row r="121" spans="1:8" s="43" customFormat="1" hidden="1" x14ac:dyDescent="0.25">
      <c r="A121" s="207"/>
      <c r="B121" s="110" t="s">
        <v>500</v>
      </c>
      <c r="C121" s="80" t="s">
        <v>14</v>
      </c>
      <c r="D121" s="80"/>
      <c r="E121" s="80"/>
      <c r="F121" s="86">
        <v>2E-3</v>
      </c>
      <c r="G121" s="86">
        <v>2E-3</v>
      </c>
      <c r="H121" s="86">
        <v>2E-3</v>
      </c>
    </row>
    <row r="122" spans="1:8" s="78" customFormat="1" hidden="1" x14ac:dyDescent="0.25">
      <c r="A122" s="207"/>
      <c r="B122" s="109" t="s">
        <v>397</v>
      </c>
      <c r="C122" s="80" t="s">
        <v>1</v>
      </c>
      <c r="D122" s="80"/>
      <c r="E122" s="80"/>
      <c r="F122" s="83">
        <v>74</v>
      </c>
      <c r="G122" s="83">
        <v>74.2</v>
      </c>
      <c r="H122" s="83">
        <v>70.599999999999994</v>
      </c>
    </row>
    <row r="123" spans="1:8" s="77" customFormat="1" hidden="1" x14ac:dyDescent="0.25">
      <c r="A123" s="207"/>
      <c r="B123" s="109" t="s">
        <v>376</v>
      </c>
      <c r="C123" s="80" t="s">
        <v>3</v>
      </c>
      <c r="D123" s="80"/>
      <c r="E123" s="80"/>
      <c r="F123" s="83">
        <v>3.6</v>
      </c>
      <c r="G123" s="83">
        <v>3.3</v>
      </c>
      <c r="H123" s="83">
        <v>3.2</v>
      </c>
    </row>
    <row r="124" spans="1:8" s="79" customFormat="1" hidden="1" x14ac:dyDescent="0.25">
      <c r="A124" s="207"/>
      <c r="B124" s="109" t="s">
        <v>377</v>
      </c>
      <c r="C124" s="80" t="s">
        <v>6</v>
      </c>
      <c r="D124" s="80"/>
      <c r="E124" s="80"/>
      <c r="F124" s="84">
        <f>F123*(F122+F121)/F102/F110</f>
        <v>0.63548303993130095</v>
      </c>
      <c r="G124" s="84">
        <f>G123*(G122+G121)/G102/G110</f>
        <v>0.66538028857911458</v>
      </c>
      <c r="H124" s="84">
        <f>H123*(H122+H121)/H102/H110</f>
        <v>0.64839398461715059</v>
      </c>
    </row>
    <row r="125" spans="1:8" s="79" customFormat="1" hidden="1" x14ac:dyDescent="0.25">
      <c r="A125" s="207"/>
      <c r="B125" s="110" t="s">
        <v>485</v>
      </c>
      <c r="C125" s="80" t="s">
        <v>417</v>
      </c>
      <c r="D125" s="80"/>
      <c r="E125" s="80"/>
      <c r="F125" s="83">
        <f>F123*F122</f>
        <v>266.40000000000003</v>
      </c>
      <c r="G125" s="83">
        <f>G123*G122</f>
        <v>244.85999999999999</v>
      </c>
      <c r="H125" s="83">
        <f>H123*H122</f>
        <v>225.92</v>
      </c>
    </row>
    <row r="126" spans="1:8" s="77" customFormat="1" hidden="1" x14ac:dyDescent="0.25">
      <c r="A126" s="207" t="s">
        <v>439</v>
      </c>
      <c r="B126" s="38" t="s">
        <v>482</v>
      </c>
      <c r="C126" s="38" t="s">
        <v>483</v>
      </c>
      <c r="D126" s="80"/>
      <c r="E126" s="80"/>
      <c r="F126" s="83">
        <v>26.9</v>
      </c>
      <c r="G126" s="83">
        <v>26.1</v>
      </c>
      <c r="H126" s="83">
        <v>28.3</v>
      </c>
    </row>
    <row r="127" spans="1:8" s="77" customFormat="1" hidden="1" x14ac:dyDescent="0.25">
      <c r="A127" s="207"/>
      <c r="B127" s="49" t="s">
        <v>484</v>
      </c>
      <c r="C127" s="38" t="s">
        <v>483</v>
      </c>
      <c r="D127" s="80"/>
      <c r="E127" s="80"/>
      <c r="F127" s="83">
        <v>134.6</v>
      </c>
      <c r="G127" s="83">
        <v>130.5</v>
      </c>
      <c r="H127" s="83">
        <v>141</v>
      </c>
    </row>
    <row r="128" spans="1:8" s="78" customFormat="1" hidden="1" x14ac:dyDescent="0.25">
      <c r="A128" s="207"/>
      <c r="B128" s="38" t="s">
        <v>430</v>
      </c>
      <c r="C128" s="38" t="s">
        <v>356</v>
      </c>
      <c r="D128" s="80"/>
      <c r="E128" s="80"/>
      <c r="F128" s="83">
        <v>0.8</v>
      </c>
      <c r="G128" s="83">
        <v>0.8</v>
      </c>
      <c r="H128" s="83">
        <v>0.6</v>
      </c>
    </row>
    <row r="129" spans="1:8" s="77" customFormat="1" hidden="1" x14ac:dyDescent="0.25">
      <c r="A129" s="207"/>
      <c r="B129" s="49" t="s">
        <v>431</v>
      </c>
      <c r="C129" s="38" t="s">
        <v>433</v>
      </c>
      <c r="D129" s="80"/>
      <c r="E129" s="80"/>
      <c r="F129" s="88">
        <f>F128/F127</f>
        <v>5.9435364041604761E-3</v>
      </c>
      <c r="G129" s="88">
        <f>G128/G127</f>
        <v>6.1302681992337167E-3</v>
      </c>
      <c r="H129" s="88">
        <f>H128/H127</f>
        <v>4.2553191489361703E-3</v>
      </c>
    </row>
    <row r="130" spans="1:8" s="77" customFormat="1" ht="15.75" x14ac:dyDescent="0.25">
      <c r="A130" s="207"/>
      <c r="B130" s="109" t="s">
        <v>398</v>
      </c>
      <c r="C130" s="80"/>
      <c r="D130" s="87" t="s">
        <v>480</v>
      </c>
      <c r="E130" s="80" t="s">
        <v>474</v>
      </c>
      <c r="F130" s="82">
        <v>4.92</v>
      </c>
      <c r="G130" s="82">
        <v>5</v>
      </c>
      <c r="H130" s="82">
        <v>4.9800000000000004</v>
      </c>
    </row>
    <row r="131" spans="1:8" s="77" customFormat="1" ht="15.75" x14ac:dyDescent="0.25">
      <c r="A131" s="207"/>
      <c r="B131" s="109" t="s">
        <v>399</v>
      </c>
      <c r="C131" s="80" t="s">
        <v>349</v>
      </c>
      <c r="D131" s="87" t="s">
        <v>480</v>
      </c>
      <c r="E131" s="85" t="s">
        <v>481</v>
      </c>
      <c r="F131" s="82">
        <v>4.04</v>
      </c>
      <c r="G131" s="82">
        <v>3.95</v>
      </c>
      <c r="H131" s="82">
        <v>3.75</v>
      </c>
    </row>
    <row r="132" spans="1:8" s="78" customFormat="1" ht="15.75" x14ac:dyDescent="0.25">
      <c r="A132" s="207"/>
      <c r="B132" s="109" t="s">
        <v>380</v>
      </c>
      <c r="C132" s="80" t="s">
        <v>381</v>
      </c>
      <c r="D132" s="87" t="s">
        <v>423</v>
      </c>
      <c r="E132" s="80" t="s">
        <v>479</v>
      </c>
      <c r="F132" s="83">
        <f>F126*F102/F109</f>
        <v>30.714179104477612</v>
      </c>
      <c r="G132" s="83">
        <f>G126*G102/G109</f>
        <v>27.463432835820893</v>
      </c>
      <c r="H132" s="83">
        <f>H126*H102/H109</f>
        <v>26.188059701492538</v>
      </c>
    </row>
    <row r="133" spans="1:8" s="77" customFormat="1" ht="15.75" x14ac:dyDescent="0.25">
      <c r="A133" s="207"/>
      <c r="B133" s="109" t="s">
        <v>475</v>
      </c>
      <c r="C133" s="80"/>
      <c r="D133" s="87" t="s">
        <v>423</v>
      </c>
      <c r="E133" s="80" t="s">
        <v>477</v>
      </c>
      <c r="F133" s="82">
        <v>6.03</v>
      </c>
      <c r="G133" s="82">
        <v>6.03</v>
      </c>
      <c r="H133" s="82">
        <v>6.02</v>
      </c>
    </row>
    <row r="134" spans="1:8" s="78" customFormat="1" ht="15.75" x14ac:dyDescent="0.25">
      <c r="A134" s="207"/>
      <c r="B134" s="110" t="s">
        <v>476</v>
      </c>
      <c r="C134" s="80" t="s">
        <v>349</v>
      </c>
      <c r="D134" s="87" t="s">
        <v>423</v>
      </c>
      <c r="E134" s="80" t="s">
        <v>478</v>
      </c>
      <c r="F134" s="82">
        <v>18.12</v>
      </c>
      <c r="G134" s="82">
        <v>17.88</v>
      </c>
      <c r="H134" s="82">
        <v>17.88</v>
      </c>
    </row>
    <row r="135" spans="1:8" s="78" customFormat="1" hidden="1" x14ac:dyDescent="0.25">
      <c r="A135" s="207"/>
      <c r="B135" s="109" t="s">
        <v>375</v>
      </c>
      <c r="C135" s="80" t="s">
        <v>1</v>
      </c>
      <c r="D135" s="80"/>
      <c r="E135" s="80"/>
      <c r="F135" s="83">
        <v>69.400000000000006</v>
      </c>
      <c r="G135" s="83">
        <v>70.2</v>
      </c>
      <c r="H135" s="83">
        <v>66.900000000000006</v>
      </c>
    </row>
    <row r="136" spans="1:8" s="77" customFormat="1" x14ac:dyDescent="0.25">
      <c r="A136" s="207"/>
      <c r="B136" s="109" t="s">
        <v>384</v>
      </c>
      <c r="C136" s="80"/>
      <c r="D136" s="80"/>
      <c r="E136" s="80"/>
      <c r="F136" s="82">
        <f>F135/F109</f>
        <v>5.1791044776119408</v>
      </c>
      <c r="G136" s="82">
        <f>G135/G109</f>
        <v>5.2388059701492535</v>
      </c>
      <c r="H136" s="82">
        <f>H135/H109</f>
        <v>4.9925373134328357</v>
      </c>
    </row>
    <row r="137" spans="1:8" s="43" customFormat="1" hidden="1" x14ac:dyDescent="0.25">
      <c r="A137" s="207"/>
      <c r="B137" s="109" t="s">
        <v>402</v>
      </c>
      <c r="C137" s="80" t="s">
        <v>1</v>
      </c>
      <c r="D137" s="80"/>
      <c r="E137" s="80"/>
      <c r="F137" s="86">
        <v>2E-3</v>
      </c>
      <c r="G137" s="86">
        <v>2E-3</v>
      </c>
      <c r="H137" s="86">
        <v>2E-3</v>
      </c>
    </row>
    <row r="138" spans="1:8" s="78" customFormat="1" hidden="1" x14ac:dyDescent="0.25">
      <c r="A138" s="207"/>
      <c r="B138" s="109" t="s">
        <v>397</v>
      </c>
      <c r="C138" s="80" t="s">
        <v>1</v>
      </c>
      <c r="D138" s="80"/>
      <c r="E138" s="80"/>
      <c r="F138" s="83">
        <v>69.400000000000006</v>
      </c>
      <c r="G138" s="83">
        <v>70.2</v>
      </c>
      <c r="H138" s="83">
        <v>66.900000000000006</v>
      </c>
    </row>
    <row r="139" spans="1:8" s="77" customFormat="1" hidden="1" x14ac:dyDescent="0.25">
      <c r="A139" s="207"/>
      <c r="B139" s="109" t="s">
        <v>376</v>
      </c>
      <c r="C139" s="80" t="s">
        <v>3</v>
      </c>
      <c r="D139" s="80"/>
      <c r="E139" s="80"/>
      <c r="F139" s="83">
        <v>3.8</v>
      </c>
      <c r="G139" s="83">
        <v>3.4</v>
      </c>
      <c r="H139" s="83">
        <v>3</v>
      </c>
    </row>
    <row r="140" spans="1:8" s="79" customFormat="1" hidden="1" x14ac:dyDescent="0.25">
      <c r="A140" s="207"/>
      <c r="B140" s="109" t="s">
        <v>377</v>
      </c>
      <c r="C140" s="80" t="s">
        <v>6</v>
      </c>
      <c r="D140" s="80"/>
      <c r="E140" s="80"/>
      <c r="F140" s="84">
        <f>(F138+F137)*F139/F126/F102</f>
        <v>0.64078431372549016</v>
      </c>
      <c r="G140" s="84">
        <f>(G138+G137)*G139/G126/G102</f>
        <v>0.64858781011385547</v>
      </c>
      <c r="H140" s="84">
        <f>(H138+H137)*H139/H126/H102</f>
        <v>0.57194232303658954</v>
      </c>
    </row>
    <row r="141" spans="1:8" s="79" customFormat="1" hidden="1" x14ac:dyDescent="0.25">
      <c r="A141" s="207"/>
      <c r="B141" s="110" t="s">
        <v>485</v>
      </c>
      <c r="C141" s="80" t="s">
        <v>417</v>
      </c>
      <c r="D141" s="80"/>
      <c r="E141" s="80"/>
      <c r="F141" s="76">
        <f>F138*F139</f>
        <v>263.72000000000003</v>
      </c>
      <c r="G141" s="76">
        <f>G138*G139</f>
        <v>238.68</v>
      </c>
      <c r="H141" s="76">
        <f>H138*H139</f>
        <v>200.70000000000002</v>
      </c>
    </row>
    <row r="142" spans="1:8" s="77" customFormat="1" hidden="1" x14ac:dyDescent="0.25">
      <c r="A142" s="207" t="s">
        <v>486</v>
      </c>
      <c r="B142" s="109" t="s">
        <v>482</v>
      </c>
      <c r="C142" s="80" t="s">
        <v>483</v>
      </c>
      <c r="D142" s="80"/>
      <c r="E142" s="80"/>
      <c r="F142" s="83">
        <v>27.2</v>
      </c>
      <c r="G142" s="83">
        <v>26.5</v>
      </c>
      <c r="H142" s="83">
        <v>0</v>
      </c>
    </row>
    <row r="143" spans="1:8" s="77" customFormat="1" hidden="1" x14ac:dyDescent="0.25">
      <c r="A143" s="207"/>
      <c r="B143" s="110" t="s">
        <v>484</v>
      </c>
      <c r="C143" s="80" t="s">
        <v>483</v>
      </c>
      <c r="D143" s="80"/>
      <c r="E143" s="80"/>
      <c r="F143" s="83">
        <v>136.80000000000001</v>
      </c>
      <c r="G143" s="83">
        <v>132.5</v>
      </c>
      <c r="H143" s="83">
        <v>0</v>
      </c>
    </row>
    <row r="144" spans="1:8" s="78" customFormat="1" hidden="1" x14ac:dyDescent="0.25">
      <c r="A144" s="207"/>
      <c r="B144" s="109" t="s">
        <v>430</v>
      </c>
      <c r="C144" s="80" t="s">
        <v>356</v>
      </c>
      <c r="D144" s="80"/>
      <c r="E144" s="80"/>
      <c r="F144" s="83">
        <v>0.7</v>
      </c>
      <c r="G144" s="83">
        <v>0.5</v>
      </c>
      <c r="H144" s="83">
        <v>0</v>
      </c>
    </row>
    <row r="145" spans="1:8" s="77" customFormat="1" hidden="1" x14ac:dyDescent="0.25">
      <c r="A145" s="207"/>
      <c r="B145" s="110" t="s">
        <v>431</v>
      </c>
      <c r="C145" s="80" t="s">
        <v>433</v>
      </c>
      <c r="D145" s="80"/>
      <c r="E145" s="80"/>
      <c r="F145" s="88">
        <f>F144/F143</f>
        <v>5.1169590643274842E-3</v>
      </c>
      <c r="G145" s="88">
        <f>G144/G143</f>
        <v>3.7735849056603774E-3</v>
      </c>
      <c r="H145" s="83">
        <v>0</v>
      </c>
    </row>
    <row r="146" spans="1:8" s="77" customFormat="1" ht="15.75" x14ac:dyDescent="0.25">
      <c r="A146" s="207"/>
      <c r="B146" s="109" t="s">
        <v>398</v>
      </c>
      <c r="C146" s="80"/>
      <c r="D146" s="87" t="s">
        <v>480</v>
      </c>
      <c r="E146" s="80" t="s">
        <v>474</v>
      </c>
      <c r="F146" s="82">
        <v>5.01</v>
      </c>
      <c r="G146" s="82">
        <v>5.0199999999999996</v>
      </c>
      <c r="H146" s="83">
        <v>0</v>
      </c>
    </row>
    <row r="147" spans="1:8" s="77" customFormat="1" ht="15.75" x14ac:dyDescent="0.25">
      <c r="A147" s="207"/>
      <c r="B147" s="109" t="s">
        <v>399</v>
      </c>
      <c r="C147" s="80" t="s">
        <v>349</v>
      </c>
      <c r="D147" s="87" t="s">
        <v>480</v>
      </c>
      <c r="E147" s="85" t="s">
        <v>481</v>
      </c>
      <c r="F147" s="82">
        <v>3.98</v>
      </c>
      <c r="G147" s="82">
        <v>3.84</v>
      </c>
      <c r="H147" s="83">
        <v>0</v>
      </c>
    </row>
    <row r="148" spans="1:8" s="78" customFormat="1" ht="15.75" x14ac:dyDescent="0.25">
      <c r="A148" s="207"/>
      <c r="B148" s="109" t="s">
        <v>380</v>
      </c>
      <c r="C148" s="80" t="s">
        <v>381</v>
      </c>
      <c r="D148" s="87" t="s">
        <v>423</v>
      </c>
      <c r="E148" s="80" t="s">
        <v>479</v>
      </c>
      <c r="F148" s="83">
        <f>F142*F102/F109</f>
        <v>31.056716417910447</v>
      </c>
      <c r="G148" s="83">
        <f>G142*G102/G109</f>
        <v>27.884328358208954</v>
      </c>
      <c r="H148" s="83">
        <v>0</v>
      </c>
    </row>
    <row r="149" spans="1:8" s="77" customFormat="1" ht="15.75" x14ac:dyDescent="0.25">
      <c r="A149" s="207"/>
      <c r="B149" s="109" t="s">
        <v>475</v>
      </c>
      <c r="C149" s="80"/>
      <c r="D149" s="87" t="s">
        <v>423</v>
      </c>
      <c r="E149" s="80" t="s">
        <v>477</v>
      </c>
      <c r="F149" s="82">
        <v>6.01</v>
      </c>
      <c r="G149" s="82">
        <v>6</v>
      </c>
      <c r="H149" s="83">
        <v>0</v>
      </c>
    </row>
    <row r="150" spans="1:8" s="78" customFormat="1" ht="15.75" x14ac:dyDescent="0.25">
      <c r="A150" s="207"/>
      <c r="B150" s="110" t="s">
        <v>476</v>
      </c>
      <c r="C150" s="80" t="s">
        <v>349</v>
      </c>
      <c r="D150" s="87" t="s">
        <v>423</v>
      </c>
      <c r="E150" s="80" t="s">
        <v>478</v>
      </c>
      <c r="F150" s="82">
        <v>18.04</v>
      </c>
      <c r="G150" s="82">
        <v>18.02</v>
      </c>
      <c r="H150" s="83">
        <v>0</v>
      </c>
    </row>
    <row r="151" spans="1:8" s="78" customFormat="1" hidden="1" x14ac:dyDescent="0.25">
      <c r="A151" s="207"/>
      <c r="B151" s="109" t="s">
        <v>375</v>
      </c>
      <c r="C151" s="80" t="s">
        <v>1</v>
      </c>
      <c r="D151" s="80"/>
      <c r="E151" s="80"/>
      <c r="F151" s="83">
        <v>77.3</v>
      </c>
      <c r="G151" s="83">
        <v>67</v>
      </c>
      <c r="H151" s="83">
        <v>0</v>
      </c>
    </row>
    <row r="152" spans="1:8" s="77" customFormat="1" x14ac:dyDescent="0.25">
      <c r="A152" s="207"/>
      <c r="B152" s="109" t="s">
        <v>384</v>
      </c>
      <c r="C152" s="80"/>
      <c r="D152" s="80"/>
      <c r="E152" s="80"/>
      <c r="F152" s="82">
        <f>F151/F109</f>
        <v>5.7686567164179099</v>
      </c>
      <c r="G152" s="82">
        <f>G151/G109</f>
        <v>5</v>
      </c>
      <c r="H152" s="83">
        <v>0</v>
      </c>
    </row>
    <row r="153" spans="1:8" s="43" customFormat="1" hidden="1" x14ac:dyDescent="0.25">
      <c r="A153" s="207"/>
      <c r="B153" s="109" t="s">
        <v>402</v>
      </c>
      <c r="C153" s="80" t="s">
        <v>1</v>
      </c>
      <c r="D153" s="80"/>
      <c r="E153" s="80"/>
      <c r="F153" s="86">
        <v>2E-3</v>
      </c>
      <c r="G153" s="86">
        <v>2E-3</v>
      </c>
      <c r="H153" s="83">
        <v>0</v>
      </c>
    </row>
    <row r="154" spans="1:8" s="78" customFormat="1" hidden="1" x14ac:dyDescent="0.25">
      <c r="A154" s="207"/>
      <c r="B154" s="109" t="s">
        <v>397</v>
      </c>
      <c r="C154" s="80" t="s">
        <v>1</v>
      </c>
      <c r="D154" s="80"/>
      <c r="E154" s="80"/>
      <c r="F154" s="83">
        <v>77.3</v>
      </c>
      <c r="G154" s="83">
        <v>67</v>
      </c>
      <c r="H154" s="83">
        <v>0</v>
      </c>
    </row>
    <row r="155" spans="1:8" s="77" customFormat="1" hidden="1" x14ac:dyDescent="0.25">
      <c r="A155" s="207"/>
      <c r="B155" s="109" t="s">
        <v>376</v>
      </c>
      <c r="C155" s="80" t="s">
        <v>3</v>
      </c>
      <c r="D155" s="80"/>
      <c r="E155" s="80"/>
      <c r="F155" s="83">
        <v>3.6</v>
      </c>
      <c r="G155" s="83">
        <v>3.4</v>
      </c>
      <c r="H155" s="83">
        <v>0</v>
      </c>
    </row>
    <row r="156" spans="1:8" s="79" customFormat="1" hidden="1" x14ac:dyDescent="0.25">
      <c r="A156" s="207"/>
      <c r="B156" s="109" t="s">
        <v>377</v>
      </c>
      <c r="C156" s="80" t="s">
        <v>6</v>
      </c>
      <c r="D156" s="80"/>
      <c r="E156" s="80"/>
      <c r="F156" s="84">
        <f>F155*F154/F142/F102</f>
        <v>0.66868512110726641</v>
      </c>
      <c r="G156" s="84">
        <f>G155*G154/G142/G102</f>
        <v>0.6096614478790312</v>
      </c>
      <c r="H156" s="83">
        <v>0</v>
      </c>
    </row>
    <row r="157" spans="1:8" s="79" customFormat="1" hidden="1" x14ac:dyDescent="0.25">
      <c r="A157" s="207"/>
      <c r="B157" s="110" t="s">
        <v>485</v>
      </c>
      <c r="C157" s="80" t="s">
        <v>417</v>
      </c>
      <c r="D157" s="80"/>
      <c r="E157" s="80"/>
      <c r="F157" s="83">
        <f>F155*F154</f>
        <v>278.27999999999997</v>
      </c>
      <c r="G157" s="83">
        <f>G155*G154</f>
        <v>227.79999999999998</v>
      </c>
      <c r="H157" s="83">
        <v>0</v>
      </c>
    </row>
    <row r="158" spans="1:8" s="79" customFormat="1" hidden="1" x14ac:dyDescent="0.25">
      <c r="A158" s="207" t="s">
        <v>18</v>
      </c>
      <c r="B158" s="109" t="s">
        <v>388</v>
      </c>
      <c r="C158" s="80" t="s">
        <v>6</v>
      </c>
      <c r="D158" s="80"/>
      <c r="E158" s="80"/>
      <c r="F158" s="84">
        <f t="shared" ref="F158:G158" si="0">(F155*(F154+F153)+F139*(F138+F137)+F123*(F122+F121))/(F102*(F110+F126+F142))</f>
        <v>0.64831949957897261</v>
      </c>
      <c r="G158" s="84">
        <f t="shared" si="0"/>
        <v>0.64105562915100878</v>
      </c>
      <c r="H158" s="84">
        <f>(H155*(H154+H153)+H139*(H138+H137)+H123*(H122+H121))/(H102*(H110+H126+H142))</f>
        <v>0.61003260123541503</v>
      </c>
    </row>
    <row r="159" spans="1:8" s="79" customFormat="1" hidden="1" x14ac:dyDescent="0.25">
      <c r="A159" s="207"/>
      <c r="B159" s="109" t="s">
        <v>437</v>
      </c>
      <c r="C159" s="80" t="s">
        <v>3</v>
      </c>
      <c r="D159" s="80"/>
      <c r="E159" s="80"/>
      <c r="F159" s="83">
        <v>3.6</v>
      </c>
      <c r="G159" s="83">
        <v>3.3</v>
      </c>
      <c r="H159" s="83">
        <v>3.2</v>
      </c>
    </row>
    <row r="160" spans="1:8" s="79" customFormat="1" hidden="1" x14ac:dyDescent="0.25">
      <c r="A160" s="207"/>
      <c r="B160" s="109" t="s">
        <v>438</v>
      </c>
      <c r="C160" s="80" t="s">
        <v>1</v>
      </c>
      <c r="D160" s="80"/>
      <c r="E160" s="80"/>
      <c r="F160" s="82">
        <v>28.4</v>
      </c>
      <c r="G160" s="82">
        <v>28.45</v>
      </c>
      <c r="H160" s="82">
        <v>80.400000000000006</v>
      </c>
    </row>
    <row r="161" spans="1:8" s="79" customFormat="1" hidden="1" x14ac:dyDescent="0.25">
      <c r="A161" s="207"/>
      <c r="B161" s="109" t="s">
        <v>444</v>
      </c>
      <c r="C161" s="80" t="s">
        <v>1</v>
      </c>
      <c r="D161" s="80"/>
      <c r="E161" s="80"/>
      <c r="F161" s="83">
        <v>190.5</v>
      </c>
      <c r="G161" s="83">
        <v>183</v>
      </c>
      <c r="H161" s="83">
        <v>57.1</v>
      </c>
    </row>
    <row r="162" spans="1:8" s="79" customFormat="1" hidden="1" x14ac:dyDescent="0.25">
      <c r="A162" s="207"/>
      <c r="B162" s="109" t="s">
        <v>447</v>
      </c>
      <c r="C162" s="80" t="s">
        <v>6</v>
      </c>
      <c r="D162" s="80"/>
      <c r="E162" s="80"/>
      <c r="F162" s="84">
        <f>F159*(F161+F160)/(F157+F141+F125)</f>
        <v>0.9748144482929243</v>
      </c>
      <c r="G162" s="84">
        <f>G159*(G161+G160)/(G157+G141+G125)</f>
        <v>0.98094441476649696</v>
      </c>
      <c r="H162" s="84">
        <f>H159*(H161+H160)/(H157+H141+H125)</f>
        <v>1.0313628053068304</v>
      </c>
    </row>
    <row r="163" spans="1:8" s="79" customFormat="1" hidden="1" x14ac:dyDescent="0.25">
      <c r="A163" s="207"/>
      <c r="B163" s="109" t="s">
        <v>442</v>
      </c>
      <c r="C163" s="80" t="s">
        <v>6</v>
      </c>
      <c r="D163" s="80"/>
      <c r="E163" s="80"/>
      <c r="F163" s="84">
        <f>F158*F162</f>
        <v>0.63199121529962099</v>
      </c>
      <c r="G163" s="84">
        <f>G158*G162</f>
        <v>0.62883993897030477</v>
      </c>
      <c r="H163" s="84">
        <f>H158*H162</f>
        <v>0.62916493493878067</v>
      </c>
    </row>
    <row r="164" spans="1:8" s="79" customFormat="1" hidden="1" x14ac:dyDescent="0.25">
      <c r="A164" s="207"/>
      <c r="B164" s="109" t="s">
        <v>416</v>
      </c>
      <c r="C164" s="80" t="s">
        <v>417</v>
      </c>
      <c r="D164" s="80"/>
      <c r="E164" s="80"/>
      <c r="F164" s="83">
        <f>F159*F161</f>
        <v>685.80000000000007</v>
      </c>
      <c r="G164" s="83">
        <f>G159*G161</f>
        <v>603.9</v>
      </c>
      <c r="H164" s="83">
        <f>H159*H161</f>
        <v>182.72000000000003</v>
      </c>
    </row>
    <row r="165" spans="1:8" s="46" customFormat="1" hidden="1" x14ac:dyDescent="0.25">
      <c r="A165" s="107"/>
      <c r="B165" s="45"/>
      <c r="C165" s="45"/>
      <c r="D165" s="45"/>
      <c r="E165" s="45"/>
    </row>
    <row r="166" spans="1:8" x14ac:dyDescent="0.25">
      <c r="A166" s="208" t="s">
        <v>348</v>
      </c>
      <c r="B166" s="114" t="s">
        <v>354</v>
      </c>
      <c r="C166" s="91"/>
      <c r="D166" s="91"/>
      <c r="E166" s="91" t="s">
        <v>468</v>
      </c>
      <c r="F166" s="91">
        <v>6393</v>
      </c>
      <c r="G166" s="91">
        <v>6393</v>
      </c>
      <c r="H166" s="91">
        <v>6393</v>
      </c>
    </row>
    <row r="167" spans="1:8" s="77" customFormat="1" x14ac:dyDescent="0.25">
      <c r="A167" s="208"/>
      <c r="B167" s="114" t="s">
        <v>9</v>
      </c>
      <c r="C167" s="91"/>
      <c r="D167" s="91"/>
      <c r="E167" s="91" t="s">
        <v>361</v>
      </c>
      <c r="F167" s="91">
        <v>1.03</v>
      </c>
      <c r="G167" s="91">
        <v>1.03</v>
      </c>
      <c r="H167" s="91">
        <v>1.03</v>
      </c>
    </row>
    <row r="168" spans="1:8" s="78" customFormat="1" x14ac:dyDescent="0.25">
      <c r="A168" s="208"/>
      <c r="B168" s="114" t="s">
        <v>23</v>
      </c>
      <c r="C168" s="91" t="s">
        <v>11</v>
      </c>
      <c r="D168" s="91"/>
      <c r="E168" s="91" t="s">
        <v>12</v>
      </c>
      <c r="F168" s="91">
        <v>23.4</v>
      </c>
      <c r="G168" s="91">
        <v>23.4</v>
      </c>
      <c r="H168" s="91">
        <v>23.4</v>
      </c>
    </row>
    <row r="169" spans="1:8" s="78" customFormat="1" hidden="1" x14ac:dyDescent="0.25">
      <c r="A169" s="208"/>
      <c r="B169" s="114" t="s">
        <v>13</v>
      </c>
      <c r="C169" s="91" t="s">
        <v>14</v>
      </c>
      <c r="D169" s="91"/>
      <c r="E169" s="91"/>
      <c r="F169" s="91">
        <v>66.099999999999994</v>
      </c>
      <c r="G169" s="91">
        <v>66.099999999999994</v>
      </c>
      <c r="H169" s="91">
        <v>66.099999999999994</v>
      </c>
    </row>
    <row r="170" spans="1:8" s="78" customFormat="1" x14ac:dyDescent="0.25">
      <c r="A170" s="208"/>
      <c r="B170" s="114" t="s">
        <v>380</v>
      </c>
      <c r="C170" s="91" t="s">
        <v>381</v>
      </c>
      <c r="D170" s="91" t="s">
        <v>422</v>
      </c>
      <c r="E170" s="91" t="s">
        <v>489</v>
      </c>
      <c r="F170" s="97">
        <f>F164/F169</f>
        <v>10.375189107413012</v>
      </c>
      <c r="G170" s="97">
        <f>G164/G169</f>
        <v>9.1361573373676244</v>
      </c>
      <c r="H170" s="68">
        <f>H164/H169</f>
        <v>2.7642965204236014</v>
      </c>
    </row>
    <row r="171" spans="1:8" s="78" customFormat="1" x14ac:dyDescent="0.25">
      <c r="A171" s="208"/>
      <c r="B171" s="114" t="s">
        <v>400</v>
      </c>
      <c r="C171" s="91"/>
      <c r="D171" s="91" t="s">
        <v>422</v>
      </c>
      <c r="E171" s="91" t="s">
        <v>490</v>
      </c>
      <c r="F171" s="91">
        <v>7.75</v>
      </c>
      <c r="G171" s="91">
        <v>7.74</v>
      </c>
      <c r="H171" s="103">
        <v>7.78</v>
      </c>
    </row>
    <row r="172" spans="1:8" s="78" customFormat="1" ht="15.75" x14ac:dyDescent="0.25">
      <c r="A172" s="208"/>
      <c r="B172" s="115" t="s">
        <v>507</v>
      </c>
      <c r="C172" s="91" t="s">
        <v>349</v>
      </c>
      <c r="D172" s="93" t="s">
        <v>422</v>
      </c>
      <c r="E172" s="91" t="s">
        <v>511</v>
      </c>
      <c r="F172" s="98">
        <v>1.323</v>
      </c>
      <c r="G172" s="98">
        <v>1.325</v>
      </c>
      <c r="H172" s="104">
        <v>1.3109999999999999</v>
      </c>
    </row>
    <row r="173" spans="1:8" s="78" customFormat="1" x14ac:dyDescent="0.25">
      <c r="A173" s="208"/>
      <c r="B173" s="116" t="s">
        <v>398</v>
      </c>
      <c r="C173" s="91"/>
      <c r="D173" s="91" t="s">
        <v>422</v>
      </c>
      <c r="E173" s="91" t="s">
        <v>490</v>
      </c>
      <c r="F173" s="91">
        <v>7.8</v>
      </c>
      <c r="G173" s="91">
        <v>7.8</v>
      </c>
      <c r="H173" s="103">
        <v>7.8</v>
      </c>
    </row>
    <row r="174" spans="1:8" s="78" customFormat="1" hidden="1" x14ac:dyDescent="0.25">
      <c r="A174" s="208"/>
      <c r="B174" s="115" t="s">
        <v>487</v>
      </c>
      <c r="C174" s="91" t="s">
        <v>356</v>
      </c>
      <c r="D174" s="91"/>
      <c r="E174" s="91"/>
      <c r="F174" s="83">
        <v>1.1000000000000001</v>
      </c>
      <c r="G174" s="83">
        <v>0.7</v>
      </c>
      <c r="H174" s="83">
        <v>0.4</v>
      </c>
    </row>
    <row r="175" spans="1:8" s="78" customFormat="1" hidden="1" x14ac:dyDescent="0.25">
      <c r="A175" s="208"/>
      <c r="B175" s="115" t="s">
        <v>488</v>
      </c>
      <c r="C175" s="91" t="s">
        <v>433</v>
      </c>
      <c r="D175" s="91"/>
      <c r="E175" s="91"/>
      <c r="F175" s="98">
        <f>F174/F161</f>
        <v>5.7742782152230979E-3</v>
      </c>
      <c r="G175" s="98">
        <f>G174/G161</f>
        <v>3.8251366120218575E-3</v>
      </c>
      <c r="H175" s="86">
        <f>H174/H161</f>
        <v>7.0052539404553416E-3</v>
      </c>
    </row>
    <row r="176" spans="1:8" s="78" customFormat="1" hidden="1" x14ac:dyDescent="0.25">
      <c r="A176" s="208"/>
      <c r="B176" s="114" t="s">
        <v>375</v>
      </c>
      <c r="C176" s="91" t="s">
        <v>14</v>
      </c>
      <c r="D176" s="91"/>
      <c r="E176" s="91"/>
      <c r="F176" s="83">
        <v>480.3</v>
      </c>
      <c r="G176" s="83">
        <v>462.2</v>
      </c>
      <c r="H176" s="83">
        <v>147</v>
      </c>
    </row>
    <row r="177" spans="1:9" s="78" customFormat="1" ht="14.25" hidden="1" customHeight="1" x14ac:dyDescent="0.25">
      <c r="A177" s="208"/>
      <c r="B177" s="115" t="s">
        <v>508</v>
      </c>
      <c r="C177" s="91" t="s">
        <v>356</v>
      </c>
      <c r="D177" s="91"/>
      <c r="E177" s="91"/>
      <c r="F177" s="83">
        <v>0.4</v>
      </c>
      <c r="G177" s="83">
        <v>0.3</v>
      </c>
      <c r="H177" s="83">
        <v>0.1</v>
      </c>
    </row>
    <row r="178" spans="1:9" s="78" customFormat="1" ht="14.25" hidden="1" customHeight="1" x14ac:dyDescent="0.25">
      <c r="A178" s="208"/>
      <c r="B178" s="115" t="s">
        <v>509</v>
      </c>
      <c r="C178" s="91" t="s">
        <v>433</v>
      </c>
      <c r="D178" s="91"/>
      <c r="E178" s="91"/>
      <c r="F178" s="98">
        <f>F177/F176</f>
        <v>8.3281282531750991E-4</v>
      </c>
      <c r="G178" s="98">
        <f>G177/G176</f>
        <v>6.490696668109044E-4</v>
      </c>
      <c r="H178" s="86">
        <f>H177/H176</f>
        <v>6.8027210884353748E-4</v>
      </c>
    </row>
    <row r="179" spans="1:9" s="78" customFormat="1" hidden="1" x14ac:dyDescent="0.25">
      <c r="A179" s="208"/>
      <c r="B179" s="114" t="s">
        <v>401</v>
      </c>
      <c r="C179" s="91"/>
      <c r="D179" s="91"/>
      <c r="E179" s="91" t="s">
        <v>510</v>
      </c>
      <c r="F179" s="91">
        <v>6.51</v>
      </c>
      <c r="G179" s="83">
        <v>6.52</v>
      </c>
      <c r="H179" s="82">
        <v>6.52</v>
      </c>
    </row>
    <row r="180" spans="1:9" s="43" customFormat="1" hidden="1" x14ac:dyDescent="0.25">
      <c r="A180" s="208"/>
      <c r="B180" s="114" t="s">
        <v>402</v>
      </c>
      <c r="C180" s="91" t="s">
        <v>14</v>
      </c>
      <c r="D180" s="91"/>
      <c r="E180" s="91"/>
      <c r="F180" s="86">
        <v>0.4</v>
      </c>
      <c r="G180" s="86">
        <v>0.14799999999999999</v>
      </c>
      <c r="H180" s="86">
        <v>147</v>
      </c>
    </row>
    <row r="181" spans="1:9" s="78" customFormat="1" hidden="1" x14ac:dyDescent="0.25">
      <c r="A181" s="208"/>
      <c r="B181" s="114" t="s">
        <v>397</v>
      </c>
      <c r="C181" s="91" t="s">
        <v>1</v>
      </c>
      <c r="D181" s="91"/>
      <c r="E181" s="91"/>
      <c r="F181" s="83">
        <v>480.3</v>
      </c>
      <c r="G181" s="83">
        <v>462.3</v>
      </c>
      <c r="H181" s="83">
        <v>0</v>
      </c>
    </row>
    <row r="182" spans="1:9" s="78" customFormat="1" hidden="1" x14ac:dyDescent="0.25">
      <c r="A182" s="208"/>
      <c r="B182" s="114" t="s">
        <v>376</v>
      </c>
      <c r="C182" s="91" t="s">
        <v>3</v>
      </c>
      <c r="D182" s="91"/>
      <c r="E182" s="91"/>
      <c r="F182" s="83">
        <v>1.4</v>
      </c>
      <c r="G182" s="83">
        <v>1.3</v>
      </c>
      <c r="H182" s="83">
        <v>1.2</v>
      </c>
      <c r="I182" s="77"/>
    </row>
    <row r="183" spans="1:9" s="79" customFormat="1" hidden="1" x14ac:dyDescent="0.25">
      <c r="A183" s="208"/>
      <c r="B183" s="114" t="s">
        <v>377</v>
      </c>
      <c r="C183" s="91" t="s">
        <v>6</v>
      </c>
      <c r="D183" s="91"/>
      <c r="E183" s="91"/>
      <c r="F183" s="84">
        <f>F182*(F181+F180)/F164</f>
        <v>0.98130650335374725</v>
      </c>
      <c r="G183" s="84">
        <f>G182*(G181+G180)/G164</f>
        <v>0.99549991720483533</v>
      </c>
      <c r="H183" s="84">
        <f>H182*(H181+H180)/H164</f>
        <v>0.96541155866900163</v>
      </c>
    </row>
    <row r="184" spans="1:9" s="79" customFormat="1" hidden="1" x14ac:dyDescent="0.25">
      <c r="A184" s="208"/>
      <c r="B184" s="115" t="s">
        <v>416</v>
      </c>
      <c r="C184" s="91" t="s">
        <v>417</v>
      </c>
      <c r="D184" s="91"/>
      <c r="E184" s="91"/>
      <c r="F184" s="97">
        <f>F182*F181</f>
        <v>672.42</v>
      </c>
      <c r="G184" s="97">
        <f>G182*G181</f>
        <v>600.99</v>
      </c>
      <c r="H184" s="97">
        <v>0</v>
      </c>
    </row>
    <row r="185" spans="1:9" s="46" customFormat="1" hidden="1" x14ac:dyDescent="0.25">
      <c r="A185" s="108"/>
      <c r="B185" s="117"/>
      <c r="C185" s="96"/>
      <c r="D185" s="96"/>
      <c r="E185" s="96"/>
    </row>
    <row r="186" spans="1:9" x14ac:dyDescent="0.25">
      <c r="A186" s="208" t="s">
        <v>544</v>
      </c>
      <c r="B186" s="114" t="s">
        <v>403</v>
      </c>
      <c r="C186" s="91" t="s">
        <v>25</v>
      </c>
      <c r="D186" s="91"/>
      <c r="E186" s="91"/>
      <c r="F186" s="97">
        <v>279.39999999999998</v>
      </c>
      <c r="G186" s="97">
        <v>279.39999999999998</v>
      </c>
    </row>
    <row r="187" spans="1:9" s="77" customFormat="1" hidden="1" x14ac:dyDescent="0.25">
      <c r="A187" s="208"/>
      <c r="B187" s="114" t="s">
        <v>404</v>
      </c>
      <c r="C187" s="91" t="s">
        <v>234</v>
      </c>
      <c r="D187" s="91"/>
      <c r="E187" s="91"/>
      <c r="F187" s="91">
        <v>3</v>
      </c>
      <c r="G187" s="91">
        <v>3</v>
      </c>
    </row>
    <row r="188" spans="1:9" s="77" customFormat="1" ht="15.75" x14ac:dyDescent="0.25">
      <c r="A188" s="208"/>
      <c r="B188" s="114" t="s">
        <v>405</v>
      </c>
      <c r="C188" s="91" t="s">
        <v>406</v>
      </c>
      <c r="D188" s="93" t="s">
        <v>420</v>
      </c>
      <c r="E188" s="91" t="s">
        <v>503</v>
      </c>
      <c r="F188" s="99">
        <v>6</v>
      </c>
      <c r="G188" s="99">
        <v>6</v>
      </c>
    </row>
    <row r="189" spans="1:9" s="78" customFormat="1" ht="15.75" x14ac:dyDescent="0.25">
      <c r="A189" s="208"/>
      <c r="B189" s="114" t="s">
        <v>26</v>
      </c>
      <c r="C189" s="91" t="s">
        <v>27</v>
      </c>
      <c r="D189" s="93" t="s">
        <v>420</v>
      </c>
      <c r="E189" s="91" t="s">
        <v>502</v>
      </c>
      <c r="F189" s="91" t="s">
        <v>528</v>
      </c>
      <c r="G189" s="91" t="s">
        <v>533</v>
      </c>
    </row>
    <row r="190" spans="1:9" s="78" customFormat="1" ht="15.75" x14ac:dyDescent="0.25">
      <c r="A190" s="208"/>
      <c r="B190" s="114" t="s">
        <v>380</v>
      </c>
      <c r="C190" s="91" t="s">
        <v>368</v>
      </c>
      <c r="D190" s="93" t="s">
        <v>505</v>
      </c>
      <c r="E190" s="91" t="s">
        <v>504</v>
      </c>
      <c r="F190" s="99">
        <f>F181/F187</f>
        <v>160.1</v>
      </c>
      <c r="G190" s="99">
        <f>G181/G187</f>
        <v>154.1</v>
      </c>
    </row>
    <row r="191" spans="1:9" s="78" customFormat="1" ht="18.75" hidden="1" customHeight="1" x14ac:dyDescent="0.25">
      <c r="A191" s="208"/>
      <c r="B191" s="114" t="s">
        <v>407</v>
      </c>
      <c r="C191" s="91" t="s">
        <v>14</v>
      </c>
      <c r="D191" s="91"/>
      <c r="E191" s="91"/>
      <c r="F191" s="83">
        <v>74.599999999999994</v>
      </c>
      <c r="G191" s="83">
        <v>60.8</v>
      </c>
    </row>
    <row r="192" spans="1:9" s="43" customFormat="1" hidden="1" x14ac:dyDescent="0.25">
      <c r="A192" s="208"/>
      <c r="B192" s="114" t="s">
        <v>402</v>
      </c>
      <c r="C192" s="91" t="s">
        <v>14</v>
      </c>
      <c r="D192" s="91"/>
      <c r="E192" s="91"/>
      <c r="F192" s="86">
        <v>1.1850000000000001</v>
      </c>
      <c r="G192" s="86">
        <v>1.0449999999999999</v>
      </c>
    </row>
    <row r="193" spans="1:7" s="78" customFormat="1" hidden="1" x14ac:dyDescent="0.25">
      <c r="A193" s="208"/>
      <c r="B193" s="114" t="s">
        <v>397</v>
      </c>
      <c r="C193" s="91" t="s">
        <v>1</v>
      </c>
      <c r="D193" s="91"/>
      <c r="E193" s="91"/>
      <c r="F193" s="83">
        <v>73.400000000000006</v>
      </c>
      <c r="G193" s="83">
        <v>65.7</v>
      </c>
    </row>
    <row r="194" spans="1:7" s="78" customFormat="1" hidden="1" x14ac:dyDescent="0.25">
      <c r="A194" s="208"/>
      <c r="B194" s="114" t="s">
        <v>376</v>
      </c>
      <c r="C194" s="91" t="s">
        <v>3</v>
      </c>
      <c r="D194" s="91"/>
      <c r="E194" s="91" t="s">
        <v>506</v>
      </c>
      <c r="F194" s="83">
        <v>9.1999999999999993</v>
      </c>
      <c r="G194" s="83">
        <v>9.1</v>
      </c>
    </row>
    <row r="195" spans="1:7" hidden="1" x14ac:dyDescent="0.25">
      <c r="A195" s="208"/>
      <c r="B195" s="114" t="s">
        <v>410</v>
      </c>
      <c r="C195" s="91"/>
      <c r="D195" s="91"/>
      <c r="E195" s="91" t="s">
        <v>472</v>
      </c>
      <c r="F195" s="58"/>
      <c r="G195" s="58"/>
    </row>
    <row r="196" spans="1:7" s="79" customFormat="1" hidden="1" x14ac:dyDescent="0.25">
      <c r="A196" s="208"/>
      <c r="B196" s="114" t="s">
        <v>377</v>
      </c>
      <c r="C196" s="91" t="s">
        <v>6</v>
      </c>
      <c r="D196" s="91"/>
      <c r="E196" s="91"/>
      <c r="F196" s="84">
        <f>F194*(F193+F192)/F184</f>
        <v>1.0204663751821779</v>
      </c>
      <c r="G196" s="84">
        <f>G194*(G193+G192)/G184</f>
        <v>1.0106316244862643</v>
      </c>
    </row>
    <row r="197" spans="1:7" s="79" customFormat="1" hidden="1" x14ac:dyDescent="0.25">
      <c r="A197" s="208"/>
      <c r="B197" s="115" t="s">
        <v>416</v>
      </c>
      <c r="C197" s="91" t="s">
        <v>417</v>
      </c>
      <c r="D197" s="91"/>
      <c r="E197" s="91"/>
      <c r="F197" s="97">
        <f>F194*F193</f>
        <v>675.28</v>
      </c>
      <c r="G197" s="97">
        <f>G194*G193</f>
        <v>597.87</v>
      </c>
    </row>
    <row r="198" spans="1:7" s="79" customFormat="1" x14ac:dyDescent="0.25">
      <c r="A198" s="208"/>
      <c r="B198" s="114" t="s">
        <v>512</v>
      </c>
      <c r="C198" s="91" t="s">
        <v>25</v>
      </c>
      <c r="D198" s="91"/>
      <c r="E198" s="91"/>
      <c r="F198" s="97">
        <v>237.5</v>
      </c>
      <c r="G198" s="97">
        <v>222</v>
      </c>
    </row>
    <row r="199" spans="1:7" s="79" customFormat="1" hidden="1" x14ac:dyDescent="0.25">
      <c r="A199" s="208"/>
      <c r="B199" s="115" t="s">
        <v>513</v>
      </c>
      <c r="C199" s="91" t="s">
        <v>514</v>
      </c>
      <c r="D199" s="91"/>
      <c r="E199" s="91"/>
      <c r="F199" s="89">
        <f>F198/F186</f>
        <v>0.85003579098067295</v>
      </c>
      <c r="G199" s="89">
        <f>G198/G186</f>
        <v>0.79455977093772379</v>
      </c>
    </row>
    <row r="200" spans="1:7" s="46" customFormat="1" hidden="1" x14ac:dyDescent="0.25">
      <c r="A200" s="108"/>
      <c r="B200" s="117"/>
      <c r="C200" s="96"/>
      <c r="D200" s="96"/>
      <c r="E200" s="96"/>
    </row>
    <row r="201" spans="1:7" s="78" customFormat="1" hidden="1" x14ac:dyDescent="0.25">
      <c r="A201" s="208" t="s">
        <v>545</v>
      </c>
      <c r="B201" s="115" t="s">
        <v>436</v>
      </c>
      <c r="C201" s="91" t="s">
        <v>14</v>
      </c>
      <c r="D201" s="91"/>
      <c r="E201" s="91"/>
      <c r="F201" s="83">
        <v>73.400000000000006</v>
      </c>
      <c r="G201" s="83">
        <v>65.7</v>
      </c>
    </row>
    <row r="202" spans="1:7" s="77" customFormat="1" hidden="1" x14ac:dyDescent="0.25">
      <c r="A202" s="208"/>
      <c r="B202" s="114" t="s">
        <v>411</v>
      </c>
      <c r="C202" s="91" t="s">
        <v>234</v>
      </c>
      <c r="D202" s="91"/>
      <c r="E202" s="91"/>
      <c r="F202" s="91">
        <v>0.51</v>
      </c>
      <c r="G202" s="91">
        <v>0.51</v>
      </c>
    </row>
    <row r="203" spans="1:7" s="78" customFormat="1" ht="15.75" x14ac:dyDescent="0.25">
      <c r="A203" s="208"/>
      <c r="B203" s="114" t="s">
        <v>412</v>
      </c>
      <c r="C203" s="91" t="s">
        <v>368</v>
      </c>
      <c r="D203" s="93" t="s">
        <v>423</v>
      </c>
      <c r="E203" s="91" t="s">
        <v>515</v>
      </c>
      <c r="F203" s="99">
        <f>F201/F202</f>
        <v>143.92156862745099</v>
      </c>
      <c r="G203" s="99">
        <f>G201/G202</f>
        <v>128.8235294117647</v>
      </c>
    </row>
    <row r="204" spans="1:7" s="78" customFormat="1" ht="15.75" x14ac:dyDescent="0.25">
      <c r="A204" s="208"/>
      <c r="B204" s="114" t="s">
        <v>413</v>
      </c>
      <c r="C204" s="91" t="s">
        <v>358</v>
      </c>
      <c r="D204" s="93"/>
      <c r="E204" s="91" t="s">
        <v>516</v>
      </c>
      <c r="F204" s="99">
        <v>22</v>
      </c>
      <c r="G204" s="99">
        <v>22</v>
      </c>
    </row>
    <row r="205" spans="1:7" s="43" customFormat="1" hidden="1" x14ac:dyDescent="0.25">
      <c r="A205" s="208"/>
      <c r="B205" s="114" t="s">
        <v>396</v>
      </c>
      <c r="C205" s="91" t="s">
        <v>14</v>
      </c>
      <c r="D205" s="91"/>
      <c r="E205" s="91"/>
      <c r="F205" s="86">
        <v>2.1000000000000001E-2</v>
      </c>
      <c r="G205" s="86">
        <v>2.1000000000000001E-2</v>
      </c>
    </row>
    <row r="206" spans="1:7" s="78" customFormat="1" hidden="1" x14ac:dyDescent="0.25">
      <c r="A206" s="208"/>
      <c r="B206" s="114" t="s">
        <v>397</v>
      </c>
      <c r="C206" s="91" t="s">
        <v>1</v>
      </c>
      <c r="D206" s="91"/>
      <c r="E206" s="91"/>
      <c r="F206" s="83">
        <v>82.8</v>
      </c>
      <c r="G206" s="83">
        <v>74.2</v>
      </c>
    </row>
    <row r="207" spans="1:7" s="78" customFormat="1" hidden="1" x14ac:dyDescent="0.25">
      <c r="A207" s="208"/>
      <c r="B207" s="114" t="s">
        <v>414</v>
      </c>
      <c r="C207" s="91" t="s">
        <v>3</v>
      </c>
      <c r="D207" s="91"/>
      <c r="E207" s="91"/>
      <c r="F207" s="83">
        <v>7.7</v>
      </c>
      <c r="G207" s="83">
        <v>7.7</v>
      </c>
    </row>
    <row r="208" spans="1:7" s="79" customFormat="1" hidden="1" x14ac:dyDescent="0.25">
      <c r="A208" s="208"/>
      <c r="B208" s="114" t="s">
        <v>377</v>
      </c>
      <c r="C208" s="91" t="s">
        <v>6</v>
      </c>
      <c r="D208" s="91"/>
      <c r="E208" s="91"/>
      <c r="F208" s="84">
        <f>F207*(F206+F205)/F197</f>
        <v>0.94438114559886277</v>
      </c>
      <c r="G208" s="84">
        <f>G207*(G206+G205)/G197</f>
        <v>0.95589626507434733</v>
      </c>
    </row>
    <row r="209" spans="1:7" s="79" customFormat="1" hidden="1" x14ac:dyDescent="0.25">
      <c r="A209" s="208"/>
      <c r="B209" s="115" t="s">
        <v>416</v>
      </c>
      <c r="C209" s="91" t="s">
        <v>417</v>
      </c>
      <c r="D209" s="91"/>
      <c r="E209" s="91"/>
      <c r="F209" s="97">
        <f>F207*F206</f>
        <v>637.55999999999995</v>
      </c>
      <c r="G209" s="97">
        <f>G207*G206</f>
        <v>571.34</v>
      </c>
    </row>
    <row r="210" spans="1:7" s="46" customFormat="1" ht="14.25" hidden="1" customHeight="1" x14ac:dyDescent="0.25">
      <c r="A210" s="107"/>
      <c r="B210" s="45"/>
      <c r="C210" s="45"/>
      <c r="D210" s="45"/>
      <c r="E210" s="45"/>
    </row>
    <row r="211" spans="1:7" x14ac:dyDescent="0.25">
      <c r="A211" s="207" t="s">
        <v>546</v>
      </c>
      <c r="B211" s="109" t="s">
        <v>403</v>
      </c>
      <c r="C211" s="80" t="s">
        <v>25</v>
      </c>
      <c r="D211" s="80"/>
      <c r="E211" s="80"/>
      <c r="F211" s="58">
        <v>284.5</v>
      </c>
      <c r="G211" s="58">
        <v>284.5</v>
      </c>
    </row>
    <row r="212" spans="1:7" s="77" customFormat="1" hidden="1" x14ac:dyDescent="0.25">
      <c r="A212" s="207"/>
      <c r="B212" s="109" t="s">
        <v>404</v>
      </c>
      <c r="C212" s="80" t="s">
        <v>234</v>
      </c>
      <c r="D212" s="80"/>
      <c r="E212" s="80"/>
      <c r="F212" s="83">
        <v>3</v>
      </c>
      <c r="G212" s="83">
        <v>3</v>
      </c>
    </row>
    <row r="213" spans="1:7" s="77" customFormat="1" ht="15.75" x14ac:dyDescent="0.25">
      <c r="A213" s="207"/>
      <c r="B213" s="109" t="s">
        <v>405</v>
      </c>
      <c r="C213" s="80" t="s">
        <v>406</v>
      </c>
      <c r="D213" s="87" t="s">
        <v>420</v>
      </c>
      <c r="E213" s="80" t="s">
        <v>503</v>
      </c>
      <c r="F213" s="58">
        <v>6</v>
      </c>
      <c r="G213" s="58">
        <v>6</v>
      </c>
    </row>
    <row r="214" spans="1:7" s="78" customFormat="1" ht="15.75" x14ac:dyDescent="0.25">
      <c r="A214" s="207"/>
      <c r="B214" s="109" t="s">
        <v>428</v>
      </c>
      <c r="C214" s="80" t="s">
        <v>27</v>
      </c>
      <c r="D214" s="87" t="s">
        <v>420</v>
      </c>
      <c r="E214" s="80" t="s">
        <v>517</v>
      </c>
      <c r="F214" s="83" t="s">
        <v>529</v>
      </c>
      <c r="G214" s="83" t="s">
        <v>534</v>
      </c>
    </row>
    <row r="215" spans="1:7" s="78" customFormat="1" ht="15.75" x14ac:dyDescent="0.25">
      <c r="A215" s="207"/>
      <c r="B215" s="109" t="s">
        <v>380</v>
      </c>
      <c r="C215" s="80" t="s">
        <v>368</v>
      </c>
      <c r="D215" s="87" t="s">
        <v>420</v>
      </c>
      <c r="E215" s="80" t="s">
        <v>518</v>
      </c>
      <c r="F215" s="83">
        <f>F206/F212</f>
        <v>27.599999999999998</v>
      </c>
      <c r="G215" s="83">
        <f>G206/G212</f>
        <v>24.733333333333334</v>
      </c>
    </row>
    <row r="216" spans="1:7" s="78" customFormat="1" ht="15.75" hidden="1" x14ac:dyDescent="0.25">
      <c r="A216" s="207"/>
      <c r="B216" s="109" t="s">
        <v>435</v>
      </c>
      <c r="C216" s="80" t="s">
        <v>1</v>
      </c>
      <c r="D216" s="87"/>
      <c r="E216" s="80"/>
      <c r="F216" s="83">
        <v>36.5</v>
      </c>
      <c r="G216" s="83">
        <v>32.6</v>
      </c>
    </row>
    <row r="217" spans="1:7" s="78" customFormat="1" ht="15.75" hidden="1" x14ac:dyDescent="0.25">
      <c r="A217" s="207"/>
      <c r="B217" s="109" t="s">
        <v>408</v>
      </c>
      <c r="C217" s="80" t="s">
        <v>14</v>
      </c>
      <c r="D217" s="87"/>
      <c r="E217" s="80"/>
      <c r="F217" s="83">
        <v>244.4</v>
      </c>
      <c r="G217" s="83">
        <v>218.6</v>
      </c>
    </row>
    <row r="218" spans="1:7" s="78" customFormat="1" ht="15.75" hidden="1" x14ac:dyDescent="0.25">
      <c r="A218" s="207"/>
      <c r="B218" s="109" t="s">
        <v>409</v>
      </c>
      <c r="C218" s="80"/>
      <c r="D218" s="87"/>
      <c r="E218" s="80"/>
      <c r="F218" s="83">
        <f>F217/F216</f>
        <v>6.6958904109589046</v>
      </c>
      <c r="G218" s="83">
        <f>G217/G216</f>
        <v>6.705521472392638</v>
      </c>
    </row>
    <row r="219" spans="1:7" s="78" customFormat="1" ht="15.75" x14ac:dyDescent="0.25">
      <c r="A219" s="207"/>
      <c r="B219" s="109" t="s">
        <v>427</v>
      </c>
      <c r="C219" s="80" t="s">
        <v>27</v>
      </c>
      <c r="D219" s="87" t="s">
        <v>420</v>
      </c>
      <c r="E219" s="80" t="s">
        <v>517</v>
      </c>
      <c r="F219" s="83" t="s">
        <v>530</v>
      </c>
      <c r="G219" s="83" t="s">
        <v>535</v>
      </c>
    </row>
    <row r="220" spans="1:7" s="78" customFormat="1" ht="15.75" hidden="1" x14ac:dyDescent="0.25">
      <c r="A220" s="207"/>
      <c r="B220" s="109" t="s">
        <v>410</v>
      </c>
      <c r="C220" s="80"/>
      <c r="D220" s="87"/>
      <c r="E220" s="80"/>
      <c r="F220" s="58"/>
    </row>
    <row r="221" spans="1:7" s="43" customFormat="1" hidden="1" x14ac:dyDescent="0.25">
      <c r="A221" s="207"/>
      <c r="B221" s="109" t="s">
        <v>402</v>
      </c>
      <c r="C221" s="80" t="s">
        <v>14</v>
      </c>
      <c r="D221" s="80"/>
      <c r="E221" s="80"/>
      <c r="F221" s="86">
        <f>0.007+0.001+0.02+0.14+0.004+0.02+0.15</f>
        <v>0.34199999999999997</v>
      </c>
    </row>
    <row r="222" spans="1:7" s="78" customFormat="1" hidden="1" x14ac:dyDescent="0.25">
      <c r="A222" s="207"/>
      <c r="B222" s="111" t="s">
        <v>458</v>
      </c>
      <c r="C222" s="80" t="s">
        <v>1</v>
      </c>
      <c r="D222" s="80"/>
      <c r="E222" s="80"/>
      <c r="F222" s="83">
        <v>39</v>
      </c>
      <c r="G222" s="78">
        <v>35.6</v>
      </c>
    </row>
    <row r="223" spans="1:7" s="78" customFormat="1" hidden="1" x14ac:dyDescent="0.25">
      <c r="A223" s="207"/>
      <c r="B223" s="109" t="s">
        <v>376</v>
      </c>
      <c r="C223" s="80" t="s">
        <v>3</v>
      </c>
      <c r="D223" s="80"/>
      <c r="E223" s="80"/>
      <c r="F223" s="83">
        <v>16.600000000000001</v>
      </c>
      <c r="G223" s="83">
        <v>16</v>
      </c>
    </row>
    <row r="224" spans="1:7" hidden="1" x14ac:dyDescent="0.25">
      <c r="A224" s="207"/>
      <c r="B224" s="109" t="s">
        <v>410</v>
      </c>
      <c r="C224" s="80"/>
      <c r="D224" s="80"/>
      <c r="E224" s="80" t="s">
        <v>472</v>
      </c>
      <c r="F224" s="84">
        <f>F220/F211</f>
        <v>0</v>
      </c>
    </row>
    <row r="225" spans="1:7" s="79" customFormat="1" hidden="1" x14ac:dyDescent="0.25">
      <c r="A225" s="207"/>
      <c r="B225" s="109" t="s">
        <v>377</v>
      </c>
      <c r="C225" s="80" t="s">
        <v>6</v>
      </c>
      <c r="D225" s="80"/>
      <c r="E225" s="80"/>
      <c r="F225" s="84">
        <f>(F222+F221)*F223/F209</f>
        <v>1.0243384152079806</v>
      </c>
      <c r="G225" s="84">
        <f>(G222+G221)*G223/G209</f>
        <v>0.99695452795183248</v>
      </c>
    </row>
    <row r="226" spans="1:7" s="79" customFormat="1" hidden="1" x14ac:dyDescent="0.25">
      <c r="A226" s="207"/>
      <c r="B226" s="110" t="s">
        <v>416</v>
      </c>
      <c r="C226" s="80" t="s">
        <v>417</v>
      </c>
      <c r="D226" s="80"/>
      <c r="E226" s="80"/>
      <c r="F226" s="83">
        <f>F222*F223</f>
        <v>647.40000000000009</v>
      </c>
      <c r="G226" s="83">
        <f>G222*G223</f>
        <v>569.6</v>
      </c>
    </row>
    <row r="227" spans="1:7" s="46" customFormat="1" x14ac:dyDescent="0.25">
      <c r="A227" s="107"/>
      <c r="B227" s="45"/>
      <c r="C227" s="45"/>
      <c r="D227" s="45"/>
      <c r="E227" s="45"/>
    </row>
    <row r="228" spans="1:7" s="79" customFormat="1" x14ac:dyDescent="0.25">
      <c r="A228" s="106" t="s">
        <v>415</v>
      </c>
      <c r="B228" s="39" t="s">
        <v>448</v>
      </c>
      <c r="C228" s="38"/>
      <c r="D228" s="38"/>
      <c r="E228" s="38"/>
      <c r="F228" s="79">
        <f t="shared" ref="F228:G228" si="1">F16*F88*F93*F103*F163*F183*F196*F225</f>
        <v>0.5781841290518227</v>
      </c>
      <c r="G228" s="79">
        <f t="shared" si="1"/>
        <v>0.56628932574886637</v>
      </c>
    </row>
    <row r="230" spans="1:7" ht="43.5" x14ac:dyDescent="0.25">
      <c r="B230" s="105" t="s">
        <v>537</v>
      </c>
      <c r="F230" s="79">
        <f>F226/F3/F2</f>
        <v>0.44018729105722199</v>
      </c>
      <c r="G230" s="79">
        <f>G226/G3/G2</f>
        <v>0.43945310616426336</v>
      </c>
    </row>
  </sheetData>
  <protectedRanges>
    <protectedRange sqref="B8:D8 B10:E10 D116 A129:A132 A6:E6 A191:E195 F126:XFD127 B98:E98 E25 A25:C25 A50:C50 D97 B99:D99 A96:E96 D203:D204 C159:C161 A48:E48 A26:E26 A51:E51 F130:XFD131 A28:E30 B106:E115 A134:A139 A22:E23 A205:E207 A1:E4 A119:E119 B198:C199 A216:E217 B172:E172 A186:E189 A13:E15 A102:E102 F100:F102 C91:C93 E50 A70:C70 A71:E71 E70 A73:E76 F78:F81 E11:E12 B11:C12 F70:F71 A106:A111 A113 A115 F134:XFD135 D132 B126:E131 B133:E135 A145:A148 F142:XFD142 A150:A155 D148 B142:E147 B149:E151 B153:E155 D170:D171 E170 A53:E56 A68:E68 A58:E67 H143:H157 A117:E118 F117:XFD119 F73:F75 F87 F96 A100:E101 I166:XFD169 A166:E169 D173 A174:E182 A201:E202 A121:E123 A211:E214 A219:E224 G25:XFD26 F50:F51 F48 G28:XFD28 G23:XFD23 G2:XFD3 H6:XFD6 G13:XFD15 G33:XFD33 F53:F55 F58:F61 F83:F85 F110:XFD112 I129:XFD129 I132:XFD132 I136:XFD136 F174 H191:XFD195 H186:XFD189 H205:XFD207 H201:XFD202 F63:F65 F67:F68 A78:E87 I106:XFD109 F114:XFD115 I113:XFD113 F121:XFD123 B137:XFD139 F176 F216:F217 F220:F223 H211:XFD214 A33:E45 I1:XFD1 A19:E21 I19:XFD22 H4:XFD4 G30:XFD30 H29:XFD29 G35:XFD36 H34:XFD34 G38:XFD40 I37:XFD37 G42:XFD45 I41:XFD41 H100:XFD102 H70:XFD71 H74:XFD75 H96:XFD96 H50:XFD51 H48:XFD48 H53:XFD55 H78:XFD81 H58:XFD61 F145:G148 F150:G155 H174:XFD182 H216:XFD217 H219:XFD224 H63:XFD65 I62:XFD62 H67:XFD68 I66:XFD66 I56:XFD56 I73:XFD73 H83:XFD85 I82:XFD82 H87:XFD87 I86:XFD86 I76:XFD76 F143:G143 I143:XFD143 I145:XFD148 I150:XFD155" name="区域1"/>
    <protectedRange sqref="F76" name="区域1_3"/>
    <protectedRange sqref="F86 F82" name="区域1_4"/>
    <protectedRange sqref="B90:C90" name="区域1_7"/>
    <protectedRange sqref="F129:H129 F132:H132 F136:H136" name="区域1_8"/>
    <protectedRange sqref="F224 F211:F213" name="区域1_10"/>
    <protectedRange sqref="F66 F56 F62" name="区域1_2"/>
    <protectedRange sqref="F106:H109" name="区域1_9"/>
    <protectedRange sqref="F113:H113" name="区域1_1_1"/>
    <protectedRange sqref="F175 F166:F169" name="区域1_13"/>
    <protectedRange sqref="F25:F26 F23 F2:F3 F13:F14 F33 F35 F38 F40 F42 F44:F45 F29:G29" name="区域1_16"/>
    <protectedRange sqref="F28 F36:F37 F15 F30 F39 F43 F41:H41 F4:G4 F6:G6 F34:G34 F1:H1 F12:H12 F19:H22 G37:H37" name="区域1_2_1"/>
    <protectedRange sqref="F191:F195 F189 F207 F201 F177 F179:F182" name="区域1_18"/>
    <protectedRange sqref="F178" name="区域1_13_1"/>
    <protectedRange sqref="F186:F188" name="区域1_14_2"/>
    <protectedRange sqref="F202 F205:F206" name="区域1_15_2"/>
    <protectedRange sqref="F214" name="区域1_17"/>
    <protectedRange sqref="F219" name="区域1_19"/>
    <protectedRange sqref="G100:G102 G70:G71 G73:G75 G87 G50:G51 G48 G53:G55 G63:G65 G58:G61 G67:G68 G78:G81 G83:G85 G96 H73" name="区域1_20"/>
    <protectedRange sqref="G76:H76" name="区域1_3_1"/>
    <protectedRange sqref="G82:H82 G86:H86" name="区域1_4_1"/>
    <protectedRange sqref="G62:H62 G66:H66 G56:H56" name="区域1_2_2"/>
    <protectedRange sqref="G174 G191:G195 G189 G206:G207 G201 G176:G177 G216:G217 G214 G219:G224 G179:G182" name="区域1_21"/>
    <protectedRange sqref="G211:G213" name="区域1_10_1"/>
    <protectedRange sqref="G175 G166:H169" name="区域1_13_2"/>
    <protectedRange sqref="G178" name="区域1_13_1_1"/>
    <protectedRange sqref="G186:G188" name="区域1_14_2_1"/>
    <protectedRange sqref="G202 G205" name="区域1_15_2_1"/>
  </protectedRanges>
  <mergeCells count="20">
    <mergeCell ref="A201:A209"/>
    <mergeCell ref="A211:A226"/>
    <mergeCell ref="A110:A125"/>
    <mergeCell ref="A126:A141"/>
    <mergeCell ref="A142:A157"/>
    <mergeCell ref="A158:A164"/>
    <mergeCell ref="A166:A184"/>
    <mergeCell ref="A186:A199"/>
    <mergeCell ref="A106:A109"/>
    <mergeCell ref="A2:A17"/>
    <mergeCell ref="A19:A22"/>
    <mergeCell ref="A23:A32"/>
    <mergeCell ref="A33:A47"/>
    <mergeCell ref="A48:A57"/>
    <mergeCell ref="A58:A67"/>
    <mergeCell ref="A68:A77"/>
    <mergeCell ref="A78:A87"/>
    <mergeCell ref="A88:A89"/>
    <mergeCell ref="A90:A94"/>
    <mergeCell ref="A96:A104"/>
  </mergeCells>
  <phoneticPr fontId="2" type="noConversion"/>
  <conditionalFormatting sqref="I5:XFD5">
    <cfRule type="cellIs" dxfId="72" priority="107" operator="greaterThan">
      <formula>90</formula>
    </cfRule>
  </conditionalFormatting>
  <conditionalFormatting sqref="I7:XFD12">
    <cfRule type="cellIs" dxfId="71" priority="106" operator="notBetween">
      <formula>70</formula>
      <formula>100</formula>
    </cfRule>
  </conditionalFormatting>
  <conditionalFormatting sqref="I57:XFD57 I103:XFD104 G18:XFD18 I16:XFD17 H95:XFD95 I31:XFD32 I46:XFD47 I88:XFD94 F95 F105:XFD105">
    <cfRule type="cellIs" dxfId="70" priority="105" operator="notBetween">
      <formula>0.9</formula>
      <formula>1</formula>
    </cfRule>
  </conditionalFormatting>
  <conditionalFormatting sqref="I166:XFD166 F19:XFD19 F106:XFD106 F166">
    <cfRule type="cellIs" dxfId="69" priority="104" operator="lessThanOrEqual">
      <formula>3000</formula>
    </cfRule>
  </conditionalFormatting>
  <conditionalFormatting sqref="F20:XFD20 F107:XFD107">
    <cfRule type="cellIs" dxfId="68" priority="103" operator="notBetween">
      <formula>0.9</formula>
      <formula>1.3</formula>
    </cfRule>
  </conditionalFormatting>
  <conditionalFormatting sqref="I168:XFD168 F21:XFD21 F168">
    <cfRule type="cellIs" dxfId="67" priority="102" operator="notBetween">
      <formula>23</formula>
      <formula>27</formula>
    </cfRule>
  </conditionalFormatting>
  <conditionalFormatting sqref="I24:XFD24 I49:XFD49 F69 F49">
    <cfRule type="cellIs" dxfId="66" priority="101" operator="greaterThan">
      <formula>42</formula>
    </cfRule>
  </conditionalFormatting>
  <conditionalFormatting sqref="I136:XFD136 I42:XFD42">
    <cfRule type="cellIs" dxfId="65" priority="100" operator="notBetween">
      <formula>5.9</formula>
      <formula>6.1</formula>
    </cfRule>
  </conditionalFormatting>
  <conditionalFormatting sqref="I30:XFD30 I55:XFD56 F76">
    <cfRule type="cellIs" dxfId="64" priority="99" operator="greaterThan">
      <formula>20</formula>
    </cfRule>
  </conditionalFormatting>
  <conditionalFormatting sqref="I33:XFD34">
    <cfRule type="cellIs" dxfId="63" priority="98" operator="notBetween">
      <formula>12</formula>
      <formula>16</formula>
    </cfRule>
  </conditionalFormatting>
  <conditionalFormatting sqref="I38:XFD38">
    <cfRule type="cellIs" dxfId="62" priority="97" operator="notBetween">
      <formula>3.6</formula>
      <formula>3.8</formula>
    </cfRule>
  </conditionalFormatting>
  <conditionalFormatting sqref="I39:XFD39">
    <cfRule type="cellIs" dxfId="61" priority="96" operator="notBetween">
      <formula>120</formula>
      <formula>150</formula>
    </cfRule>
  </conditionalFormatting>
  <conditionalFormatting sqref="I97:XFD99 F97 F99">
    <cfRule type="cellIs" dxfId="60" priority="95" operator="greaterThan">
      <formula>600</formula>
    </cfRule>
  </conditionalFormatting>
  <conditionalFormatting sqref="F108:XFD108">
    <cfRule type="cellIs" dxfId="59" priority="94" operator="notBetween">
      <formula>18</formula>
      <formula>22</formula>
    </cfRule>
  </conditionalFormatting>
  <conditionalFormatting sqref="I114:XFD114 I117:XFD118 I126:XFD127 I129:XFD131">
    <cfRule type="cellIs" dxfId="58" priority="93" operator="notBetween">
      <formula>47</formula>
      <formula>53</formula>
    </cfRule>
  </conditionalFormatting>
  <conditionalFormatting sqref="I115:XFD115">
    <cfRule type="cellIs" dxfId="57" priority="92" operator="greaterThan">
      <formula>8</formula>
    </cfRule>
  </conditionalFormatting>
  <conditionalFormatting sqref="I128:XFD128 I116:XFD116 F116:G116">
    <cfRule type="cellIs" dxfId="56" priority="91" operator="notBetween">
      <formula>20</formula>
      <formula>35</formula>
    </cfRule>
  </conditionalFormatting>
  <conditionalFormatting sqref="I167:XFD167 F167">
    <cfRule type="cellIs" dxfId="55" priority="90" operator="notBetween">
      <formula>0.9</formula>
      <formula>1.4</formula>
    </cfRule>
  </conditionalFormatting>
  <conditionalFormatting sqref="H170:XFD173 F170">
    <cfRule type="cellIs" dxfId="54" priority="89" operator="notBetween">
      <formula>9</formula>
      <formula>40</formula>
    </cfRule>
  </conditionalFormatting>
  <conditionalFormatting sqref="H189:XFD189 H214:XFD214">
    <cfRule type="cellIs" dxfId="53" priority="88" operator="notBetween">
      <formula>0.7</formula>
      <formula>1.2</formula>
    </cfRule>
  </conditionalFormatting>
  <conditionalFormatting sqref="H215:XFD215 H190:XFD190">
    <cfRule type="cellIs" dxfId="52" priority="87" operator="greaterThan">
      <formula>300</formula>
    </cfRule>
  </conditionalFormatting>
  <conditionalFormatting sqref="H218:XFD218">
    <cfRule type="cellIs" dxfId="51" priority="85" operator="notBetween">
      <formula>6</formula>
      <formula>8</formula>
    </cfRule>
  </conditionalFormatting>
  <conditionalFormatting sqref="H203:XFD204">
    <cfRule type="cellIs" dxfId="50" priority="86" operator="greaterThan">
      <formula>167</formula>
    </cfRule>
  </conditionalFormatting>
  <conditionalFormatting sqref="I67:XFD67">
    <cfRule type="cellIs" dxfId="49" priority="84" operator="notBetween">
      <formula>5.9</formula>
      <formula>6.1</formula>
    </cfRule>
  </conditionalFormatting>
  <conditionalFormatting sqref="I58:XFD59">
    <cfRule type="cellIs" dxfId="48" priority="83" operator="notBetween">
      <formula>12</formula>
      <formula>16</formula>
    </cfRule>
  </conditionalFormatting>
  <conditionalFormatting sqref="I63:XFD63">
    <cfRule type="cellIs" dxfId="47" priority="82" operator="notBetween">
      <formula>3.6</formula>
      <formula>3.8</formula>
    </cfRule>
  </conditionalFormatting>
  <conditionalFormatting sqref="I64:XFD64">
    <cfRule type="cellIs" dxfId="46" priority="81" operator="notBetween">
      <formula>120</formula>
      <formula>150</formula>
    </cfRule>
  </conditionalFormatting>
  <conditionalFormatting sqref="I77:XFD77">
    <cfRule type="cellIs" dxfId="45" priority="80" operator="notBetween">
      <formula>0.9</formula>
      <formula>1</formula>
    </cfRule>
  </conditionalFormatting>
  <conditionalFormatting sqref="I69:XFD69">
    <cfRule type="cellIs" dxfId="44" priority="79" operator="greaterThan">
      <formula>42</formula>
    </cfRule>
  </conditionalFormatting>
  <conditionalFormatting sqref="I75:XFD76">
    <cfRule type="cellIs" dxfId="43" priority="78" operator="greaterThan">
      <formula>20</formula>
    </cfRule>
  </conditionalFormatting>
  <conditionalFormatting sqref="I87:XFD87">
    <cfRule type="cellIs" dxfId="42" priority="77" operator="notBetween">
      <formula>5.9</formula>
      <formula>6.1</formula>
    </cfRule>
  </conditionalFormatting>
  <conditionalFormatting sqref="I78:XFD79">
    <cfRule type="cellIs" dxfId="41" priority="76" operator="notBetween">
      <formula>12</formula>
      <formula>16</formula>
    </cfRule>
  </conditionalFormatting>
  <conditionalFormatting sqref="I83:XFD83">
    <cfRule type="cellIs" dxfId="40" priority="75" operator="notBetween">
      <formula>3.6</formula>
      <formula>3.8</formula>
    </cfRule>
  </conditionalFormatting>
  <conditionalFormatting sqref="I84:XFD84">
    <cfRule type="cellIs" dxfId="39" priority="74" operator="notBetween">
      <formula>120</formula>
      <formula>150</formula>
    </cfRule>
  </conditionalFormatting>
  <conditionalFormatting sqref="I152:XFD152">
    <cfRule type="cellIs" dxfId="38" priority="73" operator="notBetween">
      <formula>5.9</formula>
      <formula>6.1</formula>
    </cfRule>
  </conditionalFormatting>
  <conditionalFormatting sqref="I145:XFD147 I142:XFD143">
    <cfRule type="cellIs" dxfId="37" priority="72" operator="notBetween">
      <formula>47</formula>
      <formula>53</formula>
    </cfRule>
  </conditionalFormatting>
  <conditionalFormatting sqref="I144:XFD144">
    <cfRule type="cellIs" dxfId="36" priority="71" operator="notBetween">
      <formula>20</formula>
      <formula>35</formula>
    </cfRule>
  </conditionalFormatting>
  <conditionalFormatting sqref="F18">
    <cfRule type="cellIs" dxfId="35" priority="39" operator="notBetween">
      <formula>0.9</formula>
      <formula>1</formula>
    </cfRule>
  </conditionalFormatting>
  <conditionalFormatting sqref="F11:H11">
    <cfRule type="cellIs" dxfId="34" priority="38" operator="notBetween">
      <formula>70</formula>
      <formula>100</formula>
    </cfRule>
  </conditionalFormatting>
  <conditionalFormatting sqref="F5:H5">
    <cfRule type="cellIs" dxfId="33" priority="37" operator="greaterThan">
      <formula>90</formula>
    </cfRule>
  </conditionalFormatting>
  <conditionalFormatting sqref="F16:H16">
    <cfRule type="cellIs" dxfId="32" priority="36" operator="notBetween">
      <formula>0.9</formula>
      <formula>1</formula>
    </cfRule>
  </conditionalFormatting>
  <conditionalFormatting sqref="F24">
    <cfRule type="cellIs" dxfId="31" priority="32" operator="greaterThan">
      <formula>42</formula>
    </cfRule>
  </conditionalFormatting>
  <conditionalFormatting sqref="F98">
    <cfRule type="cellIs" dxfId="30" priority="31" operator="greaterThan">
      <formula>600</formula>
    </cfRule>
  </conditionalFormatting>
  <conditionalFormatting sqref="F115">
    <cfRule type="cellIs" dxfId="29" priority="30" operator="greaterThan">
      <formula>8</formula>
    </cfRule>
  </conditionalFormatting>
  <conditionalFormatting sqref="F131">
    <cfRule type="cellIs" dxfId="28" priority="29" operator="greaterThan">
      <formula>8</formula>
    </cfRule>
  </conditionalFormatting>
  <conditionalFormatting sqref="F190">
    <cfRule type="cellIs" dxfId="27" priority="28" operator="greaterThan">
      <formula>300</formula>
    </cfRule>
  </conditionalFormatting>
  <conditionalFormatting sqref="F203:F204">
    <cfRule type="cellIs" dxfId="26" priority="27" operator="greaterThan">
      <formula>167</formula>
    </cfRule>
  </conditionalFormatting>
  <conditionalFormatting sqref="F215">
    <cfRule type="cellIs" dxfId="25" priority="26" operator="greaterThan">
      <formula>300</formula>
    </cfRule>
  </conditionalFormatting>
  <conditionalFormatting sqref="F218">
    <cfRule type="cellIs" dxfId="24" priority="25" operator="notBetween">
      <formula>6</formula>
      <formula>8</formula>
    </cfRule>
  </conditionalFormatting>
  <conditionalFormatting sqref="G24:H24">
    <cfRule type="cellIs" dxfId="23" priority="24" operator="greaterThan">
      <formula>42</formula>
    </cfRule>
  </conditionalFormatting>
  <conditionalFormatting sqref="G95">
    <cfRule type="cellIs" dxfId="22" priority="23" operator="notBetween">
      <formula>0.9</formula>
      <formula>1</formula>
    </cfRule>
  </conditionalFormatting>
  <conditionalFormatting sqref="G69:H69">
    <cfRule type="cellIs" dxfId="21" priority="22" operator="greaterThan">
      <formula>42</formula>
    </cfRule>
  </conditionalFormatting>
  <conditionalFormatting sqref="G76:H76">
    <cfRule type="cellIs" dxfId="20" priority="21" operator="greaterThan">
      <formula>20</formula>
    </cfRule>
  </conditionalFormatting>
  <conditionalFormatting sqref="G97:H97 G99:H99">
    <cfRule type="cellIs" dxfId="19" priority="20" operator="greaterThan">
      <formula>600</formula>
    </cfRule>
  </conditionalFormatting>
  <conditionalFormatting sqref="G49:H49">
    <cfRule type="cellIs" dxfId="18" priority="19" operator="greaterThan">
      <formula>42</formula>
    </cfRule>
  </conditionalFormatting>
  <conditionalFormatting sqref="G98">
    <cfRule type="cellIs" dxfId="17" priority="18" operator="greaterThan">
      <formula>600</formula>
    </cfRule>
  </conditionalFormatting>
  <conditionalFormatting sqref="G115">
    <cfRule type="cellIs" dxfId="16" priority="17" operator="greaterThan">
      <formula>8</formula>
    </cfRule>
  </conditionalFormatting>
  <conditionalFormatting sqref="G131">
    <cfRule type="cellIs" dxfId="15" priority="16" operator="greaterThan">
      <formula>8</formula>
    </cfRule>
  </conditionalFormatting>
  <conditionalFormatting sqref="G166">
    <cfRule type="cellIs" dxfId="14" priority="15" operator="lessThanOrEqual">
      <formula>3000</formula>
    </cfRule>
  </conditionalFormatting>
  <conditionalFormatting sqref="G168">
    <cfRule type="cellIs" dxfId="13" priority="14" operator="notBetween">
      <formula>23</formula>
      <formula>27</formula>
    </cfRule>
  </conditionalFormatting>
  <conditionalFormatting sqref="G167">
    <cfRule type="cellIs" dxfId="12" priority="13" operator="notBetween">
      <formula>0.9</formula>
      <formula>1.4</formula>
    </cfRule>
  </conditionalFormatting>
  <conditionalFormatting sqref="G170">
    <cfRule type="cellIs" dxfId="11" priority="12" operator="notBetween">
      <formula>9</formula>
      <formula>40</formula>
    </cfRule>
  </conditionalFormatting>
  <conditionalFormatting sqref="G190">
    <cfRule type="cellIs" dxfId="10" priority="11" operator="greaterThan">
      <formula>300</formula>
    </cfRule>
  </conditionalFormatting>
  <conditionalFormatting sqref="G203:G204">
    <cfRule type="cellIs" dxfId="9" priority="10" operator="greaterThan">
      <formula>167</formula>
    </cfRule>
  </conditionalFormatting>
  <conditionalFormatting sqref="G215">
    <cfRule type="cellIs" dxfId="8" priority="9" operator="greaterThan">
      <formula>300</formula>
    </cfRule>
  </conditionalFormatting>
  <conditionalFormatting sqref="G218">
    <cfRule type="cellIs" dxfId="7" priority="8" operator="notBetween">
      <formula>6</formula>
      <formula>8</formula>
    </cfRule>
  </conditionalFormatting>
  <conditionalFormatting sqref="H98">
    <cfRule type="cellIs" dxfId="6" priority="7" operator="greaterThan">
      <formula>600</formula>
    </cfRule>
  </conditionalFormatting>
  <conditionalFormatting sqref="H116">
    <cfRule type="cellIs" dxfId="5" priority="6" operator="notBetween">
      <formula>20</formula>
      <formula>35</formula>
    </cfRule>
  </conditionalFormatting>
  <conditionalFormatting sqref="H115">
    <cfRule type="cellIs" dxfId="4" priority="5" operator="greaterThan">
      <formula>8</formula>
    </cfRule>
  </conditionalFormatting>
  <conditionalFormatting sqref="H131">
    <cfRule type="cellIs" dxfId="3" priority="4" operator="greaterThan">
      <formula>8</formula>
    </cfRule>
  </conditionalFormatting>
  <conditionalFormatting sqref="H166">
    <cfRule type="cellIs" dxfId="2" priority="3" operator="lessThanOrEqual">
      <formula>3000</formula>
    </cfRule>
  </conditionalFormatting>
  <conditionalFormatting sqref="H167">
    <cfRule type="cellIs" dxfId="1" priority="2" operator="notBetween">
      <formula>0.9</formula>
      <formula>1.4</formula>
    </cfRule>
  </conditionalFormatting>
  <conditionalFormatting sqref="H168">
    <cfRule type="cellIs" dxfId="0" priority="1" operator="notBetween">
      <formula>23</formula>
      <formula>27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7"/>
  <sheetViews>
    <sheetView tabSelected="1" zoomScale="115" zoomScaleNormal="115" workbookViewId="0">
      <pane ySplit="1" topLeftCell="A174" activePane="bottomLeft" state="frozen"/>
      <selection pane="bottomLeft" activeCell="L188" sqref="L188"/>
    </sheetView>
  </sheetViews>
  <sheetFormatPr defaultRowHeight="15" x14ac:dyDescent="0.25"/>
  <cols>
    <col min="2" max="2" width="18.625" style="172" customWidth="1"/>
    <col min="3" max="3" width="8.5" style="163" bestFit="1" customWidth="1"/>
    <col min="4" max="8" width="10.625" style="163" customWidth="1"/>
    <col min="9" max="9" width="10.625" style="162" customWidth="1"/>
    <col min="13" max="13" width="12.875" customWidth="1"/>
  </cols>
  <sheetData>
    <row r="1" spans="1:13" ht="21.75" customHeight="1" x14ac:dyDescent="0.15">
      <c r="A1" s="120" t="s">
        <v>635</v>
      </c>
      <c r="B1" s="120" t="s">
        <v>636</v>
      </c>
      <c r="C1" s="121" t="s">
        <v>0</v>
      </c>
      <c r="D1" s="121" t="s">
        <v>549</v>
      </c>
      <c r="E1" s="122" t="s">
        <v>550</v>
      </c>
      <c r="F1" s="122" t="s">
        <v>609</v>
      </c>
      <c r="G1" s="122" t="s">
        <v>617</v>
      </c>
      <c r="H1" s="122" t="s">
        <v>626</v>
      </c>
      <c r="I1" s="123" t="s">
        <v>627</v>
      </c>
    </row>
    <row r="2" spans="1:13" x14ac:dyDescent="0.25">
      <c r="A2" s="211" t="s">
        <v>548</v>
      </c>
      <c r="B2" s="178" t="s">
        <v>554</v>
      </c>
      <c r="C2" s="187" t="s">
        <v>4</v>
      </c>
      <c r="D2" s="125">
        <v>2874.8</v>
      </c>
      <c r="E2" s="125">
        <v>2987.9</v>
      </c>
      <c r="F2" s="125">
        <v>2906.4</v>
      </c>
      <c r="G2" s="126">
        <v>3098.5</v>
      </c>
      <c r="H2" s="125">
        <v>3013.3</v>
      </c>
      <c r="I2" s="127">
        <v>3113.2</v>
      </c>
    </row>
    <row r="3" spans="1:13" x14ac:dyDescent="0.25">
      <c r="A3" s="211"/>
      <c r="B3" s="178" t="s">
        <v>547</v>
      </c>
      <c r="C3" s="187" t="s">
        <v>5</v>
      </c>
      <c r="D3" s="126">
        <v>3.65</v>
      </c>
      <c r="E3" s="126">
        <v>3.61</v>
      </c>
      <c r="F3" s="126">
        <v>3.52</v>
      </c>
      <c r="G3" s="126">
        <v>3.81</v>
      </c>
      <c r="H3" s="126">
        <v>3.51</v>
      </c>
      <c r="I3" s="127">
        <v>3.68</v>
      </c>
    </row>
    <row r="4" spans="1:13" x14ac:dyDescent="0.25">
      <c r="A4" s="211"/>
      <c r="B4" s="178" t="s">
        <v>440</v>
      </c>
      <c r="C4" s="187" t="s">
        <v>441</v>
      </c>
      <c r="D4" s="126"/>
      <c r="E4" s="126"/>
      <c r="F4" s="126"/>
      <c r="G4" s="126"/>
      <c r="H4" s="126"/>
      <c r="I4" s="127"/>
    </row>
    <row r="5" spans="1:13" x14ac:dyDescent="0.25">
      <c r="A5" s="211"/>
      <c r="B5" s="173" t="s">
        <v>377</v>
      </c>
      <c r="C5" s="187" t="s">
        <v>6</v>
      </c>
      <c r="D5" s="128">
        <v>0.95099999999999996</v>
      </c>
      <c r="E5" s="128">
        <v>0.96499999999999997</v>
      </c>
      <c r="F5" s="128">
        <v>0.95499999999999996</v>
      </c>
      <c r="G5" s="128">
        <v>0.94699999999999995</v>
      </c>
      <c r="H5" s="128">
        <v>0.96099999999999997</v>
      </c>
      <c r="I5" s="129">
        <v>1</v>
      </c>
    </row>
    <row r="6" spans="1:13" x14ac:dyDescent="0.25">
      <c r="A6" s="211"/>
      <c r="B6" s="178" t="s">
        <v>416</v>
      </c>
      <c r="C6" s="187" t="s">
        <v>417</v>
      </c>
      <c r="D6" s="125">
        <f t="shared" ref="D6:I6" si="0">D3*(D2-D4)</f>
        <v>10493.02</v>
      </c>
      <c r="E6" s="125">
        <f t="shared" si="0"/>
        <v>10786.319</v>
      </c>
      <c r="F6" s="125">
        <f t="shared" si="0"/>
        <v>10230.528</v>
      </c>
      <c r="G6" s="125">
        <f t="shared" si="0"/>
        <v>11805.285</v>
      </c>
      <c r="H6" s="125">
        <f t="shared" si="0"/>
        <v>10576.683000000001</v>
      </c>
      <c r="I6" s="125">
        <f t="shared" si="0"/>
        <v>11456.575999999999</v>
      </c>
    </row>
    <row r="7" spans="1:13" ht="9.75" customHeight="1" x14ac:dyDescent="0.25">
      <c r="A7" s="164"/>
      <c r="B7" s="179"/>
      <c r="C7" s="188"/>
      <c r="D7" s="166"/>
      <c r="E7" s="166"/>
      <c r="F7" s="166"/>
      <c r="G7" s="166"/>
      <c r="H7" s="166"/>
      <c r="I7" s="167"/>
    </row>
    <row r="8" spans="1:13" x14ac:dyDescent="0.25">
      <c r="A8" s="212" t="s">
        <v>539</v>
      </c>
      <c r="B8" s="174" t="s">
        <v>378</v>
      </c>
      <c r="C8" s="189" t="s">
        <v>8</v>
      </c>
      <c r="D8" s="130"/>
      <c r="E8" s="130"/>
      <c r="F8" s="130"/>
      <c r="G8" s="130"/>
      <c r="H8" s="130"/>
      <c r="I8" s="131"/>
    </row>
    <row r="9" spans="1:13" x14ac:dyDescent="0.25">
      <c r="A9" s="212"/>
      <c r="B9" s="174" t="s">
        <v>9</v>
      </c>
      <c r="C9" s="189"/>
      <c r="D9" s="132"/>
      <c r="E9" s="132"/>
      <c r="F9" s="132"/>
      <c r="G9" s="132"/>
      <c r="H9" s="132"/>
      <c r="I9" s="131"/>
    </row>
    <row r="10" spans="1:13" x14ac:dyDescent="0.25">
      <c r="A10" s="212"/>
      <c r="B10" s="174" t="s">
        <v>10</v>
      </c>
      <c r="C10" s="189" t="s">
        <v>11</v>
      </c>
      <c r="D10" s="133">
        <v>25.7</v>
      </c>
      <c r="E10" s="133">
        <v>25.7</v>
      </c>
      <c r="F10" s="133">
        <v>25.7</v>
      </c>
      <c r="G10" s="133">
        <v>25.7</v>
      </c>
      <c r="H10" s="133">
        <v>25.7</v>
      </c>
      <c r="I10" s="131">
        <v>25.7</v>
      </c>
    </row>
    <row r="11" spans="1:13" x14ac:dyDescent="0.25">
      <c r="A11" s="212"/>
      <c r="B11" s="174" t="s">
        <v>13</v>
      </c>
      <c r="C11" s="189" t="s">
        <v>14</v>
      </c>
      <c r="D11" s="133">
        <f>D10*3.14159*4*4/10</f>
        <v>129.1821808</v>
      </c>
      <c r="E11" s="133">
        <f t="shared" ref="E11:I11" si="1">E10*3.14159*4*4/10</f>
        <v>129.1821808</v>
      </c>
      <c r="F11" s="133">
        <f t="shared" si="1"/>
        <v>129.1821808</v>
      </c>
      <c r="G11" s="133">
        <f t="shared" si="1"/>
        <v>129.1821808</v>
      </c>
      <c r="H11" s="133">
        <f t="shared" si="1"/>
        <v>129.1821808</v>
      </c>
      <c r="I11" s="134">
        <f t="shared" si="1"/>
        <v>129.1821808</v>
      </c>
    </row>
    <row r="12" spans="1:13" x14ac:dyDescent="0.25">
      <c r="A12" s="211" t="s">
        <v>15</v>
      </c>
      <c r="B12" s="173" t="s">
        <v>379</v>
      </c>
      <c r="C12" s="187" t="s">
        <v>14</v>
      </c>
      <c r="D12" s="125">
        <v>1299.0999999999999</v>
      </c>
      <c r="E12" s="125">
        <v>988.9</v>
      </c>
      <c r="F12" s="125">
        <v>960.1</v>
      </c>
      <c r="G12" s="125">
        <v>1032.5</v>
      </c>
      <c r="H12" s="125">
        <v>1003.7</v>
      </c>
      <c r="I12" s="127">
        <v>1037.7</v>
      </c>
    </row>
    <row r="13" spans="1:13" x14ac:dyDescent="0.25">
      <c r="A13" s="211"/>
      <c r="B13" s="173" t="s">
        <v>380</v>
      </c>
      <c r="C13" s="187" t="s">
        <v>551</v>
      </c>
      <c r="D13" s="125">
        <f>D3*D12/D11</f>
        <v>36.705642919445118</v>
      </c>
      <c r="E13" s="125">
        <f>E3*E12/E11</f>
        <v>27.634840795318109</v>
      </c>
      <c r="F13" s="125">
        <f>F3*F12/F11</f>
        <v>26.161131350090972</v>
      </c>
      <c r="G13" s="125">
        <f t="shared" ref="G13:H13" si="2">G3*G12/G11</f>
        <v>30.451761811409213</v>
      </c>
      <c r="H13" s="125">
        <f t="shared" si="2"/>
        <v>27.271462504989699</v>
      </c>
      <c r="I13" s="127">
        <v>29.6</v>
      </c>
    </row>
    <row r="14" spans="1:13" x14ac:dyDescent="0.25">
      <c r="A14" s="211"/>
      <c r="B14" s="173" t="s">
        <v>382</v>
      </c>
      <c r="C14" s="187"/>
      <c r="D14" s="126">
        <v>3.55</v>
      </c>
      <c r="E14" s="135">
        <v>3.5209999999999999</v>
      </c>
      <c r="F14" s="126">
        <v>3.51</v>
      </c>
      <c r="G14" s="126">
        <v>3.52</v>
      </c>
      <c r="H14" s="126">
        <v>3.53</v>
      </c>
      <c r="I14" s="127">
        <v>3.49</v>
      </c>
    </row>
    <row r="15" spans="1:13" x14ac:dyDescent="0.25">
      <c r="A15" s="211"/>
      <c r="B15" s="173" t="s">
        <v>383</v>
      </c>
      <c r="C15" s="187" t="s">
        <v>14</v>
      </c>
      <c r="D15" s="125">
        <v>161.1</v>
      </c>
      <c r="E15" s="125">
        <v>135.1</v>
      </c>
      <c r="F15" s="125">
        <v>131.5</v>
      </c>
      <c r="G15" s="125">
        <v>142</v>
      </c>
      <c r="H15" s="125">
        <v>136.69999999999999</v>
      </c>
      <c r="I15" s="127">
        <v>142.30000000000001</v>
      </c>
      <c r="M15" s="118"/>
    </row>
    <row r="16" spans="1:13" x14ac:dyDescent="0.25">
      <c r="A16" s="211"/>
      <c r="B16" s="173" t="s">
        <v>384</v>
      </c>
      <c r="C16" s="187"/>
      <c r="D16" s="126">
        <f>D15/D11</f>
        <v>1.2470760208748544</v>
      </c>
      <c r="E16" s="126">
        <f>(E15)/E11</f>
        <v>1.0458098722544558</v>
      </c>
      <c r="F16" s="126">
        <f>(F15)/F11</f>
        <v>1.0179422516762466</v>
      </c>
      <c r="G16" s="126">
        <f>(G15)/G11</f>
        <v>1.099222811696023</v>
      </c>
      <c r="H16" s="126">
        <f>(H15)/H11</f>
        <v>1.0581954814003263</v>
      </c>
      <c r="I16" s="126">
        <f>(I15)/I11</f>
        <v>1.1015451134108738</v>
      </c>
      <c r="M16" s="118"/>
    </row>
    <row r="17" spans="1:9" x14ac:dyDescent="0.25">
      <c r="A17" s="211"/>
      <c r="B17" s="178" t="s">
        <v>564</v>
      </c>
      <c r="C17" s="187" t="s">
        <v>562</v>
      </c>
      <c r="D17" s="125">
        <v>160.9</v>
      </c>
      <c r="E17" s="126" t="s">
        <v>588</v>
      </c>
      <c r="F17" s="125" t="s">
        <v>611</v>
      </c>
      <c r="G17" s="125" t="s">
        <v>565</v>
      </c>
      <c r="H17" s="125" t="s">
        <v>565</v>
      </c>
      <c r="I17" s="125" t="s">
        <v>565</v>
      </c>
    </row>
    <row r="18" spans="1:9" x14ac:dyDescent="0.25">
      <c r="A18" s="211"/>
      <c r="B18" s="178" t="s">
        <v>555</v>
      </c>
      <c r="C18" s="187"/>
      <c r="D18" s="125">
        <v>190.5</v>
      </c>
      <c r="E18" s="125">
        <f>E15+30</f>
        <v>165.1</v>
      </c>
      <c r="F18" s="125">
        <v>161.5</v>
      </c>
      <c r="G18" s="125">
        <v>172</v>
      </c>
      <c r="H18" s="125">
        <v>166.7</v>
      </c>
      <c r="I18" s="127">
        <v>172.3</v>
      </c>
    </row>
    <row r="19" spans="1:9" x14ac:dyDescent="0.25">
      <c r="A19" s="211"/>
      <c r="B19" s="173" t="s">
        <v>387</v>
      </c>
      <c r="C19" s="187" t="s">
        <v>14</v>
      </c>
      <c r="D19" s="125">
        <f>D18-7.2</f>
        <v>183.3</v>
      </c>
      <c r="E19" s="125">
        <v>161.4</v>
      </c>
      <c r="F19" s="125">
        <v>157.5</v>
      </c>
      <c r="G19" s="125">
        <v>168</v>
      </c>
      <c r="H19" s="125">
        <v>166.5</v>
      </c>
      <c r="I19" s="136">
        <v>172</v>
      </c>
    </row>
    <row r="20" spans="1:9" x14ac:dyDescent="0.25">
      <c r="A20" s="211"/>
      <c r="B20" s="178" t="s">
        <v>559</v>
      </c>
      <c r="C20" s="187"/>
      <c r="D20" s="125">
        <v>26.3</v>
      </c>
      <c r="E20" s="125">
        <f>E21*E18/E15</f>
        <v>23.707920059215393</v>
      </c>
      <c r="F20" s="125">
        <f>F21*F18/F15</f>
        <v>23.088973384030421</v>
      </c>
      <c r="G20" s="125">
        <f>G21*G18/G15</f>
        <v>23.983098591549297</v>
      </c>
      <c r="H20" s="125">
        <f>H21*H18/H15</f>
        <v>21.462472567666424</v>
      </c>
      <c r="I20" s="125">
        <f>I21*I18/I15</f>
        <v>24.09536191145467</v>
      </c>
    </row>
    <row r="21" spans="1:9" x14ac:dyDescent="0.25">
      <c r="A21" s="211"/>
      <c r="B21" s="178" t="s">
        <v>556</v>
      </c>
      <c r="C21" s="187" t="s">
        <v>16</v>
      </c>
      <c r="D21" s="137">
        <f>D20*D17/D18</f>
        <v>22.213490813648296</v>
      </c>
      <c r="E21" s="125">
        <v>19.399999999999999</v>
      </c>
      <c r="F21" s="137">
        <v>18.8</v>
      </c>
      <c r="G21" s="137">
        <v>19.8</v>
      </c>
      <c r="H21" s="137">
        <v>17.600000000000001</v>
      </c>
      <c r="I21" s="127">
        <v>19.899999999999999</v>
      </c>
    </row>
    <row r="22" spans="1:9" x14ac:dyDescent="0.25">
      <c r="A22" s="211"/>
      <c r="B22" s="178" t="s">
        <v>568</v>
      </c>
      <c r="C22" s="187" t="s">
        <v>417</v>
      </c>
      <c r="D22" s="137">
        <f>D20*D15</f>
        <v>4236.93</v>
      </c>
      <c r="E22" s="137">
        <f>E21*E18</f>
        <v>3202.9399999999996</v>
      </c>
      <c r="F22" s="137">
        <f>F21*F18</f>
        <v>3036.2000000000003</v>
      </c>
      <c r="G22" s="137">
        <f>G21*G18</f>
        <v>3405.6</v>
      </c>
      <c r="H22" s="137">
        <f>H21*H18</f>
        <v>2933.92</v>
      </c>
      <c r="I22" s="137">
        <f>I21*I18</f>
        <v>3428.77</v>
      </c>
    </row>
    <row r="23" spans="1:9" x14ac:dyDescent="0.25">
      <c r="A23" s="211"/>
      <c r="B23" s="178" t="s">
        <v>569</v>
      </c>
      <c r="C23" s="187" t="s">
        <v>417</v>
      </c>
      <c r="D23" s="137">
        <f t="shared" ref="D23:I23" si="3">D21*D19</f>
        <v>4071.7328661417328</v>
      </c>
      <c r="E23" s="137">
        <f t="shared" si="3"/>
        <v>3131.16</v>
      </c>
      <c r="F23" s="137">
        <f t="shared" si="3"/>
        <v>2961</v>
      </c>
      <c r="G23" s="137">
        <f t="shared" si="3"/>
        <v>3326.4</v>
      </c>
      <c r="H23" s="137">
        <f t="shared" si="3"/>
        <v>2930.4</v>
      </c>
      <c r="I23" s="137">
        <f t="shared" si="3"/>
        <v>3422.7999999999997</v>
      </c>
    </row>
    <row r="24" spans="1:9" x14ac:dyDescent="0.25">
      <c r="A24" s="211"/>
      <c r="B24" s="178" t="s">
        <v>495</v>
      </c>
      <c r="C24" s="187" t="s">
        <v>6</v>
      </c>
      <c r="D24" s="138">
        <f>D20*D15/D12/D3</f>
        <v>0.89354379164500619</v>
      </c>
      <c r="E24" s="138">
        <f>E21*E18/E12/E3</f>
        <v>0.89719991630085638</v>
      </c>
      <c r="F24" s="138">
        <f>F21*F18/F12/F3</f>
        <v>0.8984031019496076</v>
      </c>
      <c r="G24" s="138">
        <f>G21*G18/G12/G3</f>
        <v>0.86572229318792782</v>
      </c>
      <c r="H24" s="138">
        <f>H21*H18/H12/H3</f>
        <v>0.83279330863270296</v>
      </c>
      <c r="I24" s="138">
        <f>I21*I18/I12/I3</f>
        <v>0.89788086948141999</v>
      </c>
    </row>
    <row r="25" spans="1:9" x14ac:dyDescent="0.25">
      <c r="A25" s="212" t="s">
        <v>459</v>
      </c>
      <c r="B25" s="174" t="s">
        <v>389</v>
      </c>
      <c r="C25" s="189" t="s">
        <v>390</v>
      </c>
      <c r="D25" s="139">
        <v>23.2</v>
      </c>
      <c r="E25" s="139">
        <v>23</v>
      </c>
      <c r="F25" s="139">
        <v>23</v>
      </c>
      <c r="G25" s="139">
        <v>22.7</v>
      </c>
      <c r="H25" s="139">
        <v>22.6</v>
      </c>
      <c r="I25" s="131">
        <v>22.3</v>
      </c>
    </row>
    <row r="26" spans="1:9" x14ac:dyDescent="0.25">
      <c r="A26" s="212"/>
      <c r="B26" s="174" t="s">
        <v>391</v>
      </c>
      <c r="C26" s="189"/>
      <c r="D26" s="132">
        <v>4.1100000000000003</v>
      </c>
      <c r="E26" s="132">
        <v>3.94</v>
      </c>
      <c r="F26" s="132">
        <v>3.93</v>
      </c>
      <c r="G26" s="132">
        <v>4.01</v>
      </c>
      <c r="H26" s="132">
        <v>3.99</v>
      </c>
      <c r="I26" s="131">
        <v>3.99</v>
      </c>
    </row>
    <row r="27" spans="1:9" x14ac:dyDescent="0.25">
      <c r="A27" s="212"/>
      <c r="B27" s="174" t="s">
        <v>392</v>
      </c>
      <c r="C27" s="189" t="s">
        <v>20</v>
      </c>
      <c r="D27" s="133">
        <v>3.5</v>
      </c>
      <c r="E27" s="133">
        <v>1.9</v>
      </c>
      <c r="F27" s="133">
        <v>1.8</v>
      </c>
      <c r="G27" s="133">
        <v>2.7</v>
      </c>
      <c r="H27" s="133">
        <v>2.2999999999999998</v>
      </c>
      <c r="I27" s="131">
        <v>2.4</v>
      </c>
    </row>
    <row r="28" spans="1:9" x14ac:dyDescent="0.25">
      <c r="A28" s="212"/>
      <c r="B28" s="180" t="s">
        <v>432</v>
      </c>
      <c r="C28" s="189" t="s">
        <v>434</v>
      </c>
      <c r="D28" s="140">
        <f t="shared" ref="D28:I28" si="4">D27/D19</f>
        <v>1.9094380796508454E-2</v>
      </c>
      <c r="E28" s="140">
        <f t="shared" si="4"/>
        <v>1.1771995043370507E-2</v>
      </c>
      <c r="F28" s="140">
        <f t="shared" si="4"/>
        <v>1.1428571428571429E-2</v>
      </c>
      <c r="G28" s="140">
        <f t="shared" si="4"/>
        <v>1.6071428571428573E-2</v>
      </c>
      <c r="H28" s="140">
        <f t="shared" si="4"/>
        <v>1.3813813813813813E-2</v>
      </c>
      <c r="I28" s="140">
        <f t="shared" si="4"/>
        <v>1.3953488372093023E-2</v>
      </c>
    </row>
    <row r="29" spans="1:9" x14ac:dyDescent="0.25">
      <c r="A29" s="212"/>
      <c r="B29" s="180" t="s">
        <v>557</v>
      </c>
      <c r="C29" s="189"/>
      <c r="D29" s="131">
        <f>D27+D19</f>
        <v>186.8</v>
      </c>
      <c r="E29" s="131">
        <v>163.30000000000001</v>
      </c>
      <c r="F29" s="131">
        <v>159.30000000000001</v>
      </c>
      <c r="G29" s="131">
        <v>170.7</v>
      </c>
      <c r="H29" s="131">
        <v>168.8</v>
      </c>
      <c r="I29" s="131">
        <v>174.4</v>
      </c>
    </row>
    <row r="30" spans="1:9" x14ac:dyDescent="0.25">
      <c r="A30" s="212"/>
      <c r="B30" s="174" t="s">
        <v>393</v>
      </c>
      <c r="C30" s="189"/>
      <c r="D30" s="132">
        <v>3.58</v>
      </c>
      <c r="E30" s="132">
        <v>3.6</v>
      </c>
      <c r="F30" s="132">
        <v>3.6</v>
      </c>
      <c r="G30" s="132">
        <v>3.63</v>
      </c>
      <c r="H30" s="132">
        <v>3.63</v>
      </c>
      <c r="I30" s="141">
        <v>3.6</v>
      </c>
    </row>
    <row r="31" spans="1:9" x14ac:dyDescent="0.25">
      <c r="A31" s="212"/>
      <c r="B31" s="181" t="s">
        <v>558</v>
      </c>
      <c r="C31" s="189" t="s">
        <v>21</v>
      </c>
      <c r="D31" s="130">
        <v>64</v>
      </c>
      <c r="E31" s="130">
        <v>61</v>
      </c>
      <c r="F31" s="130">
        <v>61</v>
      </c>
      <c r="G31" s="130">
        <v>61</v>
      </c>
      <c r="H31" s="130">
        <v>60</v>
      </c>
      <c r="I31" s="131">
        <v>61</v>
      </c>
    </row>
    <row r="32" spans="1:9" x14ac:dyDescent="0.25">
      <c r="A32" s="212"/>
      <c r="B32" s="174" t="s">
        <v>552</v>
      </c>
      <c r="C32" s="189" t="s">
        <v>20</v>
      </c>
      <c r="D32" s="133">
        <v>25.5</v>
      </c>
      <c r="E32" s="133">
        <v>19.2</v>
      </c>
      <c r="F32" s="133">
        <v>18.8</v>
      </c>
      <c r="G32" s="133">
        <v>22</v>
      </c>
      <c r="H32" s="133">
        <v>20.6</v>
      </c>
      <c r="I32" s="131">
        <v>21.4</v>
      </c>
    </row>
    <row r="33" spans="1:9" x14ac:dyDescent="0.25">
      <c r="A33" s="212"/>
      <c r="B33" s="180" t="s">
        <v>429</v>
      </c>
      <c r="C33" s="189" t="s">
        <v>433</v>
      </c>
      <c r="D33" s="140">
        <f t="shared" ref="D33:I33" si="5">D32/D29</f>
        <v>0.13650963597430407</v>
      </c>
      <c r="E33" s="140">
        <f t="shared" si="5"/>
        <v>0.11757501530924677</v>
      </c>
      <c r="F33" s="140">
        <f t="shared" si="5"/>
        <v>0.11801632140615191</v>
      </c>
      <c r="G33" s="140">
        <f t="shared" si="5"/>
        <v>0.12888107791446984</v>
      </c>
      <c r="H33" s="140">
        <f t="shared" si="5"/>
        <v>0.12203791469194313</v>
      </c>
      <c r="I33" s="140">
        <f t="shared" si="5"/>
        <v>0.12270642201834861</v>
      </c>
    </row>
    <row r="34" spans="1:9" x14ac:dyDescent="0.25">
      <c r="A34" s="212"/>
      <c r="B34" s="174" t="s">
        <v>385</v>
      </c>
      <c r="C34" s="189"/>
      <c r="D34" s="132">
        <v>6.48</v>
      </c>
      <c r="E34" s="132">
        <v>6.5</v>
      </c>
      <c r="F34" s="132">
        <v>6.51</v>
      </c>
      <c r="G34" s="132">
        <v>6.49</v>
      </c>
      <c r="H34" s="132">
        <v>6.48</v>
      </c>
      <c r="I34" s="131">
        <v>6.49</v>
      </c>
    </row>
    <row r="35" spans="1:9" x14ac:dyDescent="0.25">
      <c r="A35" s="212"/>
      <c r="B35" s="180" t="s">
        <v>553</v>
      </c>
      <c r="C35" s="189" t="s">
        <v>4</v>
      </c>
      <c r="D35" s="133">
        <f>D32+D29</f>
        <v>212.3</v>
      </c>
      <c r="E35" s="133">
        <v>182.5</v>
      </c>
      <c r="F35" s="142" t="s">
        <v>610</v>
      </c>
      <c r="G35" s="133">
        <v>192.7</v>
      </c>
      <c r="H35" s="133">
        <v>189.4</v>
      </c>
      <c r="I35" s="131">
        <v>195.8</v>
      </c>
    </row>
    <row r="36" spans="1:9" x14ac:dyDescent="0.25">
      <c r="A36" s="212"/>
      <c r="B36" s="174" t="s">
        <v>397</v>
      </c>
      <c r="C36" s="189" t="s">
        <v>14</v>
      </c>
      <c r="D36" s="132">
        <v>209.91</v>
      </c>
      <c r="E36" s="133">
        <v>182.3</v>
      </c>
      <c r="F36" s="142" t="s">
        <v>610</v>
      </c>
      <c r="G36" s="133">
        <v>192.3</v>
      </c>
      <c r="H36" s="133">
        <v>189.3</v>
      </c>
      <c r="I36" s="131">
        <v>195.6</v>
      </c>
    </row>
    <row r="37" spans="1:9" x14ac:dyDescent="0.25">
      <c r="A37" s="211" t="s">
        <v>17</v>
      </c>
      <c r="B37" s="173" t="s">
        <v>379</v>
      </c>
      <c r="C37" s="187" t="s">
        <v>14</v>
      </c>
      <c r="D37" s="125">
        <v>1283</v>
      </c>
      <c r="E37" s="125">
        <v>995.7</v>
      </c>
      <c r="F37" s="125">
        <v>960.3</v>
      </c>
      <c r="G37" s="125">
        <v>1032</v>
      </c>
      <c r="H37" s="125">
        <v>1004.8</v>
      </c>
      <c r="I37" s="127">
        <v>1036.9000000000001</v>
      </c>
    </row>
    <row r="38" spans="1:9" x14ac:dyDescent="0.25">
      <c r="A38" s="211"/>
      <c r="B38" s="173" t="s">
        <v>380</v>
      </c>
      <c r="C38" s="187" t="s">
        <v>381</v>
      </c>
      <c r="D38" s="125">
        <v>36.200000000000003</v>
      </c>
      <c r="E38" s="125">
        <f>E3*E37/E11</f>
        <v>27.82486700363863</v>
      </c>
      <c r="F38" s="125">
        <f>F3*F37/F11</f>
        <v>26.166581018115153</v>
      </c>
      <c r="G38" s="125">
        <f>G3*G37/G11</f>
        <v>30.437015195519908</v>
      </c>
      <c r="H38" s="125">
        <f>H3*H37/H11</f>
        <v>27.301350528059825</v>
      </c>
      <c r="I38" s="127">
        <v>29.5</v>
      </c>
    </row>
    <row r="39" spans="1:9" x14ac:dyDescent="0.25">
      <c r="A39" s="211"/>
      <c r="B39" s="173" t="s">
        <v>382</v>
      </c>
      <c r="C39" s="187"/>
      <c r="D39" s="126">
        <v>3.55</v>
      </c>
      <c r="E39" s="126">
        <v>3.57</v>
      </c>
      <c r="F39" s="126">
        <v>3.51</v>
      </c>
      <c r="G39" s="126">
        <v>3.52</v>
      </c>
      <c r="H39" s="126">
        <v>3.53</v>
      </c>
      <c r="I39" s="127">
        <v>3.49</v>
      </c>
    </row>
    <row r="40" spans="1:9" x14ac:dyDescent="0.25">
      <c r="A40" s="211"/>
      <c r="B40" s="182" t="s">
        <v>560</v>
      </c>
      <c r="C40" s="187" t="s">
        <v>14</v>
      </c>
      <c r="D40" s="125">
        <v>163.1</v>
      </c>
      <c r="E40" s="125">
        <f>E43-30</f>
        <v>137.69999999999999</v>
      </c>
      <c r="F40" s="125">
        <v>133.5</v>
      </c>
      <c r="G40" s="125">
        <v>145.5</v>
      </c>
      <c r="H40" s="125">
        <v>140.4</v>
      </c>
      <c r="I40" s="127">
        <v>144.80000000000001</v>
      </c>
    </row>
    <row r="41" spans="1:9" x14ac:dyDescent="0.25">
      <c r="A41" s="211"/>
      <c r="B41" s="182" t="s">
        <v>564</v>
      </c>
      <c r="C41" s="187"/>
      <c r="D41" s="125">
        <v>162.9</v>
      </c>
      <c r="E41" s="125">
        <f>E40</f>
        <v>137.69999999999999</v>
      </c>
      <c r="F41" s="125">
        <v>133.5</v>
      </c>
      <c r="G41" s="125">
        <v>145.5</v>
      </c>
      <c r="H41" s="125">
        <v>140.4</v>
      </c>
      <c r="I41" s="127">
        <v>144.80000000000001</v>
      </c>
    </row>
    <row r="42" spans="1:9" x14ac:dyDescent="0.25">
      <c r="A42" s="211"/>
      <c r="B42" s="173" t="s">
        <v>384</v>
      </c>
      <c r="C42" s="187"/>
      <c r="D42" s="126">
        <f t="shared" ref="D42:I42" si="6">D40/D11</f>
        <v>1.2625580323071925</v>
      </c>
      <c r="E42" s="126">
        <f t="shared" si="6"/>
        <v>1.0659364871164956</v>
      </c>
      <c r="F42" s="126">
        <f t="shared" si="6"/>
        <v>1.033424263108585</v>
      </c>
      <c r="G42" s="126">
        <f t="shared" si="6"/>
        <v>1.1263163317026152</v>
      </c>
      <c r="H42" s="126">
        <f t="shared" si="6"/>
        <v>1.0868372025501525</v>
      </c>
      <c r="I42" s="126">
        <f t="shared" si="6"/>
        <v>1.1208976277012968</v>
      </c>
    </row>
    <row r="43" spans="1:9" x14ac:dyDescent="0.25">
      <c r="A43" s="211"/>
      <c r="B43" s="178" t="s">
        <v>555</v>
      </c>
      <c r="C43" s="187" t="s">
        <v>562</v>
      </c>
      <c r="D43" s="125">
        <v>183.8</v>
      </c>
      <c r="E43" s="125">
        <v>167.7</v>
      </c>
      <c r="F43" s="125">
        <v>163.5</v>
      </c>
      <c r="G43" s="125">
        <v>175.5</v>
      </c>
      <c r="H43" s="125">
        <v>170.4</v>
      </c>
      <c r="I43" s="127">
        <v>174.8</v>
      </c>
    </row>
    <row r="44" spans="1:9" x14ac:dyDescent="0.25">
      <c r="A44" s="211"/>
      <c r="B44" s="173" t="s">
        <v>387</v>
      </c>
      <c r="C44" s="187" t="s">
        <v>14</v>
      </c>
      <c r="D44" s="125">
        <f>D43</f>
        <v>183.8</v>
      </c>
      <c r="E44" s="125">
        <v>167.5</v>
      </c>
      <c r="F44" s="125">
        <v>163.19999999999999</v>
      </c>
      <c r="G44" s="125">
        <v>175.2</v>
      </c>
      <c r="H44" s="125">
        <v>170.2</v>
      </c>
      <c r="I44" s="127">
        <v>174.8</v>
      </c>
    </row>
    <row r="45" spans="1:9" x14ac:dyDescent="0.25">
      <c r="A45" s="211"/>
      <c r="B45" s="178" t="s">
        <v>618</v>
      </c>
      <c r="C45" s="187" t="s">
        <v>3</v>
      </c>
      <c r="D45" s="125">
        <v>26</v>
      </c>
      <c r="E45" s="125">
        <f>E46*E44/137.5</f>
        <v>23.754545454545454</v>
      </c>
      <c r="F45" s="125">
        <f>F46*F43/F40</f>
        <v>24.49438202247191</v>
      </c>
      <c r="G45" s="125">
        <f>G46*G43/G40</f>
        <v>24.364948453608246</v>
      </c>
      <c r="H45" s="125">
        <f>H46*H43/H40</f>
        <v>22.574358974358976</v>
      </c>
      <c r="I45" s="125">
        <f>I46*I43/I40</f>
        <v>23.177900552486189</v>
      </c>
    </row>
    <row r="46" spans="1:9" x14ac:dyDescent="0.25">
      <c r="A46" s="211"/>
      <c r="B46" s="178" t="s">
        <v>556</v>
      </c>
      <c r="C46" s="187" t="s">
        <v>3</v>
      </c>
      <c r="D46" s="125">
        <f>D45*D41/D43</f>
        <v>23.043525571273126</v>
      </c>
      <c r="E46" s="125">
        <v>19.5</v>
      </c>
      <c r="F46" s="125">
        <v>20</v>
      </c>
      <c r="G46" s="125">
        <v>20.2</v>
      </c>
      <c r="H46" s="125">
        <v>18.600000000000001</v>
      </c>
      <c r="I46" s="127">
        <v>19.2</v>
      </c>
    </row>
    <row r="47" spans="1:9" x14ac:dyDescent="0.25">
      <c r="A47" s="211"/>
      <c r="B47" s="178" t="s">
        <v>496</v>
      </c>
      <c r="C47" s="187" t="s">
        <v>6</v>
      </c>
      <c r="D47" s="128">
        <f>D45*D40/D37/D3</f>
        <v>0.90554031112866873</v>
      </c>
      <c r="E47" s="128">
        <f>E46*E43/E37/E3</f>
        <v>0.90977073994352986</v>
      </c>
      <c r="F47" s="128">
        <f>F46*F43/F37/F3</f>
        <v>0.96738235210587609</v>
      </c>
      <c r="G47" s="128">
        <f>G46*G43/G37/G3</f>
        <v>0.90162058231093201</v>
      </c>
      <c r="H47" s="128">
        <f>H46*H43/H37/H3</f>
        <v>0.89866078719581932</v>
      </c>
      <c r="I47" s="128">
        <f>I46*I43/I37/I3</f>
        <v>0.87954479699103094</v>
      </c>
    </row>
    <row r="48" spans="1:9" x14ac:dyDescent="0.25">
      <c r="A48" s="211"/>
      <c r="B48" s="178" t="s">
        <v>568</v>
      </c>
      <c r="C48" s="187" t="s">
        <v>417</v>
      </c>
      <c r="D48" s="125">
        <f>D40*D45</f>
        <v>4240.5999999999995</v>
      </c>
      <c r="E48" s="125">
        <f>E46*E43</f>
        <v>3270.1499999999996</v>
      </c>
      <c r="F48" s="125">
        <f>F46*F43</f>
        <v>3270</v>
      </c>
      <c r="G48" s="125">
        <f>G46*G43</f>
        <v>3545.1</v>
      </c>
      <c r="H48" s="125">
        <f>H46*H43</f>
        <v>3169.4400000000005</v>
      </c>
      <c r="I48" s="125">
        <f>I46*I43</f>
        <v>3356.1600000000003</v>
      </c>
    </row>
    <row r="49" spans="1:9" x14ac:dyDescent="0.25">
      <c r="A49" s="211"/>
      <c r="B49" s="178" t="s">
        <v>566</v>
      </c>
      <c r="C49" s="187" t="s">
        <v>567</v>
      </c>
      <c r="D49" s="125">
        <f>D41*D45</f>
        <v>4235.4000000000005</v>
      </c>
      <c r="E49" s="125">
        <f>E46*E44</f>
        <v>3266.25</v>
      </c>
      <c r="F49" s="125">
        <f>F46*F44</f>
        <v>3264</v>
      </c>
      <c r="G49" s="125">
        <f>G46*G44</f>
        <v>3539.0399999999995</v>
      </c>
      <c r="H49" s="125">
        <f>H46*H44</f>
        <v>3165.7200000000003</v>
      </c>
      <c r="I49" s="125">
        <f>I46*I44</f>
        <v>3356.1600000000003</v>
      </c>
    </row>
    <row r="50" spans="1:9" x14ac:dyDescent="0.25">
      <c r="A50" s="212" t="s">
        <v>460</v>
      </c>
      <c r="B50" s="174" t="s">
        <v>389</v>
      </c>
      <c r="C50" s="189" t="s">
        <v>390</v>
      </c>
      <c r="D50" s="133">
        <v>23</v>
      </c>
      <c r="E50" s="133">
        <v>21.34</v>
      </c>
      <c r="F50" s="133">
        <v>22.8</v>
      </c>
      <c r="G50" s="133">
        <v>22.6</v>
      </c>
      <c r="H50" s="133">
        <v>22.5</v>
      </c>
      <c r="I50" s="131">
        <v>22.3</v>
      </c>
    </row>
    <row r="51" spans="1:9" x14ac:dyDescent="0.25">
      <c r="A51" s="212"/>
      <c r="B51" s="174" t="s">
        <v>391</v>
      </c>
      <c r="C51" s="189"/>
      <c r="D51" s="132">
        <v>4.1900000000000004</v>
      </c>
      <c r="E51" s="132">
        <v>4.0199999999999996</v>
      </c>
      <c r="F51" s="132">
        <v>3.96</v>
      </c>
      <c r="G51" s="132">
        <v>3.99</v>
      </c>
      <c r="H51" s="132">
        <v>3.99</v>
      </c>
      <c r="I51" s="131">
        <v>4.01</v>
      </c>
    </row>
    <row r="52" spans="1:9" x14ac:dyDescent="0.25">
      <c r="A52" s="212"/>
      <c r="B52" s="174" t="s">
        <v>392</v>
      </c>
      <c r="C52" s="189" t="s">
        <v>20</v>
      </c>
      <c r="D52" s="133">
        <v>3.8</v>
      </c>
      <c r="E52" s="133">
        <v>2.7</v>
      </c>
      <c r="F52" s="133">
        <v>2.4</v>
      </c>
      <c r="G52" s="133">
        <v>2.1</v>
      </c>
      <c r="H52" s="133">
        <v>2.2000000000000002</v>
      </c>
      <c r="I52" s="134">
        <v>3</v>
      </c>
    </row>
    <row r="53" spans="1:9" x14ac:dyDescent="0.25">
      <c r="A53" s="212"/>
      <c r="B53" s="174" t="s">
        <v>561</v>
      </c>
      <c r="C53" s="189" t="s">
        <v>562</v>
      </c>
      <c r="D53" s="133">
        <f>D52+D44</f>
        <v>187.60000000000002</v>
      </c>
      <c r="E53" s="133">
        <v>170.2</v>
      </c>
      <c r="F53" s="133">
        <v>165.6</v>
      </c>
      <c r="G53" s="133">
        <v>177.3</v>
      </c>
      <c r="H53" s="133">
        <v>172.4</v>
      </c>
      <c r="I53" s="131">
        <v>177.8</v>
      </c>
    </row>
    <row r="54" spans="1:9" x14ac:dyDescent="0.25">
      <c r="A54" s="212"/>
      <c r="B54" s="180" t="s">
        <v>431</v>
      </c>
      <c r="C54" s="189" t="s">
        <v>6</v>
      </c>
      <c r="D54" s="143">
        <f>D52/D43</f>
        <v>2.0674646354733404E-2</v>
      </c>
      <c r="E54" s="143">
        <f>E52/E44</f>
        <v>1.6119402985074627E-2</v>
      </c>
      <c r="F54" s="143">
        <f>F52/F44</f>
        <v>1.4705882352941176E-2</v>
      </c>
      <c r="G54" s="143">
        <f>G52/G44</f>
        <v>1.1986301369863015E-2</v>
      </c>
      <c r="H54" s="143">
        <f>H52/H44</f>
        <v>1.2925969447708579E-2</v>
      </c>
      <c r="I54" s="143">
        <f>I52/I44</f>
        <v>1.7162471395881007E-2</v>
      </c>
    </row>
    <row r="55" spans="1:9" x14ac:dyDescent="0.25">
      <c r="A55" s="212"/>
      <c r="B55" s="174" t="s">
        <v>393</v>
      </c>
      <c r="C55" s="189"/>
      <c r="D55" s="132">
        <v>3.58</v>
      </c>
      <c r="E55" s="132">
        <v>3.61</v>
      </c>
      <c r="F55" s="132">
        <v>3.6</v>
      </c>
      <c r="G55" s="132">
        <v>3.63</v>
      </c>
      <c r="H55" s="132">
        <v>3.59</v>
      </c>
      <c r="I55" s="131">
        <v>3.61</v>
      </c>
    </row>
    <row r="56" spans="1:9" x14ac:dyDescent="0.25">
      <c r="A56" s="212"/>
      <c r="B56" s="181" t="s">
        <v>558</v>
      </c>
      <c r="C56" s="189" t="s">
        <v>21</v>
      </c>
      <c r="D56" s="130">
        <v>61</v>
      </c>
      <c r="E56" s="130">
        <v>62</v>
      </c>
      <c r="F56" s="130">
        <v>61</v>
      </c>
      <c r="G56" s="130">
        <v>61</v>
      </c>
      <c r="H56" s="130">
        <v>60</v>
      </c>
      <c r="I56" s="131">
        <v>63</v>
      </c>
    </row>
    <row r="57" spans="1:9" x14ac:dyDescent="0.25">
      <c r="A57" s="212"/>
      <c r="B57" s="174" t="s">
        <v>563</v>
      </c>
      <c r="C57" s="189" t="s">
        <v>20</v>
      </c>
      <c r="D57" s="133">
        <v>27.2</v>
      </c>
      <c r="E57" s="133">
        <v>20.7</v>
      </c>
      <c r="F57" s="133">
        <v>19.399999999999999</v>
      </c>
      <c r="G57" s="133">
        <v>21.2</v>
      </c>
      <c r="H57" s="133">
        <v>21.8</v>
      </c>
      <c r="I57" s="131">
        <v>23.4</v>
      </c>
    </row>
    <row r="58" spans="1:9" x14ac:dyDescent="0.25">
      <c r="A58" s="212"/>
      <c r="B58" s="180" t="s">
        <v>429</v>
      </c>
      <c r="C58" s="189" t="s">
        <v>433</v>
      </c>
      <c r="D58" s="140">
        <f t="shared" ref="D58:I58" si="7">D57/D53</f>
        <v>0.14498933901918976</v>
      </c>
      <c r="E58" s="140">
        <f t="shared" si="7"/>
        <v>0.12162162162162163</v>
      </c>
      <c r="F58" s="140">
        <f t="shared" si="7"/>
        <v>0.11714975845410627</v>
      </c>
      <c r="G58" s="140">
        <f t="shared" si="7"/>
        <v>0.11957134799774392</v>
      </c>
      <c r="H58" s="140">
        <f t="shared" si="7"/>
        <v>0.12645011600928074</v>
      </c>
      <c r="I58" s="140">
        <f t="shared" si="7"/>
        <v>0.13160854893138357</v>
      </c>
    </row>
    <row r="59" spans="1:9" x14ac:dyDescent="0.25">
      <c r="A59" s="212"/>
      <c r="B59" s="174" t="s">
        <v>385</v>
      </c>
      <c r="C59" s="189"/>
      <c r="D59" s="132">
        <v>6.51</v>
      </c>
      <c r="E59" s="132">
        <v>6.49</v>
      </c>
      <c r="F59" s="132">
        <v>6.52</v>
      </c>
      <c r="G59" s="132">
        <v>6.49</v>
      </c>
      <c r="H59" s="132">
        <v>6.5</v>
      </c>
      <c r="I59" s="131">
        <v>6.51</v>
      </c>
    </row>
    <row r="60" spans="1:9" x14ac:dyDescent="0.25">
      <c r="A60" s="212"/>
      <c r="B60" s="180" t="s">
        <v>582</v>
      </c>
      <c r="C60" s="189" t="s">
        <v>575</v>
      </c>
      <c r="D60" s="133">
        <v>214.8</v>
      </c>
      <c r="E60" s="133">
        <v>190.7</v>
      </c>
      <c r="F60" s="133">
        <v>185.3</v>
      </c>
      <c r="G60" s="133">
        <v>198.5</v>
      </c>
      <c r="H60" s="133">
        <v>193.3</v>
      </c>
      <c r="I60" s="131">
        <v>201.2</v>
      </c>
    </row>
    <row r="61" spans="1:9" x14ac:dyDescent="0.25">
      <c r="A61" s="212"/>
      <c r="B61" s="180" t="s">
        <v>564</v>
      </c>
      <c r="C61" s="189" t="s">
        <v>562</v>
      </c>
      <c r="D61" s="133">
        <v>214.2</v>
      </c>
      <c r="E61" s="133">
        <v>190.5</v>
      </c>
      <c r="F61" s="133">
        <v>185</v>
      </c>
      <c r="G61" s="133">
        <v>198</v>
      </c>
      <c r="H61" s="133">
        <v>193.3</v>
      </c>
      <c r="I61" s="131">
        <v>200.8</v>
      </c>
    </row>
    <row r="62" spans="1:9" x14ac:dyDescent="0.25">
      <c r="A62" s="211" t="s">
        <v>461</v>
      </c>
      <c r="B62" s="173" t="s">
        <v>379</v>
      </c>
      <c r="C62" s="187" t="s">
        <v>1</v>
      </c>
      <c r="D62" s="144" t="s">
        <v>565</v>
      </c>
      <c r="E62" s="125">
        <v>960.6</v>
      </c>
      <c r="F62" s="125">
        <v>942.8</v>
      </c>
      <c r="G62" s="125">
        <v>994.5</v>
      </c>
      <c r="H62" s="125">
        <v>984</v>
      </c>
      <c r="I62" s="127">
        <v>1016.3</v>
      </c>
    </row>
    <row r="63" spans="1:9" x14ac:dyDescent="0.25">
      <c r="A63" s="211"/>
      <c r="B63" s="173" t="s">
        <v>380</v>
      </c>
      <c r="C63" s="187" t="s">
        <v>381</v>
      </c>
      <c r="D63" s="144" t="s">
        <v>565</v>
      </c>
      <c r="E63" s="125">
        <f>E62*E3/E11</f>
        <v>26.843996428337121</v>
      </c>
      <c r="F63" s="125">
        <f>F62*F3/F11</f>
        <v>25.689735065999134</v>
      </c>
      <c r="G63" s="125">
        <f>G62*G3/G11</f>
        <v>29.331019003822238</v>
      </c>
      <c r="H63" s="125">
        <f>H62*H3/H11</f>
        <v>26.736195182733745</v>
      </c>
      <c r="I63" s="127">
        <v>28.9</v>
      </c>
    </row>
    <row r="64" spans="1:9" x14ac:dyDescent="0.25">
      <c r="A64" s="211"/>
      <c r="B64" s="173" t="s">
        <v>382</v>
      </c>
      <c r="C64" s="187"/>
      <c r="D64" s="144" t="s">
        <v>565</v>
      </c>
      <c r="E64" s="126">
        <v>3.5</v>
      </c>
      <c r="F64" s="126">
        <v>3.51</v>
      </c>
      <c r="G64" s="126">
        <v>3.52</v>
      </c>
      <c r="H64" s="126">
        <v>3.53</v>
      </c>
      <c r="I64" s="127">
        <v>3.49</v>
      </c>
    </row>
    <row r="65" spans="1:9" x14ac:dyDescent="0.25">
      <c r="A65" s="211"/>
      <c r="B65" s="173" t="s">
        <v>383</v>
      </c>
      <c r="C65" s="187" t="s">
        <v>1</v>
      </c>
      <c r="D65" s="144" t="s">
        <v>565</v>
      </c>
      <c r="E65" s="125">
        <v>173.6</v>
      </c>
      <c r="F65" s="125">
        <v>119.4</v>
      </c>
      <c r="G65" s="125">
        <v>142.80000000000001</v>
      </c>
      <c r="H65" s="125">
        <v>140.19999999999999</v>
      </c>
      <c r="I65" s="127">
        <v>144.4</v>
      </c>
    </row>
    <row r="66" spans="1:9" x14ac:dyDescent="0.25">
      <c r="A66" s="211"/>
      <c r="B66" s="182" t="s">
        <v>458</v>
      </c>
      <c r="C66" s="187" t="s">
        <v>619</v>
      </c>
      <c r="D66" s="144" t="s">
        <v>565</v>
      </c>
      <c r="E66" s="144" t="s">
        <v>565</v>
      </c>
      <c r="F66" s="125">
        <v>119.4</v>
      </c>
      <c r="G66" s="125">
        <v>142.80000000000001</v>
      </c>
      <c r="H66" s="125">
        <v>140.19999999999999</v>
      </c>
      <c r="I66" s="127">
        <v>144.4</v>
      </c>
    </row>
    <row r="67" spans="1:9" x14ac:dyDescent="0.25">
      <c r="A67" s="211"/>
      <c r="B67" s="173" t="s">
        <v>384</v>
      </c>
      <c r="C67" s="187"/>
      <c r="D67" s="144" t="s">
        <v>565</v>
      </c>
      <c r="E67" s="126">
        <f>E65/E11</f>
        <v>1.3438385923269689</v>
      </c>
      <c r="F67" s="126">
        <f>F65/F11</f>
        <v>0.92427608251059967</v>
      </c>
      <c r="G67" s="126">
        <f>G65/G11</f>
        <v>1.1054156162689586</v>
      </c>
      <c r="H67" s="126">
        <f>H65/H11</f>
        <v>1.0852890014069185</v>
      </c>
      <c r="I67" s="126">
        <f>I65/I11</f>
        <v>1.1178012254148291</v>
      </c>
    </row>
    <row r="68" spans="1:9" x14ac:dyDescent="0.25">
      <c r="A68" s="211"/>
      <c r="B68" s="178" t="s">
        <v>555</v>
      </c>
      <c r="C68" s="187" t="s">
        <v>1</v>
      </c>
      <c r="D68" s="144" t="s">
        <v>565</v>
      </c>
      <c r="E68" s="125">
        <v>173.2</v>
      </c>
      <c r="F68" s="125">
        <v>149.4</v>
      </c>
      <c r="G68" s="125">
        <v>172.8</v>
      </c>
      <c r="H68" s="125">
        <v>170.2</v>
      </c>
      <c r="I68" s="127">
        <v>174.4</v>
      </c>
    </row>
    <row r="69" spans="1:9" x14ac:dyDescent="0.25">
      <c r="A69" s="211"/>
      <c r="B69" s="173" t="s">
        <v>387</v>
      </c>
      <c r="C69" s="187" t="s">
        <v>1</v>
      </c>
      <c r="D69" s="144" t="s">
        <v>565</v>
      </c>
      <c r="E69" s="125">
        <v>173.2</v>
      </c>
      <c r="F69" s="125">
        <v>149.30000000000001</v>
      </c>
      <c r="G69" s="125">
        <v>172.7</v>
      </c>
      <c r="H69" s="125">
        <v>170.1</v>
      </c>
      <c r="I69" s="127">
        <v>174.2</v>
      </c>
    </row>
    <row r="70" spans="1:9" x14ac:dyDescent="0.25">
      <c r="A70" s="211"/>
      <c r="B70" s="178" t="s">
        <v>618</v>
      </c>
      <c r="C70" s="187" t="s">
        <v>3</v>
      </c>
      <c r="D70" s="144" t="s">
        <v>565</v>
      </c>
      <c r="E70" s="125" t="s">
        <v>565</v>
      </c>
      <c r="F70" s="125">
        <f>F71*F68/F65</f>
        <v>25.650753768844222</v>
      </c>
      <c r="G70" s="125">
        <f>G71*G68/G65</f>
        <v>24.080672268907559</v>
      </c>
      <c r="H70" s="125">
        <f>H71*H68/H65</f>
        <v>22.337232524964335</v>
      </c>
      <c r="I70" s="125">
        <f>I71*I68/I65</f>
        <v>22.222714681440443</v>
      </c>
    </row>
    <row r="71" spans="1:9" x14ac:dyDescent="0.25">
      <c r="A71" s="211"/>
      <c r="B71" s="178" t="s">
        <v>556</v>
      </c>
      <c r="C71" s="187" t="s">
        <v>3</v>
      </c>
      <c r="D71" s="144" t="s">
        <v>565</v>
      </c>
      <c r="E71" s="125">
        <v>17.7</v>
      </c>
      <c r="F71" s="125">
        <v>20.5</v>
      </c>
      <c r="G71" s="125">
        <v>19.899999999999999</v>
      </c>
      <c r="H71" s="125">
        <v>18.399999999999999</v>
      </c>
      <c r="I71" s="127">
        <v>18.399999999999999</v>
      </c>
    </row>
    <row r="72" spans="1:9" x14ac:dyDescent="0.25">
      <c r="A72" s="211"/>
      <c r="B72" s="178" t="s">
        <v>496</v>
      </c>
      <c r="C72" s="187" t="s">
        <v>497</v>
      </c>
      <c r="D72" s="144" t="s">
        <v>565</v>
      </c>
      <c r="E72" s="128">
        <f>E71*E65/E62/E3</f>
        <v>0.88608054868754116</v>
      </c>
      <c r="F72" s="128">
        <f>F71*F68/F62/F3</f>
        <v>0.92287359702240923</v>
      </c>
      <c r="G72" s="128">
        <f>G71*G68/G62/G3</f>
        <v>0.9075426657640645</v>
      </c>
      <c r="H72" s="128">
        <f>H71*H68/H62/H3</f>
        <v>0.90672410997614239</v>
      </c>
      <c r="I72" s="128">
        <f>I71*I68/I62/I3</f>
        <v>0.85801436583685931</v>
      </c>
    </row>
    <row r="73" spans="1:9" x14ac:dyDescent="0.25">
      <c r="A73" s="211"/>
      <c r="B73" s="178" t="s">
        <v>586</v>
      </c>
      <c r="C73" s="187"/>
      <c r="D73" s="144" t="s">
        <v>565</v>
      </c>
      <c r="E73" s="125">
        <f>E71*E65</f>
        <v>3072.72</v>
      </c>
      <c r="F73" s="125">
        <f>F71*F68</f>
        <v>3062.7000000000003</v>
      </c>
      <c r="G73" s="125">
        <f>G71*G68</f>
        <v>3438.72</v>
      </c>
      <c r="H73" s="125">
        <f>H71*H68</f>
        <v>3131.6799999999994</v>
      </c>
      <c r="I73" s="125">
        <f>I71*I68</f>
        <v>3208.96</v>
      </c>
    </row>
    <row r="74" spans="1:9" x14ac:dyDescent="0.25">
      <c r="A74" s="211"/>
      <c r="B74" s="178" t="s">
        <v>569</v>
      </c>
      <c r="C74" s="187" t="s">
        <v>417</v>
      </c>
      <c r="D74" s="144" t="s">
        <v>565</v>
      </c>
      <c r="E74" s="125">
        <f>E71*E69</f>
        <v>3065.64</v>
      </c>
      <c r="F74" s="125">
        <f>F71*F69</f>
        <v>3060.65</v>
      </c>
      <c r="G74" s="125">
        <f>G71*G69</f>
        <v>3436.7299999999996</v>
      </c>
      <c r="H74" s="125">
        <f>H71*H69</f>
        <v>3129.8399999999997</v>
      </c>
      <c r="I74" s="125">
        <f>I71*I69</f>
        <v>3205.2799999999997</v>
      </c>
    </row>
    <row r="75" spans="1:9" x14ac:dyDescent="0.25">
      <c r="A75" s="212" t="s">
        <v>462</v>
      </c>
      <c r="B75" s="174" t="s">
        <v>389</v>
      </c>
      <c r="C75" s="189" t="s">
        <v>390</v>
      </c>
      <c r="D75" s="130" t="s">
        <v>565</v>
      </c>
      <c r="E75" s="133">
        <v>22.9</v>
      </c>
      <c r="F75" s="133">
        <v>22.7</v>
      </c>
      <c r="G75" s="133">
        <v>22.6</v>
      </c>
      <c r="H75" s="133">
        <v>22.5</v>
      </c>
      <c r="I75" s="131">
        <v>22.2</v>
      </c>
    </row>
    <row r="76" spans="1:9" x14ac:dyDescent="0.25">
      <c r="A76" s="212"/>
      <c r="B76" s="174" t="s">
        <v>391</v>
      </c>
      <c r="C76" s="189"/>
      <c r="D76" s="130" t="s">
        <v>565</v>
      </c>
      <c r="E76" s="132">
        <v>3.97</v>
      </c>
      <c r="F76" s="132">
        <v>4.09</v>
      </c>
      <c r="G76" s="132">
        <v>4.04</v>
      </c>
      <c r="H76" s="132">
        <v>3.99</v>
      </c>
      <c r="I76" s="131">
        <v>4.01</v>
      </c>
    </row>
    <row r="77" spans="1:9" x14ac:dyDescent="0.25">
      <c r="A77" s="212"/>
      <c r="B77" s="174" t="s">
        <v>392</v>
      </c>
      <c r="C77" s="189" t="s">
        <v>20</v>
      </c>
      <c r="D77" s="130" t="s">
        <v>565</v>
      </c>
      <c r="E77" s="133">
        <v>2.4</v>
      </c>
      <c r="F77" s="133">
        <v>2.5</v>
      </c>
      <c r="G77" s="133">
        <v>2</v>
      </c>
      <c r="H77" s="133">
        <v>2.6</v>
      </c>
      <c r="I77" s="131">
        <v>2.6</v>
      </c>
    </row>
    <row r="78" spans="1:9" x14ac:dyDescent="0.25">
      <c r="A78" s="212"/>
      <c r="B78" s="180" t="s">
        <v>431</v>
      </c>
      <c r="C78" s="189" t="s">
        <v>6</v>
      </c>
      <c r="D78" s="130" t="s">
        <v>565</v>
      </c>
      <c r="E78" s="140">
        <f>E77/E69</f>
        <v>1.3856812933025405E-2</v>
      </c>
      <c r="F78" s="140">
        <f>F77/F69</f>
        <v>1.6744809109176154E-2</v>
      </c>
      <c r="G78" s="140">
        <f>G77/G69</f>
        <v>1.1580775911986104E-2</v>
      </c>
      <c r="H78" s="140">
        <f>H77/H69</f>
        <v>1.5285126396237508E-2</v>
      </c>
      <c r="I78" s="140">
        <f>I77/I69</f>
        <v>1.492537313432836E-2</v>
      </c>
    </row>
    <row r="79" spans="1:9" x14ac:dyDescent="0.25">
      <c r="A79" s="212"/>
      <c r="B79" s="174" t="s">
        <v>393</v>
      </c>
      <c r="C79" s="189"/>
      <c r="D79" s="130" t="s">
        <v>565</v>
      </c>
      <c r="E79" s="132">
        <v>3.6</v>
      </c>
      <c r="F79" s="132">
        <v>3.63</v>
      </c>
      <c r="G79" s="132">
        <v>3.62</v>
      </c>
      <c r="H79" s="132">
        <v>3.59</v>
      </c>
      <c r="I79" s="131">
        <v>3.62</v>
      </c>
    </row>
    <row r="80" spans="1:9" x14ac:dyDescent="0.25">
      <c r="A80" s="212"/>
      <c r="B80" s="180" t="s">
        <v>585</v>
      </c>
      <c r="C80" s="189" t="s">
        <v>575</v>
      </c>
      <c r="D80" s="130" t="s">
        <v>565</v>
      </c>
      <c r="E80" s="133">
        <v>175.6</v>
      </c>
      <c r="F80" s="133">
        <v>151.80000000000001</v>
      </c>
      <c r="G80" s="133">
        <v>174.7</v>
      </c>
      <c r="H80" s="133">
        <v>172.7</v>
      </c>
      <c r="I80" s="131">
        <v>176.8</v>
      </c>
    </row>
    <row r="81" spans="1:9" x14ac:dyDescent="0.25">
      <c r="A81" s="212"/>
      <c r="B81" s="181" t="s">
        <v>558</v>
      </c>
      <c r="C81" s="189" t="s">
        <v>21</v>
      </c>
      <c r="D81" s="130" t="s">
        <v>565</v>
      </c>
      <c r="E81" s="130">
        <v>61</v>
      </c>
      <c r="F81" s="130">
        <v>61</v>
      </c>
      <c r="G81" s="130">
        <v>61</v>
      </c>
      <c r="H81" s="130">
        <v>60</v>
      </c>
      <c r="I81" s="131">
        <v>60</v>
      </c>
    </row>
    <row r="82" spans="1:9" x14ac:dyDescent="0.25">
      <c r="A82" s="212"/>
      <c r="B82" s="174" t="s">
        <v>583</v>
      </c>
      <c r="C82" s="189" t="s">
        <v>20</v>
      </c>
      <c r="D82" s="130" t="s">
        <v>565</v>
      </c>
      <c r="E82" s="133">
        <v>21.4</v>
      </c>
      <c r="F82" s="133">
        <v>19</v>
      </c>
      <c r="G82" s="133">
        <v>21.6</v>
      </c>
      <c r="H82" s="133">
        <v>21.8</v>
      </c>
      <c r="I82" s="131">
        <v>22.8</v>
      </c>
    </row>
    <row r="83" spans="1:9" x14ac:dyDescent="0.25">
      <c r="A83" s="212"/>
      <c r="B83" s="180" t="s">
        <v>429</v>
      </c>
      <c r="C83" s="189" t="s">
        <v>433</v>
      </c>
      <c r="D83" s="130" t="s">
        <v>565</v>
      </c>
      <c r="E83" s="140">
        <f>E82/E80</f>
        <v>0.12186788154897493</v>
      </c>
      <c r="F83" s="140">
        <f>F82/F80</f>
        <v>0.12516469038208167</v>
      </c>
      <c r="G83" s="140">
        <f>G82/G80</f>
        <v>0.12364052661705784</v>
      </c>
      <c r="H83" s="140">
        <f>H82/H80</f>
        <v>0.12623045744064854</v>
      </c>
      <c r="I83" s="140">
        <f>I82/I80</f>
        <v>0.12895927601809953</v>
      </c>
    </row>
    <row r="84" spans="1:9" x14ac:dyDescent="0.25">
      <c r="A84" s="212"/>
      <c r="B84" s="174" t="s">
        <v>385</v>
      </c>
      <c r="C84" s="189"/>
      <c r="D84" s="130" t="s">
        <v>565</v>
      </c>
      <c r="E84" s="131">
        <v>6.51</v>
      </c>
      <c r="F84" s="145">
        <v>6.51</v>
      </c>
      <c r="G84" s="141">
        <v>6.5</v>
      </c>
      <c r="H84" s="131">
        <v>6.51</v>
      </c>
      <c r="I84" s="131">
        <v>6.53</v>
      </c>
    </row>
    <row r="85" spans="1:9" x14ac:dyDescent="0.25">
      <c r="A85" s="212"/>
      <c r="B85" s="180" t="s">
        <v>582</v>
      </c>
      <c r="C85" s="189"/>
      <c r="D85" s="130" t="s">
        <v>565</v>
      </c>
      <c r="E85" s="134">
        <v>197</v>
      </c>
      <c r="F85" s="133">
        <f>F82+F80</f>
        <v>170.8</v>
      </c>
      <c r="G85" s="131">
        <v>196.3</v>
      </c>
      <c r="H85" s="131">
        <v>194.5</v>
      </c>
      <c r="I85" s="131">
        <v>199.6</v>
      </c>
    </row>
    <row r="86" spans="1:9" x14ac:dyDescent="0.25">
      <c r="A86" s="212"/>
      <c r="B86" s="180" t="s">
        <v>584</v>
      </c>
      <c r="C86" s="189"/>
      <c r="D86" s="130" t="s">
        <v>565</v>
      </c>
      <c r="E86" s="134">
        <v>197</v>
      </c>
      <c r="F86" s="130" t="s">
        <v>565</v>
      </c>
      <c r="G86" s="130" t="s">
        <v>565</v>
      </c>
      <c r="H86" s="130" t="s">
        <v>565</v>
      </c>
      <c r="I86" s="130" t="s">
        <v>565</v>
      </c>
    </row>
    <row r="87" spans="1:9" x14ac:dyDescent="0.25">
      <c r="A87" s="211" t="s">
        <v>452</v>
      </c>
      <c r="B87" s="173" t="s">
        <v>388</v>
      </c>
      <c r="C87" s="187" t="s">
        <v>19</v>
      </c>
      <c r="D87" s="128">
        <f>(D20*D15+D45*D40)/(D12*D3+D37*D3)</f>
        <v>0.89950465082843789</v>
      </c>
      <c r="E87" s="128">
        <f>(E73+E48+E22)/(E12+E37+E62)/E3</f>
        <v>0.89782313529164115</v>
      </c>
      <c r="F87" s="128">
        <f>(F73+F48+F22)/(F12+F37+F62)/F3</f>
        <v>0.92959601780588808</v>
      </c>
      <c r="G87" s="128">
        <f>(G73+G48+G22)/(G12+G37+G62)/G3</f>
        <v>0.89142918920032022</v>
      </c>
      <c r="H87" s="128">
        <f>(H73+H48+H22)/(H12+H37+H62)/H3</f>
        <v>0.87921989208538931</v>
      </c>
      <c r="I87" s="128">
        <f>(I73+I48+I22)/(I12+I37+I62)/I3</f>
        <v>0.87862143008860494</v>
      </c>
    </row>
    <row r="88" spans="1:9" x14ac:dyDescent="0.25">
      <c r="A88" s="211"/>
      <c r="B88" s="178" t="s">
        <v>570</v>
      </c>
      <c r="C88" s="187" t="s">
        <v>417</v>
      </c>
      <c r="D88" s="125">
        <f>D49+D23</f>
        <v>8307.1328661417338</v>
      </c>
      <c r="E88" s="125">
        <f>E74+E49+E23</f>
        <v>9463.0499999999993</v>
      </c>
      <c r="F88" s="125">
        <f>F74+F49+F23</f>
        <v>9285.65</v>
      </c>
      <c r="G88" s="125">
        <f>G74+G49+G23</f>
        <v>10302.169999999998</v>
      </c>
      <c r="H88" s="125">
        <f>H74+H49+H23</f>
        <v>9225.9599999999991</v>
      </c>
      <c r="I88" s="125">
        <f>I74+I49+I23</f>
        <v>9984.24</v>
      </c>
    </row>
    <row r="89" spans="1:9" x14ac:dyDescent="0.25">
      <c r="A89" s="212" t="s">
        <v>540</v>
      </c>
      <c r="B89" s="174" t="s">
        <v>498</v>
      </c>
      <c r="C89" s="189" t="s">
        <v>499</v>
      </c>
      <c r="D89" s="133">
        <v>19.5</v>
      </c>
      <c r="E89" s="133">
        <v>17.7</v>
      </c>
      <c r="F89" s="133">
        <v>16.2</v>
      </c>
      <c r="G89" s="133">
        <v>17.7</v>
      </c>
      <c r="H89" s="133">
        <v>16.399999999999999</v>
      </c>
      <c r="I89" s="131">
        <v>16.8</v>
      </c>
    </row>
    <row r="90" spans="1:9" x14ac:dyDescent="0.25">
      <c r="A90" s="212"/>
      <c r="B90" s="180" t="s">
        <v>553</v>
      </c>
      <c r="C90" s="189" t="s">
        <v>1</v>
      </c>
      <c r="D90" s="132">
        <v>425.3</v>
      </c>
      <c r="E90" s="132">
        <v>569.79999999999995</v>
      </c>
      <c r="F90" s="132">
        <v>535.1</v>
      </c>
      <c r="G90" s="132">
        <v>588</v>
      </c>
      <c r="H90" s="132">
        <v>577.4</v>
      </c>
      <c r="I90" s="141">
        <v>596.70000000000005</v>
      </c>
    </row>
    <row r="91" spans="1:9" x14ac:dyDescent="0.25">
      <c r="A91" s="212"/>
      <c r="B91" s="180" t="s">
        <v>458</v>
      </c>
      <c r="C91" s="189" t="s">
        <v>1</v>
      </c>
      <c r="D91" s="132">
        <v>412.3</v>
      </c>
      <c r="E91" s="132">
        <v>569.45000000000005</v>
      </c>
      <c r="F91" s="132">
        <v>534.6</v>
      </c>
      <c r="G91" s="132">
        <v>587.5</v>
      </c>
      <c r="H91" s="132">
        <v>576.95000000000005</v>
      </c>
      <c r="I91" s="131">
        <v>596.35</v>
      </c>
    </row>
    <row r="92" spans="1:9" x14ac:dyDescent="0.25">
      <c r="A92" s="212"/>
      <c r="B92" s="180" t="s">
        <v>442</v>
      </c>
      <c r="C92" s="189"/>
      <c r="D92" s="146">
        <f t="shared" ref="D92:I92" si="8">D90*D89/D88</f>
        <v>0.99834083956958131</v>
      </c>
      <c r="E92" s="146">
        <f t="shared" si="8"/>
        <v>1.0657726631477167</v>
      </c>
      <c r="F92" s="146">
        <f t="shared" si="8"/>
        <v>0.9335501553472294</v>
      </c>
      <c r="G92" s="146">
        <f t="shared" si="8"/>
        <v>1.0102337662841909</v>
      </c>
      <c r="H92" s="146">
        <f t="shared" si="8"/>
        <v>1.0263820783961777</v>
      </c>
      <c r="I92" s="146">
        <f t="shared" si="8"/>
        <v>1.0040383644623929</v>
      </c>
    </row>
    <row r="93" spans="1:9" x14ac:dyDescent="0.25">
      <c r="A93" s="212"/>
      <c r="B93" s="180" t="s">
        <v>445</v>
      </c>
      <c r="C93" s="189" t="s">
        <v>417</v>
      </c>
      <c r="D93" s="133">
        <f>D91*D89</f>
        <v>8039.85</v>
      </c>
      <c r="E93" s="133">
        <f>E91*E89</f>
        <v>10079.265000000001</v>
      </c>
      <c r="F93" s="133">
        <f>F91*F89</f>
        <v>8660.52</v>
      </c>
      <c r="G93" s="133">
        <f t="shared" ref="G93:I93" si="9">G91*G89</f>
        <v>10398.75</v>
      </c>
      <c r="H93" s="133">
        <f t="shared" si="9"/>
        <v>9461.98</v>
      </c>
      <c r="I93" s="133">
        <f t="shared" si="9"/>
        <v>10018.68</v>
      </c>
    </row>
    <row r="94" spans="1:9" ht="9.75" customHeight="1" x14ac:dyDescent="0.25">
      <c r="A94" s="168"/>
      <c r="B94" s="177"/>
      <c r="C94" s="169"/>
      <c r="D94" s="169"/>
      <c r="E94" s="169"/>
      <c r="F94" s="169"/>
      <c r="G94" s="169"/>
      <c r="H94" s="169"/>
      <c r="I94" s="171"/>
    </row>
    <row r="95" spans="1:9" x14ac:dyDescent="0.25">
      <c r="A95" s="211" t="s">
        <v>541</v>
      </c>
      <c r="B95" s="178" t="s">
        <v>589</v>
      </c>
      <c r="C95" s="187" t="s">
        <v>575</v>
      </c>
      <c r="D95" s="127">
        <v>411.95</v>
      </c>
      <c r="E95" s="127">
        <v>564.70000000000005</v>
      </c>
      <c r="F95" s="127">
        <v>530.35</v>
      </c>
      <c r="G95" s="127">
        <v>582.95000000000005</v>
      </c>
      <c r="H95" s="127">
        <v>576.95000000000005</v>
      </c>
      <c r="I95" s="127">
        <v>596.25</v>
      </c>
    </row>
    <row r="96" spans="1:9" x14ac:dyDescent="0.25">
      <c r="A96" s="211"/>
      <c r="B96" s="173" t="s">
        <v>369</v>
      </c>
      <c r="C96" s="187" t="s">
        <v>234</v>
      </c>
      <c r="D96" s="125">
        <v>5.5</v>
      </c>
      <c r="E96" s="125">
        <v>5.5</v>
      </c>
      <c r="F96" s="125">
        <v>5.5</v>
      </c>
      <c r="G96" s="125">
        <v>5.5</v>
      </c>
      <c r="H96" s="125">
        <v>5.5</v>
      </c>
      <c r="I96" s="125">
        <v>5.5</v>
      </c>
    </row>
    <row r="97" spans="1:9" x14ac:dyDescent="0.25">
      <c r="A97" s="211"/>
      <c r="B97" s="173" t="s">
        <v>380</v>
      </c>
      <c r="C97" s="187" t="s">
        <v>571</v>
      </c>
      <c r="D97" s="137">
        <f>D91/D96</f>
        <v>74.963636363636368</v>
      </c>
      <c r="E97" s="137">
        <f>E95*E89/E96</f>
        <v>1817.3072727272729</v>
      </c>
      <c r="F97" s="137">
        <f>F95*F89/F96</f>
        <v>1562.1218181818183</v>
      </c>
      <c r="G97" s="137">
        <f>G95*G89/G96</f>
        <v>1876.0390909090909</v>
      </c>
      <c r="H97" s="137">
        <f>H95*H89/H96</f>
        <v>1720.36</v>
      </c>
      <c r="I97" s="137">
        <f>I95*I89/I96</f>
        <v>1821.2727272727273</v>
      </c>
    </row>
    <row r="98" spans="1:9" x14ac:dyDescent="0.25">
      <c r="A98" s="211"/>
      <c r="B98" s="173" t="s">
        <v>373</v>
      </c>
      <c r="C98" s="187" t="s">
        <v>359</v>
      </c>
      <c r="D98" s="147">
        <v>1100</v>
      </c>
      <c r="E98" s="147">
        <v>1100</v>
      </c>
      <c r="F98" s="147">
        <v>1100</v>
      </c>
      <c r="G98" s="147">
        <v>1100</v>
      </c>
      <c r="H98" s="147">
        <v>1100</v>
      </c>
      <c r="I98" s="147">
        <v>1100</v>
      </c>
    </row>
    <row r="99" spans="1:9" x14ac:dyDescent="0.25">
      <c r="A99" s="211"/>
      <c r="B99" s="173" t="s">
        <v>374</v>
      </c>
      <c r="C99" s="187" t="s">
        <v>360</v>
      </c>
      <c r="D99" s="144">
        <v>200</v>
      </c>
      <c r="E99" s="144">
        <v>200</v>
      </c>
      <c r="F99" s="144">
        <v>200</v>
      </c>
      <c r="G99" s="144">
        <v>200</v>
      </c>
      <c r="H99" s="144">
        <v>200</v>
      </c>
      <c r="I99" s="144">
        <v>200</v>
      </c>
    </row>
    <row r="100" spans="1:9" x14ac:dyDescent="0.25">
      <c r="A100" s="211"/>
      <c r="B100" s="178" t="s">
        <v>572</v>
      </c>
      <c r="C100" s="187" t="s">
        <v>4</v>
      </c>
      <c r="D100" s="126">
        <v>601.15</v>
      </c>
      <c r="E100" s="126">
        <v>731.3</v>
      </c>
      <c r="F100" s="126">
        <v>716</v>
      </c>
      <c r="G100" s="126">
        <v>730.8</v>
      </c>
      <c r="H100" s="126">
        <v>761.8</v>
      </c>
      <c r="I100" s="127">
        <v>754.15</v>
      </c>
    </row>
    <row r="101" spans="1:9" x14ac:dyDescent="0.25">
      <c r="A101" s="211"/>
      <c r="B101" s="178" t="s">
        <v>458</v>
      </c>
      <c r="C101" s="187" t="s">
        <v>14</v>
      </c>
      <c r="D101" s="126">
        <v>595.04999999999995</v>
      </c>
      <c r="E101" s="126">
        <v>730.8</v>
      </c>
      <c r="F101" s="126">
        <v>715.45</v>
      </c>
      <c r="G101" s="126">
        <v>730.3</v>
      </c>
      <c r="H101" s="126">
        <v>761.5</v>
      </c>
      <c r="I101" s="127">
        <v>753.85</v>
      </c>
    </row>
    <row r="102" spans="1:9" x14ac:dyDescent="0.25">
      <c r="A102" s="211"/>
      <c r="B102" s="173" t="s">
        <v>376</v>
      </c>
      <c r="C102" s="187" t="s">
        <v>16</v>
      </c>
      <c r="D102" s="125">
        <v>12.4</v>
      </c>
      <c r="E102" s="125">
        <v>11.1</v>
      </c>
      <c r="F102" s="125">
        <v>11.6</v>
      </c>
      <c r="G102" s="125">
        <v>14</v>
      </c>
      <c r="H102" s="125">
        <v>12.4</v>
      </c>
      <c r="I102" s="127">
        <v>12.3</v>
      </c>
    </row>
    <row r="103" spans="1:9" x14ac:dyDescent="0.25">
      <c r="A103" s="211"/>
      <c r="B103" s="173" t="s">
        <v>377</v>
      </c>
      <c r="C103" s="187" t="s">
        <v>19</v>
      </c>
      <c r="D103" s="128">
        <f t="shared" ref="D103:I103" si="10">D102*D100/D95/D89</f>
        <v>0.92795179897983637</v>
      </c>
      <c r="E103" s="138">
        <f t="shared" si="10"/>
        <v>0.81213363627905011</v>
      </c>
      <c r="F103" s="138">
        <f t="shared" si="10"/>
        <v>0.96670379565323161</v>
      </c>
      <c r="G103" s="138">
        <f t="shared" si="10"/>
        <v>0.99156685531363697</v>
      </c>
      <c r="H103" s="138">
        <f t="shared" si="10"/>
        <v>0.99834495528420053</v>
      </c>
      <c r="I103" s="138">
        <f t="shared" si="10"/>
        <v>0.92603024857741834</v>
      </c>
    </row>
    <row r="104" spans="1:9" x14ac:dyDescent="0.25">
      <c r="A104" s="211"/>
      <c r="B104" s="178" t="s">
        <v>573</v>
      </c>
      <c r="C104" s="187" t="s">
        <v>417</v>
      </c>
      <c r="D104" s="125">
        <f>D102*D101</f>
        <v>7378.62</v>
      </c>
      <c r="E104" s="125">
        <f>E102*E101</f>
        <v>8111.8799999999992</v>
      </c>
      <c r="F104" s="125">
        <f>F102*F101</f>
        <v>8299.2200000000012</v>
      </c>
      <c r="G104" s="125">
        <f>G102*G101</f>
        <v>10224.199999999999</v>
      </c>
      <c r="H104" s="125">
        <f t="shared" ref="H104:I104" si="11">H102*H101</f>
        <v>9442.6</v>
      </c>
      <c r="I104" s="125">
        <f t="shared" si="11"/>
        <v>9272.3550000000014</v>
      </c>
    </row>
    <row r="105" spans="1:9" ht="9.75" customHeight="1" x14ac:dyDescent="0.25">
      <c r="A105" s="168"/>
      <c r="B105" s="177"/>
      <c r="C105" s="169"/>
      <c r="D105" s="169"/>
      <c r="E105" s="169"/>
      <c r="F105" s="169"/>
      <c r="G105" s="169"/>
      <c r="H105" s="169"/>
      <c r="I105" s="171"/>
    </row>
    <row r="106" spans="1:9" x14ac:dyDescent="0.25">
      <c r="A106" s="212" t="s">
        <v>542</v>
      </c>
      <c r="B106" s="174" t="s">
        <v>354</v>
      </c>
      <c r="C106" s="189"/>
      <c r="D106" s="130">
        <v>4627</v>
      </c>
      <c r="E106" s="130">
        <v>4627</v>
      </c>
      <c r="F106" s="130"/>
      <c r="G106" s="130"/>
      <c r="H106" s="130"/>
      <c r="I106" s="131"/>
    </row>
    <row r="107" spans="1:9" x14ac:dyDescent="0.25">
      <c r="A107" s="212"/>
      <c r="B107" s="174" t="s">
        <v>22</v>
      </c>
      <c r="C107" s="189"/>
      <c r="D107" s="132">
        <v>0.91</v>
      </c>
      <c r="E107" s="132">
        <v>0.91</v>
      </c>
      <c r="F107" s="132"/>
      <c r="G107" s="132"/>
      <c r="H107" s="132"/>
      <c r="I107" s="131"/>
    </row>
    <row r="108" spans="1:9" x14ac:dyDescent="0.25">
      <c r="A108" s="212"/>
      <c r="B108" s="174" t="s">
        <v>23</v>
      </c>
      <c r="C108" s="189" t="s">
        <v>24</v>
      </c>
      <c r="D108" s="133">
        <v>18.3</v>
      </c>
      <c r="E108" s="133">
        <v>18.3</v>
      </c>
      <c r="F108" s="133">
        <v>18.3</v>
      </c>
      <c r="G108" s="133">
        <v>18.3</v>
      </c>
      <c r="H108" s="133">
        <v>18.3</v>
      </c>
      <c r="I108" s="131">
        <v>18.3</v>
      </c>
    </row>
    <row r="109" spans="1:9" x14ac:dyDescent="0.25">
      <c r="A109" s="212"/>
      <c r="B109" s="174" t="s">
        <v>355</v>
      </c>
      <c r="C109" s="189" t="s">
        <v>350</v>
      </c>
      <c r="D109" s="133">
        <f>D108/10*3.14159*4*4</f>
        <v>91.9857552</v>
      </c>
      <c r="E109" s="133">
        <f t="shared" ref="E109:I109" si="12">E108/10*3.14159*4*4</f>
        <v>91.9857552</v>
      </c>
      <c r="F109" s="133">
        <f t="shared" si="12"/>
        <v>91.9857552</v>
      </c>
      <c r="G109" s="133">
        <f t="shared" si="12"/>
        <v>91.9857552</v>
      </c>
      <c r="H109" s="133">
        <f t="shared" si="12"/>
        <v>91.9857552</v>
      </c>
      <c r="I109" s="134">
        <f t="shared" si="12"/>
        <v>91.9857552</v>
      </c>
    </row>
    <row r="110" spans="1:9" x14ac:dyDescent="0.25">
      <c r="A110" s="212"/>
      <c r="B110" s="180" t="s">
        <v>612</v>
      </c>
      <c r="C110" s="189" t="s">
        <v>613</v>
      </c>
      <c r="D110" s="132">
        <v>595.04999999999995</v>
      </c>
      <c r="E110" s="132">
        <v>730.7</v>
      </c>
      <c r="F110" s="132">
        <v>715.2</v>
      </c>
      <c r="G110" s="132">
        <v>730.1</v>
      </c>
      <c r="H110" s="132">
        <v>760.95</v>
      </c>
      <c r="I110" s="141">
        <v>753.6</v>
      </c>
    </row>
    <row r="111" spans="1:9" x14ac:dyDescent="0.25">
      <c r="A111" s="212"/>
      <c r="B111" s="180" t="s">
        <v>484</v>
      </c>
      <c r="C111" s="189" t="s">
        <v>483</v>
      </c>
      <c r="D111" s="132">
        <v>2981.65</v>
      </c>
      <c r="E111" s="132">
        <v>3656.4</v>
      </c>
      <c r="F111" s="132">
        <v>3579.3</v>
      </c>
      <c r="G111" s="132">
        <v>3651.6</v>
      </c>
      <c r="H111" s="132">
        <v>3807.15</v>
      </c>
      <c r="I111" s="141">
        <v>3768.5</v>
      </c>
    </row>
    <row r="112" spans="1:9" x14ac:dyDescent="0.25">
      <c r="A112" s="212"/>
      <c r="B112" s="174" t="s">
        <v>430</v>
      </c>
      <c r="C112" s="189" t="s">
        <v>356</v>
      </c>
      <c r="D112" s="132">
        <f>D116-D111</f>
        <v>16.909999999999854</v>
      </c>
      <c r="E112" s="133">
        <v>19.7</v>
      </c>
      <c r="F112" s="132">
        <v>18.3</v>
      </c>
      <c r="G112" s="133">
        <v>18.8</v>
      </c>
      <c r="H112" s="132">
        <v>21.05</v>
      </c>
      <c r="I112" s="131">
        <v>21.85</v>
      </c>
    </row>
    <row r="113" spans="1:9" x14ac:dyDescent="0.25">
      <c r="A113" s="212"/>
      <c r="B113" s="180" t="s">
        <v>431</v>
      </c>
      <c r="C113" s="189" t="s">
        <v>433</v>
      </c>
      <c r="D113" s="140">
        <f>D112/D111</f>
        <v>5.6713564637029344E-3</v>
      </c>
      <c r="E113" s="140">
        <f>E112/E111</f>
        <v>5.3878131495460014E-3</v>
      </c>
      <c r="F113" s="140">
        <f>F112/F111</f>
        <v>5.1127315396865304E-3</v>
      </c>
      <c r="G113" s="140">
        <f t="shared" ref="G113:I113" si="13">G112/G111</f>
        <v>5.1484280863183267E-3</v>
      </c>
      <c r="H113" s="140">
        <f t="shared" si="13"/>
        <v>5.5290703019318915E-3</v>
      </c>
      <c r="I113" s="140">
        <f t="shared" si="13"/>
        <v>5.7980628897439301E-3</v>
      </c>
    </row>
    <row r="114" spans="1:9" x14ac:dyDescent="0.25">
      <c r="A114" s="212"/>
      <c r="B114" s="174" t="s">
        <v>398</v>
      </c>
      <c r="C114" s="189"/>
      <c r="D114" s="132">
        <v>5.05</v>
      </c>
      <c r="E114" s="132">
        <v>5.03</v>
      </c>
      <c r="F114" s="132">
        <v>5.03</v>
      </c>
      <c r="G114" s="132">
        <v>5.05</v>
      </c>
      <c r="H114" s="132">
        <v>5.01</v>
      </c>
      <c r="I114" s="141">
        <v>5</v>
      </c>
    </row>
    <row r="115" spans="1:9" x14ac:dyDescent="0.25">
      <c r="A115" s="212"/>
      <c r="B115" s="174" t="s">
        <v>399</v>
      </c>
      <c r="C115" s="189" t="s">
        <v>349</v>
      </c>
      <c r="D115" s="142">
        <v>4.3929999999999998</v>
      </c>
      <c r="E115" s="142">
        <v>3.996</v>
      </c>
      <c r="F115" s="142">
        <v>3.9849999999999999</v>
      </c>
      <c r="G115" s="142">
        <v>4.12</v>
      </c>
      <c r="H115" s="142">
        <v>4.0460000000000003</v>
      </c>
      <c r="I115" s="131">
        <v>4.0999999999999996</v>
      </c>
    </row>
    <row r="116" spans="1:9" x14ac:dyDescent="0.25">
      <c r="A116" s="212"/>
      <c r="B116" s="180" t="s">
        <v>574</v>
      </c>
      <c r="C116" s="189" t="s">
        <v>575</v>
      </c>
      <c r="D116" s="132">
        <v>2998.56</v>
      </c>
      <c r="E116" s="132">
        <v>3676.1</v>
      </c>
      <c r="F116" s="132">
        <v>3597.6</v>
      </c>
      <c r="G116" s="132">
        <v>3670.4</v>
      </c>
      <c r="H116" s="132">
        <v>3828.2</v>
      </c>
      <c r="I116" s="131">
        <v>3790.35</v>
      </c>
    </row>
    <row r="117" spans="1:9" x14ac:dyDescent="0.25">
      <c r="A117" s="212"/>
      <c r="B117" s="180" t="s">
        <v>577</v>
      </c>
      <c r="C117" s="189" t="s">
        <v>3</v>
      </c>
      <c r="D117" s="133">
        <v>2.5</v>
      </c>
      <c r="E117" s="133">
        <v>2.2000000000000002</v>
      </c>
      <c r="F117" s="133">
        <f>F100*F102/F116</f>
        <v>2.3086502112519458</v>
      </c>
      <c r="G117" s="133">
        <v>2.8</v>
      </c>
      <c r="H117" s="133">
        <v>2.5</v>
      </c>
      <c r="I117" s="131">
        <v>2.4</v>
      </c>
    </row>
    <row r="118" spans="1:9" x14ac:dyDescent="0.25">
      <c r="A118" s="212"/>
      <c r="B118" s="180" t="s">
        <v>614</v>
      </c>
      <c r="C118" s="189" t="s">
        <v>613</v>
      </c>
      <c r="D118" s="132">
        <v>2997.65</v>
      </c>
      <c r="E118" s="132">
        <v>3675.85</v>
      </c>
      <c r="F118" s="132">
        <v>3597.2</v>
      </c>
      <c r="G118" s="132">
        <v>3669.3</v>
      </c>
      <c r="H118" s="132">
        <v>3827.9</v>
      </c>
      <c r="I118" s="141">
        <v>3789.5</v>
      </c>
    </row>
    <row r="119" spans="1:9" x14ac:dyDescent="0.25">
      <c r="A119" s="211" t="s">
        <v>578</v>
      </c>
      <c r="B119" s="178" t="s">
        <v>576</v>
      </c>
      <c r="C119" s="187" t="s">
        <v>575</v>
      </c>
      <c r="D119" s="125">
        <v>1139</v>
      </c>
      <c r="E119" s="125">
        <v>1224.8</v>
      </c>
      <c r="F119" s="125">
        <v>1199.0999999999999</v>
      </c>
      <c r="G119" s="125">
        <v>917.1</v>
      </c>
      <c r="H119" s="125">
        <v>957.1</v>
      </c>
      <c r="I119" s="127">
        <v>946.8</v>
      </c>
    </row>
    <row r="120" spans="1:9" x14ac:dyDescent="0.25">
      <c r="A120" s="211"/>
      <c r="B120" s="173" t="s">
        <v>380</v>
      </c>
      <c r="C120" s="187" t="s">
        <v>381</v>
      </c>
      <c r="D120" s="125">
        <f>D119*D117/D109</f>
        <v>30.955880003472537</v>
      </c>
      <c r="E120" s="125">
        <f>E119*E117/E109</f>
        <v>29.293231263268467</v>
      </c>
      <c r="F120" s="125">
        <v>30</v>
      </c>
      <c r="G120" s="125">
        <f>G119*G117/G109</f>
        <v>27.916061507749628</v>
      </c>
      <c r="H120" s="125">
        <v>26</v>
      </c>
      <c r="I120" s="127">
        <v>24.7</v>
      </c>
    </row>
    <row r="121" spans="1:9" x14ac:dyDescent="0.25">
      <c r="A121" s="211"/>
      <c r="B121" s="173" t="s">
        <v>579</v>
      </c>
      <c r="C121" s="187"/>
      <c r="D121" s="126">
        <v>6.05</v>
      </c>
      <c r="E121" s="135">
        <v>6.0650000000000004</v>
      </c>
      <c r="F121" s="126">
        <v>6.06</v>
      </c>
      <c r="G121" s="126">
        <v>6.05</v>
      </c>
      <c r="H121" s="126">
        <v>6.06</v>
      </c>
      <c r="I121" s="127">
        <v>6.06</v>
      </c>
    </row>
    <row r="122" spans="1:9" x14ac:dyDescent="0.25">
      <c r="A122" s="211"/>
      <c r="B122" s="173" t="s">
        <v>580</v>
      </c>
      <c r="C122" s="187" t="s">
        <v>349</v>
      </c>
      <c r="D122" s="135">
        <v>17.875</v>
      </c>
      <c r="E122" s="126">
        <v>17.899999999999999</v>
      </c>
      <c r="F122" s="135">
        <v>18.145</v>
      </c>
      <c r="G122" s="135">
        <v>18.114000000000001</v>
      </c>
      <c r="H122" s="135">
        <v>18.135000000000002</v>
      </c>
      <c r="I122" s="127">
        <v>18.109000000000002</v>
      </c>
    </row>
    <row r="123" spans="1:9" x14ac:dyDescent="0.25">
      <c r="A123" s="211"/>
      <c r="B123" s="173" t="s">
        <v>375</v>
      </c>
      <c r="C123" s="187" t="s">
        <v>14</v>
      </c>
      <c r="D123" s="126">
        <v>638.04999999999995</v>
      </c>
      <c r="E123" s="126">
        <v>638.6</v>
      </c>
      <c r="F123" s="126">
        <v>620.70000000000005</v>
      </c>
      <c r="G123" s="126">
        <v>545.20000000000005</v>
      </c>
      <c r="H123" s="126">
        <v>551.4</v>
      </c>
      <c r="I123" s="148">
        <v>549</v>
      </c>
    </row>
    <row r="124" spans="1:9" x14ac:dyDescent="0.25">
      <c r="A124" s="211"/>
      <c r="B124" s="173" t="s">
        <v>384</v>
      </c>
      <c r="C124" s="187"/>
      <c r="D124" s="126">
        <f>D123/D109</f>
        <v>6.9364000829554522</v>
      </c>
      <c r="E124" s="126">
        <f>E123/E109</f>
        <v>6.9423792696110844</v>
      </c>
      <c r="F124" s="126">
        <f>F123/F109</f>
        <v>6.7477839220914504</v>
      </c>
      <c r="G124" s="126">
        <f t="shared" ref="G124:I124" si="14">G123/G109</f>
        <v>5.9270046630002557</v>
      </c>
      <c r="H124" s="126">
        <f t="shared" si="14"/>
        <v>5.994406403481916</v>
      </c>
      <c r="I124" s="126">
        <f t="shared" si="14"/>
        <v>5.9683154071664353</v>
      </c>
    </row>
    <row r="125" spans="1:9" x14ac:dyDescent="0.25">
      <c r="A125" s="212" t="s">
        <v>581</v>
      </c>
      <c r="B125" s="180" t="s">
        <v>576</v>
      </c>
      <c r="C125" s="189" t="s">
        <v>575</v>
      </c>
      <c r="D125" s="133">
        <v>1140</v>
      </c>
      <c r="E125" s="133">
        <v>1224.8</v>
      </c>
      <c r="F125" s="133">
        <v>1199.9000000000001</v>
      </c>
      <c r="G125" s="133">
        <v>916.9</v>
      </c>
      <c r="H125" s="133">
        <v>956.7</v>
      </c>
      <c r="I125" s="131">
        <v>949.7</v>
      </c>
    </row>
    <row r="126" spans="1:9" x14ac:dyDescent="0.25">
      <c r="A126" s="212"/>
      <c r="B126" s="174" t="s">
        <v>380</v>
      </c>
      <c r="C126" s="189" t="s">
        <v>381</v>
      </c>
      <c r="D126" s="133">
        <f>D125*D117/D109</f>
        <v>30.983058124634496</v>
      </c>
      <c r="E126" s="133">
        <f>E125*E117/E109</f>
        <v>29.293231263268467</v>
      </c>
      <c r="F126" s="133">
        <v>30</v>
      </c>
      <c r="G126" s="133">
        <f>G125*G117/G109</f>
        <v>27.909973608609345</v>
      </c>
      <c r="H126" s="133">
        <v>26</v>
      </c>
      <c r="I126" s="131">
        <v>24.8</v>
      </c>
    </row>
    <row r="127" spans="1:9" x14ac:dyDescent="0.25">
      <c r="A127" s="212"/>
      <c r="B127" s="174" t="s">
        <v>475</v>
      </c>
      <c r="C127" s="189"/>
      <c r="D127" s="132">
        <v>6.05</v>
      </c>
      <c r="E127" s="132">
        <v>5.95</v>
      </c>
      <c r="F127" s="132">
        <v>6.06</v>
      </c>
      <c r="G127" s="132">
        <v>6.05</v>
      </c>
      <c r="H127" s="132">
        <v>6.06</v>
      </c>
      <c r="I127" s="131">
        <v>6.06</v>
      </c>
    </row>
    <row r="128" spans="1:9" x14ac:dyDescent="0.25">
      <c r="A128" s="212"/>
      <c r="B128" s="180" t="s">
        <v>476</v>
      </c>
      <c r="C128" s="189" t="s">
        <v>349</v>
      </c>
      <c r="D128" s="142">
        <v>17.875</v>
      </c>
      <c r="E128" s="132">
        <v>18.03</v>
      </c>
      <c r="F128" s="142">
        <v>18.145</v>
      </c>
      <c r="G128" s="142">
        <v>18.114000000000001</v>
      </c>
      <c r="H128" s="142">
        <v>18.135000000000002</v>
      </c>
      <c r="I128" s="131">
        <v>18.109000000000002</v>
      </c>
    </row>
    <row r="129" spans="1:9" x14ac:dyDescent="0.25">
      <c r="A129" s="212"/>
      <c r="B129" s="174" t="s">
        <v>375</v>
      </c>
      <c r="C129" s="189" t="s">
        <v>1</v>
      </c>
      <c r="D129" s="132">
        <v>645.75</v>
      </c>
      <c r="E129" s="132">
        <f>1293.35-E123</f>
        <v>654.74999999999989</v>
      </c>
      <c r="F129" s="132">
        <f>1264.4-F123</f>
        <v>643.70000000000005</v>
      </c>
      <c r="G129" s="132">
        <f>1111.3-545.2</f>
        <v>566.09999999999991</v>
      </c>
      <c r="H129" s="133">
        <f>1100.75-H123</f>
        <v>549.35</v>
      </c>
      <c r="I129" s="132">
        <f>1115.95-I123</f>
        <v>566.95000000000005</v>
      </c>
    </row>
    <row r="130" spans="1:9" x14ac:dyDescent="0.25">
      <c r="A130" s="212"/>
      <c r="B130" s="174" t="s">
        <v>384</v>
      </c>
      <c r="C130" s="189"/>
      <c r="D130" s="132">
        <f>D129/D109</f>
        <v>7.0201086961342902</v>
      </c>
      <c r="E130" s="132">
        <f>E129/E109</f>
        <v>7.1179499323173454</v>
      </c>
      <c r="F130" s="132">
        <f>F129/F109</f>
        <v>6.9978226367814838</v>
      </c>
      <c r="G130" s="132">
        <f t="shared" ref="G130:I130" si="15">G129/G109</f>
        <v>6.1542137559142409</v>
      </c>
      <c r="H130" s="132">
        <f t="shared" si="15"/>
        <v>5.9721203441291095</v>
      </c>
      <c r="I130" s="132">
        <f t="shared" si="15"/>
        <v>6.1634543171093084</v>
      </c>
    </row>
    <row r="131" spans="1:9" x14ac:dyDescent="0.25">
      <c r="A131" s="211" t="s">
        <v>590</v>
      </c>
      <c r="B131" s="178" t="s">
        <v>587</v>
      </c>
      <c r="C131" s="187" t="s">
        <v>483</v>
      </c>
      <c r="D131" s="125" t="s">
        <v>628</v>
      </c>
      <c r="E131" s="125">
        <v>1208.4000000000001</v>
      </c>
      <c r="F131" s="125">
        <v>1186.5</v>
      </c>
      <c r="G131" s="125">
        <v>917.2</v>
      </c>
      <c r="H131" s="125">
        <v>957</v>
      </c>
      <c r="I131" s="127">
        <v>946.9</v>
      </c>
    </row>
    <row r="132" spans="1:9" x14ac:dyDescent="0.25">
      <c r="A132" s="211"/>
      <c r="B132" s="173" t="s">
        <v>380</v>
      </c>
      <c r="C132" s="187" t="s">
        <v>381</v>
      </c>
      <c r="D132" s="125" t="s">
        <v>622</v>
      </c>
      <c r="E132" s="125">
        <f>E131*E117/E109</f>
        <v>28.900996618659065</v>
      </c>
      <c r="F132" s="125">
        <v>29.7</v>
      </c>
      <c r="G132" s="125">
        <f>G131*G117/G109</f>
        <v>27.919105457319763</v>
      </c>
      <c r="H132" s="125">
        <v>26</v>
      </c>
      <c r="I132" s="127">
        <v>24.7</v>
      </c>
    </row>
    <row r="133" spans="1:9" x14ac:dyDescent="0.25">
      <c r="A133" s="211"/>
      <c r="B133" s="173" t="s">
        <v>475</v>
      </c>
      <c r="C133" s="187"/>
      <c r="D133" s="125" t="s">
        <v>622</v>
      </c>
      <c r="E133" s="126">
        <v>6.02</v>
      </c>
      <c r="F133" s="126">
        <v>6.06</v>
      </c>
      <c r="G133" s="126">
        <v>6.05</v>
      </c>
      <c r="H133" s="126">
        <v>6.06</v>
      </c>
      <c r="I133" s="127">
        <v>6.06</v>
      </c>
    </row>
    <row r="134" spans="1:9" x14ac:dyDescent="0.25">
      <c r="A134" s="211"/>
      <c r="B134" s="178" t="s">
        <v>476</v>
      </c>
      <c r="C134" s="187" t="s">
        <v>349</v>
      </c>
      <c r="D134" s="125" t="s">
        <v>622</v>
      </c>
      <c r="E134" s="126">
        <v>18.190000000000001</v>
      </c>
      <c r="F134" s="135">
        <v>18.145</v>
      </c>
      <c r="G134" s="135">
        <v>18.114000000000001</v>
      </c>
      <c r="H134" s="135">
        <v>18.135000000000002</v>
      </c>
      <c r="I134" s="127">
        <v>18.109000000000002</v>
      </c>
    </row>
    <row r="135" spans="1:9" x14ac:dyDescent="0.25">
      <c r="A135" s="211"/>
      <c r="B135" s="173" t="s">
        <v>375</v>
      </c>
      <c r="C135" s="187" t="s">
        <v>1</v>
      </c>
      <c r="D135" s="125" t="s">
        <v>622</v>
      </c>
      <c r="E135" s="126">
        <f>1963.75-1293.35</f>
        <v>670.40000000000009</v>
      </c>
      <c r="F135" s="126">
        <f>1905.45-1264.25</f>
        <v>641.20000000000005</v>
      </c>
      <c r="G135" s="126">
        <f>1679.1-1111.25</f>
        <v>567.84999999999991</v>
      </c>
      <c r="H135" s="125">
        <f>1649.2-H123-H129</f>
        <v>548.45000000000016</v>
      </c>
      <c r="I135" s="127">
        <f>1673.9-1115.95</f>
        <v>557.95000000000005</v>
      </c>
    </row>
    <row r="136" spans="1:9" x14ac:dyDescent="0.25">
      <c r="A136" s="211"/>
      <c r="B136" s="173" t="s">
        <v>384</v>
      </c>
      <c r="C136" s="187"/>
      <c r="D136" s="125" t="s">
        <v>622</v>
      </c>
      <c r="E136" s="126">
        <f>E135/E109</f>
        <v>7.2880849707912176</v>
      </c>
      <c r="F136" s="126">
        <f>F135/F109</f>
        <v>6.9706445156195231</v>
      </c>
      <c r="G136" s="126">
        <f t="shared" ref="G136:I136" si="16">G135/G109</f>
        <v>6.1732384407276131</v>
      </c>
      <c r="H136" s="126">
        <f t="shared" si="16"/>
        <v>5.9623362205108057</v>
      </c>
      <c r="I136" s="126">
        <f t="shared" si="16"/>
        <v>6.0656130809262523</v>
      </c>
    </row>
    <row r="137" spans="1:9" x14ac:dyDescent="0.25">
      <c r="A137" s="212" t="s">
        <v>620</v>
      </c>
      <c r="B137" s="180" t="s">
        <v>587</v>
      </c>
      <c r="C137" s="189" t="s">
        <v>1</v>
      </c>
      <c r="D137" s="133" t="s">
        <v>622</v>
      </c>
      <c r="E137" s="132" t="s">
        <v>621</v>
      </c>
      <c r="F137" s="132" t="s">
        <v>621</v>
      </c>
      <c r="G137" s="133">
        <v>898.3</v>
      </c>
      <c r="H137" s="133">
        <v>947.5</v>
      </c>
      <c r="I137" s="131">
        <v>949.2</v>
      </c>
    </row>
    <row r="138" spans="1:9" x14ac:dyDescent="0.25">
      <c r="A138" s="212"/>
      <c r="B138" s="174" t="s">
        <v>380</v>
      </c>
      <c r="C138" s="189" t="s">
        <v>381</v>
      </c>
      <c r="D138" s="133" t="s">
        <v>622</v>
      </c>
      <c r="E138" s="132" t="s">
        <v>621</v>
      </c>
      <c r="F138" s="132" t="s">
        <v>621</v>
      </c>
      <c r="G138" s="133">
        <f>G137*G117/G109</f>
        <v>27.343798988563393</v>
      </c>
      <c r="H138" s="133">
        <v>25.7</v>
      </c>
      <c r="I138" s="131">
        <v>24.8</v>
      </c>
    </row>
    <row r="139" spans="1:9" x14ac:dyDescent="0.25">
      <c r="A139" s="212"/>
      <c r="B139" s="174" t="s">
        <v>475</v>
      </c>
      <c r="C139" s="189"/>
      <c r="D139" s="133" t="s">
        <v>622</v>
      </c>
      <c r="E139" s="132" t="s">
        <v>621</v>
      </c>
      <c r="F139" s="132" t="s">
        <v>621</v>
      </c>
      <c r="G139" s="132">
        <v>6.05</v>
      </c>
      <c r="H139" s="132">
        <v>6.06</v>
      </c>
      <c r="I139" s="131">
        <v>6.06</v>
      </c>
    </row>
    <row r="140" spans="1:9" x14ac:dyDescent="0.25">
      <c r="A140" s="212"/>
      <c r="B140" s="180" t="s">
        <v>476</v>
      </c>
      <c r="C140" s="189" t="s">
        <v>349</v>
      </c>
      <c r="D140" s="133" t="s">
        <v>622</v>
      </c>
      <c r="E140" s="132" t="s">
        <v>621</v>
      </c>
      <c r="F140" s="132" t="s">
        <v>621</v>
      </c>
      <c r="G140" s="142">
        <v>18.114000000000001</v>
      </c>
      <c r="H140" s="142">
        <v>18.135000000000002</v>
      </c>
      <c r="I140" s="131">
        <v>18.109000000000002</v>
      </c>
    </row>
    <row r="141" spans="1:9" x14ac:dyDescent="0.25">
      <c r="A141" s="212"/>
      <c r="B141" s="174" t="s">
        <v>375</v>
      </c>
      <c r="C141" s="189" t="s">
        <v>1</v>
      </c>
      <c r="D141" s="133" t="s">
        <v>622</v>
      </c>
      <c r="E141" s="132" t="s">
        <v>621</v>
      </c>
      <c r="F141" s="132" t="s">
        <v>621</v>
      </c>
      <c r="G141" s="132">
        <f>2236.2-1679.1</f>
        <v>557.09999999999991</v>
      </c>
      <c r="H141" s="133">
        <f>2204.8-H129-H135-H123</f>
        <v>555.6</v>
      </c>
      <c r="I141" s="131">
        <f>2232.2-1673.9</f>
        <v>558.29999999999973</v>
      </c>
    </row>
    <row r="142" spans="1:9" x14ac:dyDescent="0.25">
      <c r="A142" s="212"/>
      <c r="B142" s="174" t="s">
        <v>384</v>
      </c>
      <c r="C142" s="189"/>
      <c r="D142" s="133" t="s">
        <v>622</v>
      </c>
      <c r="E142" s="132" t="s">
        <v>621</v>
      </c>
      <c r="F142" s="132" t="s">
        <v>621</v>
      </c>
      <c r="G142" s="132">
        <f>G141/G109</f>
        <v>6.0563725197311848</v>
      </c>
      <c r="H142" s="132">
        <f>H141/H109</f>
        <v>6.0400656470340097</v>
      </c>
      <c r="I142" s="132">
        <f>I141/I109</f>
        <v>6.069418017888923</v>
      </c>
    </row>
    <row r="143" spans="1:9" x14ac:dyDescent="0.25">
      <c r="A143" s="211" t="s">
        <v>18</v>
      </c>
      <c r="B143" s="173" t="s">
        <v>388</v>
      </c>
      <c r="C143" s="187" t="s">
        <v>6</v>
      </c>
      <c r="D143" s="128">
        <f>D144*D145/(D125+D119)/2.5</f>
        <v>0.74357876261518208</v>
      </c>
      <c r="E143" s="128">
        <f>E145*E144/(E131+E125+E119)/E117</f>
        <v>0.85379802674089167</v>
      </c>
      <c r="F143" s="128">
        <f>F145*F144/(F131+F125+F119)/F117</f>
        <v>0.80573443502950903</v>
      </c>
      <c r="G143" s="128">
        <f>G145*G144/(G131+G125+G119+G137)/G117</f>
        <v>0.65658211496682528</v>
      </c>
      <c r="H143" s="128">
        <f>H145*H144/(H131+H125+H119+H137)/H117</f>
        <v>0.71601288531545459</v>
      </c>
      <c r="I143" s="128">
        <f>I145*I144/(I131+I125+I119+I137)/I117</f>
        <v>0.73570901228708552</v>
      </c>
    </row>
    <row r="144" spans="1:9" x14ac:dyDescent="0.25">
      <c r="A144" s="211"/>
      <c r="B144" s="173" t="s">
        <v>437</v>
      </c>
      <c r="C144" s="187" t="s">
        <v>3</v>
      </c>
      <c r="D144" s="125">
        <v>3.3</v>
      </c>
      <c r="E144" s="125">
        <v>3.5</v>
      </c>
      <c r="F144" s="125">
        <v>3.5</v>
      </c>
      <c r="G144" s="125">
        <v>3</v>
      </c>
      <c r="H144" s="125">
        <v>3.1</v>
      </c>
      <c r="I144" s="136">
        <v>3</v>
      </c>
    </row>
    <row r="145" spans="1:9" x14ac:dyDescent="0.25">
      <c r="A145" s="211"/>
      <c r="B145" s="178" t="s">
        <v>615</v>
      </c>
      <c r="C145" s="187" t="s">
        <v>1</v>
      </c>
      <c r="D145" s="126">
        <v>1283.8</v>
      </c>
      <c r="E145" s="126">
        <v>1963.15</v>
      </c>
      <c r="F145" s="126">
        <f>1264.4+F135</f>
        <v>1905.6000000000001</v>
      </c>
      <c r="G145" s="126">
        <v>2236.4499999999998</v>
      </c>
      <c r="H145" s="126">
        <v>2204.8000000000002</v>
      </c>
      <c r="I145" s="148">
        <v>2232.1999999999998</v>
      </c>
    </row>
    <row r="146" spans="1:9" x14ac:dyDescent="0.25">
      <c r="A146" s="211"/>
      <c r="B146" s="178" t="s">
        <v>632</v>
      </c>
      <c r="C146" s="187" t="s">
        <v>1</v>
      </c>
      <c r="D146" s="125">
        <v>1234.7</v>
      </c>
      <c r="E146" s="126">
        <v>1943.6</v>
      </c>
      <c r="F146" s="126">
        <v>1904.85</v>
      </c>
      <c r="G146" s="126">
        <v>2232.1999999999998</v>
      </c>
      <c r="H146" s="126">
        <v>2203.1</v>
      </c>
      <c r="I146" s="127">
        <v>2231.9499999999998</v>
      </c>
    </row>
    <row r="147" spans="1:9" x14ac:dyDescent="0.25">
      <c r="A147" s="211"/>
      <c r="B147" s="173" t="s">
        <v>416</v>
      </c>
      <c r="C147" s="187" t="s">
        <v>417</v>
      </c>
      <c r="D147" s="125">
        <f>D144*D146</f>
        <v>4074.5099999999998</v>
      </c>
      <c r="E147" s="125">
        <f>E145*E144</f>
        <v>6871.0250000000005</v>
      </c>
      <c r="F147" s="125">
        <f>F145*F144</f>
        <v>6669.6</v>
      </c>
      <c r="G147" s="125">
        <f>G145*G144</f>
        <v>6709.3499999999995</v>
      </c>
      <c r="H147" s="125">
        <f>H145*H144</f>
        <v>6834.880000000001</v>
      </c>
      <c r="I147" s="125">
        <f>I145*I144</f>
        <v>6696.5999999999995</v>
      </c>
    </row>
    <row r="148" spans="1:9" ht="9.75" customHeight="1" x14ac:dyDescent="0.25">
      <c r="A148" s="168"/>
      <c r="B148" s="177"/>
      <c r="C148" s="169"/>
      <c r="D148" s="169"/>
      <c r="E148" s="166"/>
      <c r="F148" s="166"/>
      <c r="G148" s="166"/>
      <c r="H148" s="166"/>
      <c r="I148" s="167"/>
    </row>
    <row r="149" spans="1:9" x14ac:dyDescent="0.25">
      <c r="A149" s="210" t="s">
        <v>591</v>
      </c>
      <c r="B149" s="175" t="s">
        <v>403</v>
      </c>
      <c r="C149" s="145" t="s">
        <v>25</v>
      </c>
      <c r="D149" s="149">
        <v>228.7</v>
      </c>
      <c r="E149" s="149"/>
      <c r="F149" s="149"/>
      <c r="G149" s="149"/>
      <c r="H149" s="133">
        <v>221.5</v>
      </c>
      <c r="I149" s="131">
        <v>220.1</v>
      </c>
    </row>
    <row r="150" spans="1:9" x14ac:dyDescent="0.25">
      <c r="A150" s="210"/>
      <c r="B150" s="175" t="s">
        <v>404</v>
      </c>
      <c r="C150" s="145" t="s">
        <v>234</v>
      </c>
      <c r="D150" s="145">
        <v>20</v>
      </c>
      <c r="E150" s="145">
        <v>20</v>
      </c>
      <c r="F150" s="145">
        <v>20</v>
      </c>
      <c r="G150" s="145">
        <v>20</v>
      </c>
      <c r="H150" s="145">
        <v>20</v>
      </c>
      <c r="I150" s="145">
        <v>20</v>
      </c>
    </row>
    <row r="151" spans="1:9" x14ac:dyDescent="0.25">
      <c r="A151" s="210"/>
      <c r="B151" s="175" t="s">
        <v>405</v>
      </c>
      <c r="C151" s="145" t="s">
        <v>406</v>
      </c>
      <c r="D151" s="150">
        <v>6</v>
      </c>
      <c r="E151" s="150">
        <v>6</v>
      </c>
      <c r="F151" s="150">
        <v>6</v>
      </c>
      <c r="G151" s="150">
        <v>6</v>
      </c>
      <c r="H151" s="150">
        <v>6</v>
      </c>
      <c r="I151" s="150">
        <v>6</v>
      </c>
    </row>
    <row r="152" spans="1:9" x14ac:dyDescent="0.25">
      <c r="A152" s="210"/>
      <c r="B152" s="175" t="s">
        <v>26</v>
      </c>
      <c r="C152" s="145" t="s">
        <v>27</v>
      </c>
      <c r="D152" s="145"/>
      <c r="E152" s="145"/>
      <c r="F152" s="145"/>
      <c r="G152" s="145"/>
      <c r="H152" s="133"/>
      <c r="I152" s="131"/>
    </row>
    <row r="153" spans="1:9" x14ac:dyDescent="0.25">
      <c r="A153" s="210"/>
      <c r="B153" s="175" t="s">
        <v>380</v>
      </c>
      <c r="C153" s="145" t="s">
        <v>593</v>
      </c>
      <c r="D153" s="150">
        <f>D147/20</f>
        <v>203.72549999999998</v>
      </c>
      <c r="E153" s="149">
        <f>E146*E144/E150</f>
        <v>340.13</v>
      </c>
      <c r="F153" s="149">
        <f t="shared" ref="F153:I153" si="17">F146*F144/F150</f>
        <v>333.34875</v>
      </c>
      <c r="G153" s="149">
        <f t="shared" si="17"/>
        <v>334.83</v>
      </c>
      <c r="H153" s="149">
        <f t="shared" si="17"/>
        <v>341.48050000000001</v>
      </c>
      <c r="I153" s="149">
        <f t="shared" si="17"/>
        <v>334.79249999999996</v>
      </c>
    </row>
    <row r="154" spans="1:9" x14ac:dyDescent="0.25">
      <c r="A154" s="210"/>
      <c r="B154" s="183" t="s">
        <v>592</v>
      </c>
      <c r="C154" s="145" t="s">
        <v>14</v>
      </c>
      <c r="D154" s="145">
        <v>1234.5</v>
      </c>
      <c r="E154" s="132">
        <v>1943.6</v>
      </c>
      <c r="F154" s="132">
        <v>1901.2</v>
      </c>
      <c r="G154" s="132">
        <v>2232</v>
      </c>
      <c r="H154" s="132">
        <v>2198.9</v>
      </c>
      <c r="I154" s="141">
        <v>2231.6999999999998</v>
      </c>
    </row>
    <row r="155" spans="1:9" x14ac:dyDescent="0.25">
      <c r="A155" s="210"/>
      <c r="B155" s="183" t="s">
        <v>594</v>
      </c>
      <c r="C155" s="145" t="s">
        <v>350</v>
      </c>
      <c r="D155" s="145">
        <v>300.5</v>
      </c>
      <c r="E155" s="133">
        <v>521</v>
      </c>
      <c r="F155" s="133">
        <v>515.79999999999995</v>
      </c>
      <c r="G155" s="133">
        <v>516.5</v>
      </c>
      <c r="H155" s="133">
        <v>559.4</v>
      </c>
      <c r="I155" s="131">
        <v>536.70000000000005</v>
      </c>
    </row>
    <row r="156" spans="1:9" x14ac:dyDescent="0.25">
      <c r="A156" s="210"/>
      <c r="B156" s="175" t="s">
        <v>376</v>
      </c>
      <c r="C156" s="145" t="s">
        <v>16</v>
      </c>
      <c r="D156" s="149">
        <v>13</v>
      </c>
      <c r="E156" s="133">
        <v>12.8</v>
      </c>
      <c r="F156" s="133">
        <v>12.3</v>
      </c>
      <c r="G156" s="133">
        <v>13.5</v>
      </c>
      <c r="H156" s="133">
        <v>12</v>
      </c>
      <c r="I156" s="131">
        <v>12.3</v>
      </c>
    </row>
    <row r="157" spans="1:9" x14ac:dyDescent="0.25">
      <c r="A157" s="210"/>
      <c r="B157" s="175" t="s">
        <v>377</v>
      </c>
      <c r="C157" s="145" t="s">
        <v>19</v>
      </c>
      <c r="D157" s="146">
        <f t="shared" ref="D157:I157" si="18">D156*D155/D154/D144</f>
        <v>0.95892092246891769</v>
      </c>
      <c r="E157" s="146">
        <f t="shared" si="18"/>
        <v>0.98033104989268816</v>
      </c>
      <c r="F157" s="146">
        <f t="shared" si="18"/>
        <v>0.95343392143307981</v>
      </c>
      <c r="G157" s="146">
        <f t="shared" si="18"/>
        <v>1.0413306451612903</v>
      </c>
      <c r="H157" s="146">
        <f t="shared" si="18"/>
        <v>0.98477391188262742</v>
      </c>
      <c r="I157" s="146">
        <f t="shared" si="18"/>
        <v>0.98600618362683179</v>
      </c>
    </row>
    <row r="158" spans="1:9" x14ac:dyDescent="0.25">
      <c r="A158" s="210"/>
      <c r="B158" s="183" t="s">
        <v>416</v>
      </c>
      <c r="C158" s="145" t="s">
        <v>417</v>
      </c>
      <c r="D158" s="149">
        <f t="shared" ref="D158:I158" si="19">D156*D155</f>
        <v>3906.5</v>
      </c>
      <c r="E158" s="149">
        <f t="shared" si="19"/>
        <v>6668.8</v>
      </c>
      <c r="F158" s="149">
        <f t="shared" si="19"/>
        <v>6344.34</v>
      </c>
      <c r="G158" s="149">
        <f t="shared" si="19"/>
        <v>6972.75</v>
      </c>
      <c r="H158" s="149">
        <f t="shared" si="19"/>
        <v>6712.7999999999993</v>
      </c>
      <c r="I158" s="149">
        <f t="shared" si="19"/>
        <v>6601.4100000000008</v>
      </c>
    </row>
    <row r="159" spans="1:9" ht="9.75" customHeight="1" x14ac:dyDescent="0.25">
      <c r="A159" s="170"/>
      <c r="B159" s="179"/>
      <c r="C159" s="188"/>
      <c r="D159" s="166"/>
      <c r="E159" s="166"/>
      <c r="F159" s="166"/>
      <c r="G159" s="166"/>
      <c r="H159" s="166"/>
      <c r="I159" s="167"/>
    </row>
    <row r="160" spans="1:9" x14ac:dyDescent="0.25">
      <c r="A160" s="209" t="s">
        <v>543</v>
      </c>
      <c r="B160" s="176" t="s">
        <v>354</v>
      </c>
      <c r="C160" s="151"/>
      <c r="D160" s="151">
        <v>6393</v>
      </c>
      <c r="E160" s="151">
        <v>6393</v>
      </c>
      <c r="F160" s="151"/>
      <c r="G160" s="151"/>
      <c r="H160" s="151"/>
      <c r="I160" s="127"/>
    </row>
    <row r="161" spans="1:13" x14ac:dyDescent="0.25">
      <c r="A161" s="209"/>
      <c r="B161" s="176" t="s">
        <v>22</v>
      </c>
      <c r="C161" s="151"/>
      <c r="D161" s="151">
        <v>1.03</v>
      </c>
      <c r="E161" s="151">
        <v>1.03</v>
      </c>
      <c r="F161" s="151"/>
      <c r="G161" s="151"/>
      <c r="H161" s="151"/>
      <c r="I161" s="127"/>
    </row>
    <row r="162" spans="1:13" x14ac:dyDescent="0.25">
      <c r="A162" s="209"/>
      <c r="B162" s="176" t="s">
        <v>23</v>
      </c>
      <c r="C162" s="151" t="s">
        <v>24</v>
      </c>
      <c r="D162" s="152">
        <v>24.3</v>
      </c>
      <c r="E162" s="152">
        <v>24.3</v>
      </c>
      <c r="F162" s="152">
        <v>24.3</v>
      </c>
      <c r="G162" s="152">
        <v>24.3</v>
      </c>
      <c r="H162" s="152">
        <v>24.3</v>
      </c>
      <c r="I162" s="153">
        <v>24.3</v>
      </c>
    </row>
    <row r="163" spans="1:13" x14ac:dyDescent="0.25">
      <c r="A163" s="209"/>
      <c r="B163" s="176" t="s">
        <v>13</v>
      </c>
      <c r="C163" s="151" t="s">
        <v>14</v>
      </c>
      <c r="D163" s="152">
        <f>D162/10*3.1415926*4*4</f>
        <v>122.14512028800002</v>
      </c>
      <c r="E163" s="152">
        <f>E162/10*3.1415926*4*4</f>
        <v>122.14512028800002</v>
      </c>
      <c r="F163" s="152">
        <f>F162/10*3.1415926*4*4</f>
        <v>122.14512028800002</v>
      </c>
      <c r="G163" s="152">
        <f t="shared" ref="G163:H163" si="20">G162/10*3.1415926*4*4</f>
        <v>122.14512028800002</v>
      </c>
      <c r="H163" s="152">
        <f t="shared" si="20"/>
        <v>122.14512028800002</v>
      </c>
      <c r="I163" s="153">
        <v>122.1</v>
      </c>
    </row>
    <row r="164" spans="1:13" x14ac:dyDescent="0.25">
      <c r="A164" s="209"/>
      <c r="B164" s="184" t="s">
        <v>597</v>
      </c>
      <c r="C164" s="151" t="s">
        <v>596</v>
      </c>
      <c r="D164" s="152">
        <v>264.10000000000002</v>
      </c>
      <c r="E164" s="152">
        <v>369.1</v>
      </c>
      <c r="F164" s="152">
        <v>504</v>
      </c>
      <c r="G164" s="152">
        <v>503.8</v>
      </c>
      <c r="H164" s="152">
        <v>561</v>
      </c>
      <c r="I164" s="127">
        <v>537.1</v>
      </c>
    </row>
    <row r="165" spans="1:13" x14ac:dyDescent="0.25">
      <c r="A165" s="209"/>
      <c r="B165" s="176" t="s">
        <v>380</v>
      </c>
      <c r="C165" s="151" t="s">
        <v>381</v>
      </c>
      <c r="D165" s="152">
        <f>D147/D163</f>
        <v>33.357943325062116</v>
      </c>
      <c r="E165" s="152">
        <f>E164*E156/E163</f>
        <v>38.679236541422036</v>
      </c>
      <c r="F165" s="152">
        <f>F164*F156/F163</f>
        <v>50.752743829497319</v>
      </c>
      <c r="G165" s="152">
        <f>G164*G156/G163</f>
        <v>55.682126178790824</v>
      </c>
      <c r="H165" s="152">
        <f>H164*H156/H163</f>
        <v>55.114768270127747</v>
      </c>
      <c r="I165" s="152">
        <f>I164*I156/I163</f>
        <v>54.105896805896812</v>
      </c>
    </row>
    <row r="166" spans="1:13" x14ac:dyDescent="0.25">
      <c r="A166" s="209"/>
      <c r="B166" s="176" t="s">
        <v>400</v>
      </c>
      <c r="C166" s="151"/>
      <c r="D166" s="151">
        <v>7.87</v>
      </c>
      <c r="E166" s="151">
        <v>7.82</v>
      </c>
      <c r="F166" s="151">
        <v>7.76</v>
      </c>
      <c r="G166" s="151">
        <v>7.77</v>
      </c>
      <c r="H166" s="154">
        <v>7.76</v>
      </c>
      <c r="I166" s="148">
        <v>7.8</v>
      </c>
    </row>
    <row r="167" spans="1:13" x14ac:dyDescent="0.25">
      <c r="A167" s="209"/>
      <c r="B167" s="184" t="s">
        <v>507</v>
      </c>
      <c r="C167" s="151" t="s">
        <v>349</v>
      </c>
      <c r="D167" s="155">
        <v>1.319</v>
      </c>
      <c r="E167" s="155">
        <v>1.38</v>
      </c>
      <c r="F167" s="155">
        <v>1.3859999999999999</v>
      </c>
      <c r="G167" s="155">
        <v>1.3839999999999999</v>
      </c>
      <c r="H167" s="156">
        <v>1.3580000000000001</v>
      </c>
      <c r="I167" s="127">
        <v>1.343</v>
      </c>
    </row>
    <row r="168" spans="1:13" x14ac:dyDescent="0.25">
      <c r="A168" s="209"/>
      <c r="B168" s="176" t="s">
        <v>633</v>
      </c>
      <c r="C168" s="151"/>
      <c r="D168" s="151">
        <v>7.8</v>
      </c>
      <c r="E168" s="151">
        <v>7.66</v>
      </c>
      <c r="F168" s="151">
        <v>7.68</v>
      </c>
      <c r="G168" s="151">
        <v>7.7</v>
      </c>
      <c r="H168" s="154">
        <v>7.69</v>
      </c>
      <c r="I168" s="127">
        <v>7.67</v>
      </c>
    </row>
    <row r="169" spans="1:13" x14ac:dyDescent="0.25">
      <c r="A169" s="209"/>
      <c r="B169" s="184" t="s">
        <v>634</v>
      </c>
      <c r="C169" s="151" t="s">
        <v>349</v>
      </c>
      <c r="D169" s="151"/>
      <c r="E169" s="155">
        <v>5.3890000000000002</v>
      </c>
      <c r="F169" s="155">
        <v>5.4249999999999998</v>
      </c>
      <c r="G169" s="155">
        <v>5.2270000000000003</v>
      </c>
      <c r="H169" s="156">
        <v>5.3689999999999998</v>
      </c>
      <c r="I169" s="148">
        <v>5.3</v>
      </c>
    </row>
    <row r="170" spans="1:13" x14ac:dyDescent="0.25">
      <c r="A170" s="209"/>
      <c r="B170" s="176" t="s">
        <v>375</v>
      </c>
      <c r="C170" s="151" t="s">
        <v>14</v>
      </c>
      <c r="D170" s="151">
        <v>407.75</v>
      </c>
      <c r="E170" s="126">
        <v>481.7</v>
      </c>
      <c r="F170" s="126">
        <v>615.04999999999995</v>
      </c>
      <c r="G170" s="126">
        <v>619.35</v>
      </c>
      <c r="H170" s="126">
        <v>673.8</v>
      </c>
      <c r="I170" s="127">
        <v>651.04999999999995</v>
      </c>
    </row>
    <row r="171" spans="1:13" x14ac:dyDescent="0.25">
      <c r="A171" s="209"/>
      <c r="B171" s="184" t="s">
        <v>508</v>
      </c>
      <c r="C171" s="151" t="s">
        <v>356</v>
      </c>
      <c r="D171" s="151">
        <v>1.45</v>
      </c>
      <c r="E171" s="126">
        <v>1.1000000000000001</v>
      </c>
      <c r="F171" s="126">
        <v>1.7</v>
      </c>
      <c r="G171" s="126">
        <v>1.5</v>
      </c>
      <c r="H171" s="126">
        <v>1.75</v>
      </c>
      <c r="I171" s="127">
        <v>1.85</v>
      </c>
    </row>
    <row r="172" spans="1:13" x14ac:dyDescent="0.25">
      <c r="A172" s="209"/>
      <c r="B172" s="184" t="s">
        <v>509</v>
      </c>
      <c r="C172" s="151" t="s">
        <v>433</v>
      </c>
      <c r="D172" s="157">
        <f t="shared" ref="D172:I172" si="21">D171/D170</f>
        <v>3.5561005518087063E-3</v>
      </c>
      <c r="E172" s="157">
        <f t="shared" si="21"/>
        <v>2.2835789910732826E-3</v>
      </c>
      <c r="F172" s="157">
        <f t="shared" si="21"/>
        <v>2.7640029265913343E-3</v>
      </c>
      <c r="G172" s="157">
        <f t="shared" si="21"/>
        <v>2.421893921046258E-3</v>
      </c>
      <c r="H172" s="157">
        <f t="shared" si="21"/>
        <v>2.5972098545562483E-3</v>
      </c>
      <c r="I172" s="157">
        <f t="shared" si="21"/>
        <v>2.8415636279855621E-3</v>
      </c>
    </row>
    <row r="173" spans="1:13" x14ac:dyDescent="0.25">
      <c r="A173" s="209"/>
      <c r="B173" s="176" t="s">
        <v>401</v>
      </c>
      <c r="C173" s="151"/>
      <c r="D173" s="151">
        <v>6.54</v>
      </c>
      <c r="E173" s="151">
        <v>6.49</v>
      </c>
      <c r="F173" s="151">
        <v>6.55</v>
      </c>
      <c r="G173" s="126">
        <v>6.47</v>
      </c>
      <c r="H173" s="126">
        <v>6.46</v>
      </c>
      <c r="I173" s="127">
        <v>6.49</v>
      </c>
    </row>
    <row r="174" spans="1:13" x14ac:dyDescent="0.25">
      <c r="A174" s="209"/>
      <c r="B174" s="184" t="s">
        <v>595</v>
      </c>
      <c r="C174" s="151" t="s">
        <v>596</v>
      </c>
      <c r="D174" s="151">
        <v>409.2</v>
      </c>
      <c r="E174" s="151">
        <v>482.8</v>
      </c>
      <c r="F174" s="151">
        <v>616.75</v>
      </c>
      <c r="G174" s="126">
        <v>620.85</v>
      </c>
      <c r="H174" s="126">
        <v>675.55</v>
      </c>
      <c r="I174" s="148">
        <v>652.9</v>
      </c>
    </row>
    <row r="175" spans="1:13" x14ac:dyDescent="0.25">
      <c r="A175" s="209"/>
      <c r="B175" s="176" t="s">
        <v>397</v>
      </c>
      <c r="C175" s="151" t="s">
        <v>350</v>
      </c>
      <c r="D175" s="151">
        <v>393.65</v>
      </c>
      <c r="E175" s="126">
        <v>471.6</v>
      </c>
      <c r="F175" s="126">
        <v>608.45000000000005</v>
      </c>
      <c r="G175" s="126">
        <v>612.25</v>
      </c>
      <c r="H175" s="126">
        <v>675.2</v>
      </c>
      <c r="I175" s="148">
        <v>652.6</v>
      </c>
    </row>
    <row r="176" spans="1:13" x14ac:dyDescent="0.25">
      <c r="A176" s="209"/>
      <c r="B176" s="176" t="s">
        <v>376</v>
      </c>
      <c r="C176" s="151" t="s">
        <v>16</v>
      </c>
      <c r="D176" s="152">
        <v>8.3000000000000007</v>
      </c>
      <c r="E176" s="125">
        <v>9.6</v>
      </c>
      <c r="F176" s="125">
        <v>9.8000000000000007</v>
      </c>
      <c r="G176" s="125">
        <v>10.7</v>
      </c>
      <c r="H176" s="125">
        <v>9.9</v>
      </c>
      <c r="I176" s="136">
        <v>10</v>
      </c>
      <c r="M176" s="119"/>
    </row>
    <row r="177" spans="1:13" x14ac:dyDescent="0.25">
      <c r="A177" s="209"/>
      <c r="B177" s="176" t="s">
        <v>377</v>
      </c>
      <c r="C177" s="151" t="s">
        <v>353</v>
      </c>
      <c r="D177" s="128">
        <f t="shared" ref="D177:I177" si="22">D176*D174/D164/D156</f>
        <v>0.98924067223953627</v>
      </c>
      <c r="E177" s="128">
        <f t="shared" si="22"/>
        <v>0.98103494987808182</v>
      </c>
      <c r="F177" s="128">
        <f t="shared" si="22"/>
        <v>0.97498870822041561</v>
      </c>
      <c r="G177" s="128">
        <f t="shared" si="22"/>
        <v>0.97673900577830708</v>
      </c>
      <c r="H177" s="128">
        <f t="shared" si="22"/>
        <v>0.99345588235294124</v>
      </c>
      <c r="I177" s="128">
        <f t="shared" si="22"/>
        <v>0.98829455991450621</v>
      </c>
      <c r="M177" s="119"/>
    </row>
    <row r="178" spans="1:13" x14ac:dyDescent="0.25">
      <c r="A178" s="209"/>
      <c r="B178" s="184" t="s">
        <v>602</v>
      </c>
      <c r="C178" s="151" t="s">
        <v>417</v>
      </c>
      <c r="D178" s="152">
        <f>D175*D176</f>
        <v>3267.2950000000001</v>
      </c>
      <c r="E178" s="152">
        <f>E176*E175</f>
        <v>4527.3599999999997</v>
      </c>
      <c r="F178" s="152">
        <f>F176*F175</f>
        <v>5962.8100000000013</v>
      </c>
      <c r="G178" s="152">
        <f t="shared" ref="G178:I178" si="23">G176*G175</f>
        <v>6551.0749999999998</v>
      </c>
      <c r="H178" s="152">
        <f t="shared" si="23"/>
        <v>6684.4800000000005</v>
      </c>
      <c r="I178" s="152">
        <f t="shared" si="23"/>
        <v>6526</v>
      </c>
      <c r="M178" s="119"/>
    </row>
    <row r="179" spans="1:13" ht="9.75" customHeight="1" x14ac:dyDescent="0.25">
      <c r="A179" s="168"/>
      <c r="B179" s="177"/>
      <c r="C179" s="169"/>
      <c r="D179" s="169"/>
      <c r="E179" s="166"/>
      <c r="F179" s="166"/>
      <c r="G179" s="166"/>
      <c r="H179" s="166"/>
      <c r="I179" s="167"/>
      <c r="M179" s="119"/>
    </row>
    <row r="180" spans="1:13" x14ac:dyDescent="0.25">
      <c r="A180" s="210" t="s">
        <v>545</v>
      </c>
      <c r="B180" s="183" t="s">
        <v>436</v>
      </c>
      <c r="C180" s="145" t="s">
        <v>14</v>
      </c>
      <c r="D180" s="145">
        <v>393.4</v>
      </c>
      <c r="E180" s="132">
        <v>471.75</v>
      </c>
      <c r="F180" s="132">
        <v>608.29999999999995</v>
      </c>
      <c r="G180" s="132">
        <v>611.35</v>
      </c>
      <c r="H180" s="132">
        <v>674.85</v>
      </c>
      <c r="I180" s="131">
        <v>643.79999999999995</v>
      </c>
      <c r="M180" s="119"/>
    </row>
    <row r="181" spans="1:13" x14ac:dyDescent="0.25">
      <c r="A181" s="210"/>
      <c r="B181" s="175" t="s">
        <v>411</v>
      </c>
      <c r="C181" s="145" t="s">
        <v>234</v>
      </c>
      <c r="D181" s="145">
        <v>1.53</v>
      </c>
      <c r="E181" s="145">
        <f>0.51*3</f>
        <v>1.53</v>
      </c>
      <c r="F181" s="145">
        <v>1.53</v>
      </c>
      <c r="G181" s="145">
        <v>1.53</v>
      </c>
      <c r="H181" s="132">
        <v>1.53</v>
      </c>
      <c r="I181" s="131">
        <v>1.53</v>
      </c>
      <c r="M181" s="119"/>
    </row>
    <row r="182" spans="1:13" x14ac:dyDescent="0.25">
      <c r="A182" s="210"/>
      <c r="B182" s="175" t="s">
        <v>412</v>
      </c>
      <c r="C182" s="145" t="s">
        <v>598</v>
      </c>
      <c r="D182" s="150">
        <f t="shared" ref="D182:F182" si="24">D175*D176/D181</f>
        <v>2135.4869281045753</v>
      </c>
      <c r="E182" s="150">
        <f t="shared" si="24"/>
        <v>2959.0588235294117</v>
      </c>
      <c r="F182" s="150">
        <f t="shared" si="24"/>
        <v>3897.2614379084976</v>
      </c>
      <c r="G182" s="150">
        <f>G175*G176/G181</f>
        <v>4281.748366013072</v>
      </c>
      <c r="H182" s="150">
        <f t="shared" ref="H182:I182" si="25">H175*H176/H181</f>
        <v>4368.9411764705883</v>
      </c>
      <c r="I182" s="150">
        <f t="shared" si="25"/>
        <v>4265.3594771241833</v>
      </c>
    </row>
    <row r="183" spans="1:13" x14ac:dyDescent="0.25">
      <c r="A183" s="210"/>
      <c r="B183" s="183" t="s">
        <v>623</v>
      </c>
      <c r="C183" s="145" t="s">
        <v>358</v>
      </c>
      <c r="D183" s="150">
        <v>22</v>
      </c>
      <c r="E183" s="150">
        <v>22</v>
      </c>
      <c r="F183" s="150">
        <v>22</v>
      </c>
      <c r="G183" s="150"/>
      <c r="H183" s="130">
        <v>24</v>
      </c>
      <c r="I183" s="131">
        <v>23.2</v>
      </c>
    </row>
    <row r="184" spans="1:13" x14ac:dyDescent="0.25">
      <c r="A184" s="210"/>
      <c r="B184" s="183" t="s">
        <v>599</v>
      </c>
      <c r="C184" s="145" t="s">
        <v>14</v>
      </c>
      <c r="D184" s="145">
        <v>430.4</v>
      </c>
      <c r="E184" s="132">
        <v>515.95000000000005</v>
      </c>
      <c r="F184" s="132">
        <v>653.29999999999995</v>
      </c>
      <c r="G184" s="132">
        <v>795.05</v>
      </c>
      <c r="H184" s="132">
        <v>722.25</v>
      </c>
      <c r="I184" s="141">
        <v>691.1</v>
      </c>
    </row>
    <row r="185" spans="1:13" x14ac:dyDescent="0.25">
      <c r="A185" s="210"/>
      <c r="B185" s="183" t="s">
        <v>600</v>
      </c>
      <c r="C185" s="145" t="s">
        <v>16</v>
      </c>
      <c r="D185" s="149">
        <v>7.1</v>
      </c>
      <c r="E185" s="133">
        <v>8.6999999999999993</v>
      </c>
      <c r="F185" s="133">
        <v>8.9</v>
      </c>
      <c r="G185" s="133">
        <v>8.1999999999999993</v>
      </c>
      <c r="H185" s="133">
        <v>8.8000000000000007</v>
      </c>
      <c r="I185" s="131">
        <v>9.1999999999999993</v>
      </c>
    </row>
    <row r="186" spans="1:13" x14ac:dyDescent="0.25">
      <c r="A186" s="210"/>
      <c r="B186" s="175" t="s">
        <v>377</v>
      </c>
      <c r="C186" s="145" t="s">
        <v>19</v>
      </c>
      <c r="D186" s="146">
        <f t="shared" ref="D186:I186" si="26">D185*D184/D180/D176</f>
        <v>0.93587568372115804</v>
      </c>
      <c r="E186" s="146">
        <f t="shared" si="26"/>
        <v>0.99115990990990999</v>
      </c>
      <c r="F186" s="146">
        <f t="shared" si="26"/>
        <v>0.97534614700721645</v>
      </c>
      <c r="G186" s="146">
        <f t="shared" si="26"/>
        <v>0.99663147821314702</v>
      </c>
      <c r="H186" s="146">
        <f t="shared" si="26"/>
        <v>0.95132251611469221</v>
      </c>
      <c r="I186" s="146">
        <f t="shared" si="26"/>
        <v>0.98759242000621317</v>
      </c>
    </row>
    <row r="187" spans="1:13" x14ac:dyDescent="0.25">
      <c r="A187" s="210"/>
      <c r="B187" s="183" t="s">
        <v>601</v>
      </c>
      <c r="C187" s="145" t="s">
        <v>596</v>
      </c>
      <c r="D187" s="131">
        <v>410.65</v>
      </c>
      <c r="E187" s="131">
        <v>505.35</v>
      </c>
      <c r="F187" s="131">
        <v>650.35</v>
      </c>
      <c r="G187" s="131">
        <v>792.55</v>
      </c>
      <c r="H187" s="131">
        <v>721.55</v>
      </c>
      <c r="I187" s="141">
        <v>689.7</v>
      </c>
    </row>
    <row r="188" spans="1:13" x14ac:dyDescent="0.25">
      <c r="A188" s="210"/>
      <c r="B188" s="183" t="s">
        <v>602</v>
      </c>
      <c r="C188" s="145" t="s">
        <v>417</v>
      </c>
      <c r="D188" s="149">
        <f t="shared" ref="D188:I188" si="27">D187*D185</f>
        <v>2915.6149999999998</v>
      </c>
      <c r="E188" s="149">
        <f t="shared" si="27"/>
        <v>4396.5450000000001</v>
      </c>
      <c r="F188" s="149">
        <f t="shared" si="27"/>
        <v>5788.1150000000007</v>
      </c>
      <c r="G188" s="149">
        <f t="shared" si="27"/>
        <v>6498.9099999999989</v>
      </c>
      <c r="H188" s="149">
        <f t="shared" si="27"/>
        <v>6349.64</v>
      </c>
      <c r="I188" s="149">
        <f t="shared" si="27"/>
        <v>6345.24</v>
      </c>
    </row>
    <row r="189" spans="1:13" ht="9.75" customHeight="1" x14ac:dyDescent="0.25">
      <c r="A189" s="164"/>
      <c r="B189" s="179"/>
      <c r="C189" s="188"/>
      <c r="D189" s="166"/>
      <c r="E189" s="166"/>
      <c r="F189" s="166"/>
      <c r="G189" s="166"/>
      <c r="H189" s="166"/>
      <c r="I189" s="167"/>
    </row>
    <row r="190" spans="1:13" s="213" customFormat="1" x14ac:dyDescent="0.25">
      <c r="A190" s="211" t="s">
        <v>616</v>
      </c>
      <c r="B190" s="178" t="s">
        <v>624</v>
      </c>
      <c r="C190" s="187" t="s">
        <v>625</v>
      </c>
      <c r="D190" s="127">
        <v>410.35</v>
      </c>
      <c r="E190" s="127">
        <v>505.35</v>
      </c>
      <c r="F190" s="127">
        <v>650.35</v>
      </c>
      <c r="G190" s="127">
        <v>792.55</v>
      </c>
      <c r="H190" s="127">
        <v>721.55</v>
      </c>
      <c r="I190" s="148">
        <v>689.7</v>
      </c>
    </row>
    <row r="191" spans="1:13" x14ac:dyDescent="0.25">
      <c r="A191" s="211"/>
      <c r="B191" s="173" t="s">
        <v>403</v>
      </c>
      <c r="C191" s="187" t="s">
        <v>25</v>
      </c>
      <c r="D191" s="144"/>
      <c r="E191" s="144"/>
      <c r="F191" s="144"/>
      <c r="G191" s="125">
        <v>196</v>
      </c>
      <c r="H191" s="125">
        <v>196.2</v>
      </c>
      <c r="I191" s="127"/>
    </row>
    <row r="192" spans="1:13" x14ac:dyDescent="0.25">
      <c r="A192" s="211"/>
      <c r="B192" s="173" t="s">
        <v>404</v>
      </c>
      <c r="C192" s="187" t="s">
        <v>607</v>
      </c>
      <c r="D192" s="144">
        <v>20</v>
      </c>
      <c r="E192" s="144">
        <v>20</v>
      </c>
      <c r="F192" s="144">
        <v>20</v>
      </c>
      <c r="G192" s="144">
        <v>20</v>
      </c>
      <c r="H192" s="144">
        <v>20</v>
      </c>
      <c r="I192" s="127">
        <v>20</v>
      </c>
    </row>
    <row r="193" spans="1:9" x14ac:dyDescent="0.25">
      <c r="A193" s="211"/>
      <c r="B193" s="173" t="s">
        <v>405</v>
      </c>
      <c r="C193" s="187" t="s">
        <v>608</v>
      </c>
      <c r="D193" s="144">
        <v>5</v>
      </c>
      <c r="E193" s="144">
        <v>5</v>
      </c>
      <c r="F193" s="144">
        <v>5</v>
      </c>
      <c r="G193" s="144">
        <v>5</v>
      </c>
      <c r="H193" s="144">
        <v>5</v>
      </c>
      <c r="I193" s="127">
        <v>5</v>
      </c>
    </row>
    <row r="194" spans="1:9" x14ac:dyDescent="0.25">
      <c r="A194" s="211"/>
      <c r="B194" s="173" t="s">
        <v>428</v>
      </c>
      <c r="C194" s="187" t="s">
        <v>27</v>
      </c>
      <c r="D194" s="125"/>
      <c r="E194" s="125"/>
      <c r="F194" s="125"/>
      <c r="G194" s="125"/>
      <c r="H194" s="125"/>
      <c r="I194" s="127"/>
    </row>
    <row r="195" spans="1:9" x14ac:dyDescent="0.25">
      <c r="A195" s="211"/>
      <c r="B195" s="173" t="s">
        <v>380</v>
      </c>
      <c r="C195" s="187" t="s">
        <v>598</v>
      </c>
      <c r="D195" s="125">
        <f t="shared" ref="D195:E195" si="28">D190*D185/D192</f>
        <v>145.67425</v>
      </c>
      <c r="E195" s="125">
        <f t="shared" si="28"/>
        <v>219.82724999999999</v>
      </c>
      <c r="F195" s="125">
        <f>F190*F185/F192</f>
        <v>289.40575000000001</v>
      </c>
      <c r="G195" s="125">
        <f t="shared" ref="G195:I195" si="29">G190*G185/G192</f>
        <v>324.94549999999992</v>
      </c>
      <c r="H195" s="125">
        <f t="shared" si="29"/>
        <v>317.48200000000003</v>
      </c>
      <c r="I195" s="125">
        <f t="shared" si="29"/>
        <v>317.262</v>
      </c>
    </row>
    <row r="196" spans="1:9" x14ac:dyDescent="0.25">
      <c r="A196" s="211"/>
      <c r="B196" s="173" t="s">
        <v>408</v>
      </c>
      <c r="C196" s="187" t="s">
        <v>14</v>
      </c>
      <c r="D196" s="125">
        <v>266.10000000000002</v>
      </c>
      <c r="E196" s="125">
        <v>237.5</v>
      </c>
      <c r="F196" s="125"/>
      <c r="G196" s="125"/>
      <c r="H196" s="125"/>
      <c r="I196" s="127"/>
    </row>
    <row r="197" spans="1:9" x14ac:dyDescent="0.25">
      <c r="A197" s="211"/>
      <c r="B197" s="173" t="s">
        <v>409</v>
      </c>
      <c r="C197" s="187"/>
      <c r="D197" s="144">
        <v>6</v>
      </c>
      <c r="E197" s="144">
        <v>6</v>
      </c>
      <c r="F197" s="144">
        <v>6</v>
      </c>
      <c r="G197" s="144">
        <v>6</v>
      </c>
      <c r="H197" s="144">
        <v>6</v>
      </c>
      <c r="I197" s="144">
        <v>6</v>
      </c>
    </row>
    <row r="198" spans="1:9" x14ac:dyDescent="0.25">
      <c r="A198" s="211"/>
      <c r="B198" s="173" t="s">
        <v>427</v>
      </c>
      <c r="C198" s="187" t="s">
        <v>27</v>
      </c>
      <c r="D198" s="125"/>
      <c r="E198" s="125"/>
      <c r="F198" s="125"/>
      <c r="G198" s="125"/>
      <c r="H198" s="125"/>
      <c r="I198" s="127"/>
    </row>
    <row r="199" spans="1:9" x14ac:dyDescent="0.25">
      <c r="A199" s="211"/>
      <c r="B199" s="178" t="s">
        <v>603</v>
      </c>
      <c r="C199" s="187" t="s">
        <v>233</v>
      </c>
      <c r="D199" s="125">
        <v>180.6</v>
      </c>
      <c r="E199" s="125">
        <v>275.60000000000002</v>
      </c>
      <c r="F199" s="125">
        <v>361.6</v>
      </c>
      <c r="G199" s="125">
        <v>407</v>
      </c>
      <c r="H199" s="125">
        <v>395.5</v>
      </c>
      <c r="I199" s="136">
        <v>399</v>
      </c>
    </row>
    <row r="200" spans="1:9" x14ac:dyDescent="0.25">
      <c r="A200" s="211"/>
      <c r="B200" s="173" t="s">
        <v>376</v>
      </c>
      <c r="C200" s="187" t="s">
        <v>16</v>
      </c>
      <c r="D200" s="125">
        <v>16.8</v>
      </c>
      <c r="E200" s="125">
        <v>16.2</v>
      </c>
      <c r="F200" s="125">
        <v>17</v>
      </c>
      <c r="G200" s="125">
        <v>16.5</v>
      </c>
      <c r="H200" s="125">
        <v>17</v>
      </c>
      <c r="I200" s="127">
        <v>16.899999999999999</v>
      </c>
    </row>
    <row r="201" spans="1:9" x14ac:dyDescent="0.25">
      <c r="A201" s="211"/>
      <c r="B201" s="173" t="s">
        <v>377</v>
      </c>
      <c r="C201" s="187" t="s">
        <v>19</v>
      </c>
      <c r="D201" s="128">
        <f>D200*D199/D190/D185</f>
        <v>1.0413920099125273</v>
      </c>
      <c r="E201" s="128">
        <f>E200*E199/E188</f>
        <v>1.0155064943040502</v>
      </c>
      <c r="F201" s="128">
        <f>F200*F199/F188</f>
        <v>1.0620383319958224</v>
      </c>
      <c r="G201" s="128">
        <f>G200*G199/G188</f>
        <v>1.0333271271644016</v>
      </c>
      <c r="H201" s="128">
        <f>H200*H199/H188</f>
        <v>1.0588789285691786</v>
      </c>
      <c r="I201" s="128">
        <f>I200*I199/I188</f>
        <v>1.0627021200143729</v>
      </c>
    </row>
    <row r="202" spans="1:9" x14ac:dyDescent="0.25">
      <c r="A202" s="211"/>
      <c r="B202" s="178" t="s">
        <v>604</v>
      </c>
      <c r="C202" s="187" t="s">
        <v>605</v>
      </c>
      <c r="D202" s="129"/>
      <c r="E202" s="127">
        <v>274.89999999999998</v>
      </c>
      <c r="F202" s="129"/>
      <c r="G202" s="127">
        <v>406.7</v>
      </c>
      <c r="H202" s="127">
        <v>395.2</v>
      </c>
      <c r="I202" s="127">
        <v>398.1</v>
      </c>
    </row>
    <row r="203" spans="1:9" x14ac:dyDescent="0.25">
      <c r="A203" s="211"/>
      <c r="B203" s="178" t="s">
        <v>606</v>
      </c>
      <c r="C203" s="187" t="s">
        <v>417</v>
      </c>
      <c r="D203" s="125">
        <f>D199*D200</f>
        <v>3034.08</v>
      </c>
      <c r="E203" s="125">
        <f>E199*E200</f>
        <v>4464.72</v>
      </c>
      <c r="F203" s="125">
        <f t="shared" ref="F203" si="30">F199*F200</f>
        <v>6147.2000000000007</v>
      </c>
      <c r="G203" s="125">
        <f>G202*G200</f>
        <v>6710.55</v>
      </c>
      <c r="H203" s="125">
        <f>H202*H200</f>
        <v>6718.4</v>
      </c>
      <c r="I203" s="125">
        <f>I202*I200</f>
        <v>6727.8899999999994</v>
      </c>
    </row>
    <row r="204" spans="1:9" ht="9.75" customHeight="1" x14ac:dyDescent="0.25">
      <c r="A204" s="164"/>
      <c r="B204" s="179"/>
      <c r="C204" s="188"/>
      <c r="D204" s="165"/>
      <c r="E204" s="166"/>
      <c r="F204" s="166"/>
      <c r="G204" s="166"/>
      <c r="H204" s="166"/>
      <c r="I204" s="167"/>
    </row>
    <row r="205" spans="1:9" ht="30.75" customHeight="1" x14ac:dyDescent="0.15">
      <c r="A205" s="124" t="s">
        <v>630</v>
      </c>
      <c r="B205" s="185" t="s">
        <v>629</v>
      </c>
      <c r="C205" s="174" t="s">
        <v>631</v>
      </c>
      <c r="D205" s="158">
        <f>180.11*16.44</f>
        <v>2961.0084000000006</v>
      </c>
      <c r="E205" s="158">
        <f>273.95*15.88</f>
        <v>4350.326</v>
      </c>
      <c r="F205" s="158">
        <f>360.24*16.65</f>
        <v>5997.9959999999992</v>
      </c>
      <c r="G205" s="158"/>
      <c r="H205" s="159"/>
      <c r="I205" s="160">
        <v>6675.2</v>
      </c>
    </row>
    <row r="206" spans="1:9" ht="9.75" customHeight="1" x14ac:dyDescent="0.25">
      <c r="A206" s="164"/>
      <c r="B206" s="179"/>
      <c r="C206" s="188"/>
      <c r="D206" s="165"/>
      <c r="E206" s="166"/>
      <c r="F206" s="166"/>
      <c r="G206" s="166"/>
      <c r="H206" s="166"/>
      <c r="I206" s="167"/>
    </row>
    <row r="207" spans="1:9" x14ac:dyDescent="0.25">
      <c r="A207" s="38"/>
      <c r="B207" s="186"/>
      <c r="C207" s="190"/>
      <c r="D207" s="161"/>
      <c r="E207" s="161"/>
      <c r="F207" s="161"/>
      <c r="G207" s="161"/>
      <c r="H207" s="161"/>
    </row>
  </sheetData>
  <protectedRanges>
    <protectedRange sqref="A44:C47 A126 D14:D15 D39:D41 D44:D47 B167:C167 A196:C196 A14:C14 A39:C39 B98:C99 A11:C12 A95 A15:C15 C144:C146 A40:C41 A37:C37 E100:F101 D11:D12 E135:G142 H96:I96 A123:C123 D123:H123 F127:H128 D149:D152 A2 D102:F102 C90:C92 A50:C61 A64:C64 A19:C21 A69:C73 E64:F65 A106:A111 A113 A115:A119 E129:H129 B127:C129 B131:C131 E128 A132 A75:C86 B133:C135 A8:C10 A170:C171 A62:C62 A184:C185 A121:C122 A100:C101 F121:H122 E62:F62 E75:F77 E96:F96 A180:C181 A160:C164 D160:D164 D180:D181 A190 E194 G14:H15 F37 G12:H12 B106:C119 A102:C102 G2:H4 F44 E79:F82 F111:H112 D170:D171 H149 H180:H181 F55:F57 F59:F61 F114:H119 A128:A130 F170 E196:F196 H191:H194 E198 A25:C36 A149:C152 G21:H21 H19 G25:H27 E11:I11 G30:H32 D25:D37 H100:H102 H64:H66 H39:H41 H37 H44 H196 H55:H57 H59:H62 H79:H82 B2:D4 A4 H131:H142 D19:D21 H50:H53 F50:F53 D50:D61 B96:C96 B125:C125 H75:H77 F46 A154:C156 D154:D156 H152 H170:H171 E163:H163 H184:H185 D184:D185 E199:F200 F39:F41 E69:F71 A134:A142 E134 A65:C66 B137:C137 F66 G70 A172:C172 B139:C141 A173:C176 D133:D142 D173:D176 B191:C194 A198:C200 A192:A194 H46 H69:H71 D131:G132 H173:H176 I70 C169 I136 I142 H154:H156 G34:H36 H198:H200 F133:G134 A1:D1" name="区域1"/>
    <protectedRange sqref="D121:D122 F108 H108 E109:I110 D106:D119 E113" name="区域1_1"/>
    <protectedRange sqref="F85:F86 E66 D62:D86 E68 G86:I86 E72:I73" name="区域1_3"/>
    <protectedRange sqref="E83:F84 E85:E86 E78:I78 G83:I83" name="区域1_4"/>
    <protectedRange sqref="D89" name="区域1_5"/>
    <protectedRange sqref="D96 D100:D101" name="区域1_6"/>
    <protectedRange sqref="B89:C89" name="区域1_7"/>
    <protectedRange sqref="D128:D130 D126:H126 E130:I130" name="区域1_8"/>
    <protectedRange sqref="D196 D191:D194 E191:F193 D198:D200" name="区域1_10"/>
    <protectedRange sqref="E14:E15 E39:E41 E19:E21 E12 F47:I47 E25:E37 E44:E47 F20:I20 E50:E61 F28:I28 F33:I33 F54:I54 F58:I58 F45:I45 E1:E4" name="区域1_2"/>
    <protectedRange sqref="E106:E108 F106:H107 G108 I108 E111" name="区域1_9"/>
    <protectedRange sqref="E112 E114:E119" name="区域1_11"/>
    <protectedRange sqref="F113:I113" name="区域1_1_1"/>
    <protectedRange sqref="E121:E122" name="区域1_12"/>
    <protectedRange sqref="E160:F162 E170:E176 E164:F164 D172 F172:I172" name="区域1_13"/>
    <protectedRange sqref="E149:E152 I150:I151 G150:G151 E154:E156" name="区域1_14"/>
    <protectedRange sqref="E180:E181 E184:E185" name="区域1_15"/>
    <protectedRange sqref="F14:F15 F12 F19:G19 F2:F3 F25:F26 F30 F32 F34" name="区域1_16"/>
    <protectedRange sqref="F27 F4 F21 F31 D8:H10 F29:H29 I10 F1:H1 F35:F36" name="区域1_2_1"/>
    <protectedRange sqref="F152 F185 F180 F171 F173:F176 F154:F156" name="区域1_18"/>
    <protectedRange sqref="F149:F151 H150:H151" name="区域1_14_2"/>
    <protectedRange sqref="F181 F184" name="区域1_15_2"/>
    <protectedRange sqref="F194" name="区域1_17"/>
    <protectedRange sqref="F198" name="区域1_19"/>
    <protectedRange sqref="G100:G102 G64:G66 G69 G75:G77 G39:G41 G37 G44 G55:G57 G59:G62 G79:G82 G96 G50:G53 G46 G71" name="区域1_20"/>
    <protectedRange sqref="G84:H85" name="区域1_4_1"/>
    <protectedRange sqref="G173:G176 G152 G185 G180 G170:G171 G196 G194 G154:G156 G198:G200" name="区域1_21"/>
    <protectedRange sqref="G191:G193" name="区域1_10_1"/>
    <protectedRange sqref="G160:H162 G164:H164" name="区域1_13_2"/>
    <protectedRange sqref="G149" name="区域1_14_2_1"/>
    <protectedRange sqref="G181 G184" name="区域1_15_2_1"/>
  </protectedRanges>
  <mergeCells count="21">
    <mergeCell ref="A190:A203"/>
    <mergeCell ref="A2:A6"/>
    <mergeCell ref="A131:A136"/>
    <mergeCell ref="A143:A147"/>
    <mergeCell ref="A62:A74"/>
    <mergeCell ref="A75:A86"/>
    <mergeCell ref="A87:A88"/>
    <mergeCell ref="A89:A93"/>
    <mergeCell ref="A8:A11"/>
    <mergeCell ref="A12:A24"/>
    <mergeCell ref="A25:A36"/>
    <mergeCell ref="A106:A118"/>
    <mergeCell ref="A137:A142"/>
    <mergeCell ref="A180:A188"/>
    <mergeCell ref="A50:A61"/>
    <mergeCell ref="A37:A49"/>
    <mergeCell ref="A160:A178"/>
    <mergeCell ref="A149:A158"/>
    <mergeCell ref="A119:A124"/>
    <mergeCell ref="A125:A130"/>
    <mergeCell ref="A95:A10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301生产过程</vt:lpstr>
      <vt:lpstr>e20160602</vt:lpstr>
      <vt:lpstr>e20160703</vt:lpstr>
      <vt:lpstr>e20160904</vt:lpstr>
      <vt:lpstr>HCP</vt:lpstr>
      <vt:lpstr>303历史数据</vt:lpstr>
      <vt:lpstr>Sheet2</vt:lpstr>
      <vt:lpstr>IBI301 M1b3000L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2021-03-11T06:55:19Z</dcterms:modified>
</cp:coreProperties>
</file>