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bo\YandexDisk\Компьютер DESKTOP-CV3T81O\Рабочий стол\"/>
    </mc:Choice>
  </mc:AlternateContent>
  <xr:revisionPtr revIDLastSave="0" documentId="8_{C9C93A83-D4A3-4B27-A2F6-C5A6E0316801}" xr6:coauthVersionLast="47" xr6:coauthVersionMax="47" xr10:uidLastSave="{00000000-0000-0000-0000-000000000000}"/>
  <bookViews>
    <workbookView xWindow="4530" yWindow="3225" windowWidth="21600" windowHeight="11385" xr2:uid="{00000000-000D-0000-FFFF-FFFF00000000}"/>
  </bookViews>
  <sheets>
    <sheet name="TDSheet" sheetId="1" r:id="rId1"/>
  </sheets>
  <definedNames>
    <definedName name="_xlnm._FilterDatabase" localSheetId="0" hidden="1">TDSheet!$A$1:$BE$202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2" i="1" l="1"/>
  <c r="U202" i="1"/>
  <c r="T202" i="1"/>
  <c r="S202" i="1"/>
  <c r="R202" i="1"/>
  <c r="Q202" i="1"/>
  <c r="P202" i="1"/>
  <c r="U201" i="1"/>
  <c r="T201" i="1"/>
  <c r="S201" i="1"/>
  <c r="R201" i="1"/>
  <c r="Q201" i="1"/>
  <c r="P201" i="1"/>
  <c r="X200" i="1"/>
  <c r="W200" i="1"/>
  <c r="V200" i="1"/>
  <c r="U200" i="1"/>
  <c r="T200" i="1"/>
  <c r="S200" i="1"/>
  <c r="R200" i="1"/>
  <c r="Q200" i="1"/>
  <c r="P200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Y197" i="1"/>
  <c r="X197" i="1"/>
  <c r="W197" i="1"/>
  <c r="V197" i="1"/>
  <c r="U197" i="1"/>
  <c r="T197" i="1"/>
  <c r="S197" i="1"/>
  <c r="R197" i="1"/>
  <c r="Q197" i="1"/>
  <c r="P197" i="1"/>
  <c r="X196" i="1"/>
  <c r="W196" i="1"/>
  <c r="V196" i="1"/>
  <c r="U196" i="1"/>
  <c r="T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W191" i="1"/>
  <c r="V191" i="1"/>
  <c r="U191" i="1"/>
  <c r="T191" i="1"/>
  <c r="S191" i="1"/>
  <c r="R191" i="1"/>
  <c r="Q191" i="1"/>
  <c r="P191" i="1"/>
  <c r="Q190" i="1"/>
  <c r="P190" i="1"/>
  <c r="W189" i="1"/>
  <c r="V189" i="1"/>
  <c r="U189" i="1"/>
  <c r="T189" i="1"/>
  <c r="S189" i="1"/>
  <c r="R189" i="1"/>
  <c r="Q189" i="1"/>
  <c r="P189" i="1"/>
  <c r="W188" i="1"/>
  <c r="V188" i="1"/>
  <c r="U188" i="1"/>
  <c r="T188" i="1"/>
  <c r="S188" i="1"/>
  <c r="R188" i="1"/>
  <c r="Q188" i="1"/>
  <c r="P188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Q184" i="1"/>
  <c r="P184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U182" i="1"/>
  <c r="T182" i="1"/>
  <c r="S182" i="1"/>
  <c r="R182" i="1"/>
  <c r="Q182" i="1"/>
  <c r="P182" i="1"/>
  <c r="Q181" i="1"/>
  <c r="P181" i="1"/>
  <c r="Y180" i="1"/>
  <c r="X180" i="1"/>
  <c r="W180" i="1"/>
  <c r="V180" i="1"/>
  <c r="U180" i="1"/>
  <c r="T180" i="1"/>
  <c r="S180" i="1"/>
  <c r="R180" i="1"/>
  <c r="Q180" i="1"/>
  <c r="P180" i="1"/>
  <c r="Z179" i="1"/>
  <c r="Y179" i="1"/>
  <c r="X179" i="1"/>
  <c r="W179" i="1"/>
  <c r="V179" i="1"/>
  <c r="U179" i="1"/>
  <c r="T179" i="1"/>
  <c r="S179" i="1"/>
  <c r="R179" i="1"/>
  <c r="Q179" i="1"/>
  <c r="P179" i="1"/>
  <c r="Q178" i="1"/>
  <c r="P178" i="1"/>
  <c r="X177" i="1"/>
  <c r="W177" i="1"/>
  <c r="V177" i="1"/>
  <c r="U177" i="1"/>
  <c r="T177" i="1"/>
  <c r="S177" i="1"/>
  <c r="R177" i="1"/>
  <c r="Q177" i="1"/>
  <c r="P177" i="1"/>
  <c r="Y176" i="1"/>
  <c r="X176" i="1"/>
  <c r="W176" i="1"/>
  <c r="V176" i="1"/>
  <c r="U176" i="1"/>
  <c r="T176" i="1"/>
  <c r="S176" i="1"/>
  <c r="R176" i="1"/>
  <c r="Q176" i="1"/>
  <c r="P176" i="1"/>
  <c r="R175" i="1"/>
  <c r="Q175" i="1"/>
  <c r="P175" i="1"/>
  <c r="Q174" i="1"/>
  <c r="P174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X160" i="1"/>
  <c r="W160" i="1"/>
  <c r="V160" i="1"/>
  <c r="U160" i="1"/>
  <c r="T160" i="1"/>
  <c r="S160" i="1"/>
  <c r="R160" i="1"/>
  <c r="Q160" i="1"/>
  <c r="P160" i="1"/>
  <c r="X159" i="1"/>
  <c r="W159" i="1"/>
  <c r="V159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U157" i="1"/>
  <c r="T157" i="1"/>
  <c r="S157" i="1"/>
  <c r="R157" i="1"/>
  <c r="Q157" i="1"/>
  <c r="P157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U154" i="1"/>
  <c r="T154" i="1"/>
  <c r="S154" i="1"/>
  <c r="R154" i="1"/>
  <c r="Q154" i="1"/>
  <c r="P154" i="1"/>
  <c r="U153" i="1"/>
  <c r="T153" i="1"/>
  <c r="S153" i="1"/>
  <c r="R153" i="1"/>
  <c r="Q153" i="1"/>
  <c r="P153" i="1"/>
  <c r="U152" i="1"/>
  <c r="T152" i="1"/>
  <c r="S152" i="1"/>
  <c r="R152" i="1"/>
  <c r="Q152" i="1"/>
  <c r="P152" i="1"/>
  <c r="U151" i="1"/>
  <c r="T151" i="1"/>
  <c r="S151" i="1"/>
  <c r="R151" i="1"/>
  <c r="Q151" i="1"/>
  <c r="P151" i="1"/>
  <c r="W150" i="1"/>
  <c r="V150" i="1"/>
  <c r="U150" i="1"/>
  <c r="T150" i="1"/>
  <c r="S150" i="1"/>
  <c r="R150" i="1"/>
  <c r="Q150" i="1"/>
  <c r="P150" i="1"/>
  <c r="W149" i="1"/>
  <c r="V149" i="1"/>
  <c r="U149" i="1"/>
  <c r="T149" i="1"/>
  <c r="S149" i="1"/>
  <c r="R149" i="1"/>
  <c r="Q149" i="1"/>
  <c r="P149" i="1"/>
  <c r="W148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W146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T144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T136" i="1"/>
  <c r="S136" i="1"/>
  <c r="R136" i="1"/>
  <c r="Q136" i="1"/>
  <c r="P136" i="1"/>
  <c r="X135" i="1"/>
  <c r="W135" i="1"/>
  <c r="V135" i="1"/>
  <c r="U135" i="1"/>
  <c r="T135" i="1"/>
  <c r="S135" i="1"/>
  <c r="R135" i="1"/>
  <c r="Q135" i="1"/>
  <c r="P135" i="1"/>
  <c r="P134" i="1"/>
  <c r="P133" i="1"/>
  <c r="P132" i="1"/>
  <c r="P131" i="1"/>
  <c r="P130" i="1"/>
  <c r="P129" i="1"/>
  <c r="Q128" i="1"/>
  <c r="P128" i="1"/>
  <c r="Q127" i="1"/>
  <c r="P127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U120" i="1"/>
  <c r="T120" i="1"/>
  <c r="S120" i="1"/>
  <c r="R120" i="1"/>
  <c r="Q120" i="1"/>
  <c r="P120" i="1"/>
  <c r="P119" i="1"/>
  <c r="P118" i="1"/>
  <c r="P117" i="1"/>
  <c r="T116" i="1"/>
  <c r="S116" i="1"/>
  <c r="R116" i="1"/>
  <c r="Q116" i="1"/>
  <c r="P116" i="1"/>
  <c r="U115" i="1"/>
  <c r="T115" i="1"/>
  <c r="S115" i="1"/>
  <c r="R115" i="1"/>
  <c r="Q115" i="1"/>
  <c r="P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T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Y105" i="1"/>
  <c r="X105" i="1"/>
  <c r="W105" i="1"/>
  <c r="V105" i="1"/>
  <c r="U105" i="1"/>
  <c r="T105" i="1"/>
  <c r="S105" i="1"/>
  <c r="R105" i="1"/>
  <c r="Q105" i="1"/>
  <c r="P105" i="1"/>
  <c r="W104" i="1"/>
  <c r="V104" i="1"/>
  <c r="U104" i="1"/>
  <c r="T104" i="1"/>
  <c r="S104" i="1"/>
  <c r="R104" i="1"/>
  <c r="Q104" i="1"/>
  <c r="P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W102" i="1"/>
  <c r="V102" i="1"/>
  <c r="U102" i="1"/>
  <c r="T102" i="1"/>
  <c r="S102" i="1"/>
  <c r="R102" i="1"/>
  <c r="Q102" i="1"/>
  <c r="P102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S98" i="1"/>
  <c r="R98" i="1"/>
  <c r="Q98" i="1"/>
  <c r="P98" i="1"/>
  <c r="V97" i="1"/>
  <c r="U97" i="1"/>
  <c r="T97" i="1"/>
  <c r="S97" i="1"/>
  <c r="R97" i="1"/>
  <c r="Q97" i="1"/>
  <c r="P97" i="1"/>
  <c r="W96" i="1"/>
  <c r="V96" i="1"/>
  <c r="U96" i="1"/>
  <c r="T96" i="1"/>
  <c r="S96" i="1"/>
  <c r="R96" i="1"/>
  <c r="Q96" i="1"/>
  <c r="P96" i="1"/>
  <c r="U95" i="1"/>
  <c r="T95" i="1"/>
  <c r="S95" i="1"/>
  <c r="R95" i="1"/>
  <c r="Q95" i="1"/>
  <c r="P95" i="1"/>
  <c r="U94" i="1"/>
  <c r="T94" i="1"/>
  <c r="S94" i="1"/>
  <c r="R94" i="1"/>
  <c r="Q94" i="1"/>
  <c r="P94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V86" i="1"/>
  <c r="U86" i="1"/>
  <c r="T86" i="1"/>
  <c r="S86" i="1"/>
  <c r="R86" i="1"/>
  <c r="Q86" i="1"/>
  <c r="P86" i="1"/>
  <c r="Z85" i="1"/>
  <c r="Y85" i="1"/>
  <c r="X85" i="1"/>
  <c r="W85" i="1"/>
  <c r="V85" i="1"/>
  <c r="U85" i="1"/>
  <c r="T85" i="1"/>
  <c r="S85" i="1"/>
  <c r="R85" i="1"/>
  <c r="Q85" i="1"/>
  <c r="P85" i="1"/>
  <c r="Y84" i="1"/>
  <c r="X84" i="1"/>
  <c r="W84" i="1"/>
  <c r="V84" i="1"/>
  <c r="U84" i="1"/>
  <c r="T84" i="1"/>
  <c r="S84" i="1"/>
  <c r="R84" i="1"/>
  <c r="Q84" i="1"/>
  <c r="P84" i="1"/>
  <c r="Z83" i="1"/>
  <c r="Y83" i="1"/>
  <c r="X83" i="1"/>
  <c r="W83" i="1"/>
  <c r="V83" i="1"/>
  <c r="U83" i="1"/>
  <c r="T83" i="1"/>
  <c r="S83" i="1"/>
  <c r="R83" i="1"/>
  <c r="Q83" i="1"/>
  <c r="P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W80" i="1"/>
  <c r="V80" i="1"/>
  <c r="U80" i="1"/>
  <c r="T80" i="1"/>
  <c r="S80" i="1"/>
  <c r="R80" i="1"/>
  <c r="Q80" i="1"/>
  <c r="P80" i="1"/>
  <c r="W79" i="1"/>
  <c r="V79" i="1"/>
  <c r="U79" i="1"/>
  <c r="T79" i="1"/>
  <c r="S79" i="1"/>
  <c r="R79" i="1"/>
  <c r="Q79" i="1"/>
  <c r="P79" i="1"/>
  <c r="X78" i="1"/>
  <c r="W78" i="1"/>
  <c r="V78" i="1"/>
  <c r="U78" i="1"/>
  <c r="T78" i="1"/>
  <c r="S78" i="1"/>
  <c r="R78" i="1"/>
  <c r="Q78" i="1"/>
  <c r="P78" i="1"/>
  <c r="X77" i="1"/>
  <c r="W77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Y73" i="1"/>
  <c r="X73" i="1"/>
  <c r="W73" i="1"/>
  <c r="V73" i="1"/>
  <c r="U73" i="1"/>
  <c r="T73" i="1"/>
  <c r="S73" i="1"/>
  <c r="R73" i="1"/>
  <c r="Q73" i="1"/>
  <c r="P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A71" i="1"/>
  <c r="Z71" i="1"/>
  <c r="Y71" i="1"/>
  <c r="X71" i="1"/>
  <c r="W71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W69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T67" i="1"/>
  <c r="S67" i="1"/>
  <c r="R67" i="1"/>
  <c r="Q67" i="1"/>
  <c r="P67" i="1"/>
  <c r="Z66" i="1"/>
  <c r="Y66" i="1"/>
  <c r="X66" i="1"/>
  <c r="W66" i="1"/>
  <c r="V66" i="1"/>
  <c r="U66" i="1"/>
  <c r="T66" i="1"/>
  <c r="S66" i="1"/>
  <c r="R66" i="1"/>
  <c r="Q66" i="1"/>
  <c r="P66" i="1"/>
  <c r="W65" i="1"/>
  <c r="V65" i="1"/>
  <c r="U65" i="1"/>
  <c r="T65" i="1"/>
  <c r="S65" i="1"/>
  <c r="R65" i="1"/>
  <c r="Q65" i="1"/>
  <c r="P65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W62" i="1"/>
  <c r="V62" i="1"/>
  <c r="U62" i="1"/>
  <c r="T62" i="1"/>
  <c r="S62" i="1"/>
  <c r="R62" i="1"/>
  <c r="Q62" i="1"/>
  <c r="P62" i="1"/>
  <c r="Z61" i="1"/>
  <c r="Y61" i="1"/>
  <c r="X61" i="1"/>
  <c r="W61" i="1"/>
  <c r="V61" i="1"/>
  <c r="U61" i="1"/>
  <c r="T61" i="1"/>
  <c r="S61" i="1"/>
  <c r="R61" i="1"/>
  <c r="Q61" i="1"/>
  <c r="P61" i="1"/>
  <c r="AA60" i="1"/>
  <c r="Z60" i="1"/>
  <c r="Y60" i="1"/>
  <c r="X60" i="1"/>
  <c r="W60" i="1"/>
  <c r="V60" i="1"/>
  <c r="U60" i="1"/>
  <c r="T60" i="1"/>
  <c r="S60" i="1"/>
  <c r="R60" i="1"/>
  <c r="Q60" i="1"/>
  <c r="P60" i="1"/>
  <c r="X59" i="1"/>
  <c r="W59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X56" i="1"/>
  <c r="W56" i="1"/>
  <c r="V56" i="1"/>
  <c r="U56" i="1"/>
  <c r="T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Z53" i="1"/>
  <c r="Y53" i="1"/>
  <c r="X53" i="1"/>
  <c r="W53" i="1"/>
  <c r="V53" i="1"/>
  <c r="U53" i="1"/>
  <c r="T53" i="1"/>
  <c r="S53" i="1"/>
  <c r="R53" i="1"/>
  <c r="Q53" i="1"/>
  <c r="P53" i="1"/>
  <c r="AA52" i="1"/>
  <c r="Z52" i="1"/>
  <c r="Y52" i="1"/>
  <c r="X52" i="1"/>
  <c r="W52" i="1"/>
  <c r="V52" i="1"/>
  <c r="U52" i="1"/>
  <c r="T52" i="1"/>
  <c r="S52" i="1"/>
  <c r="R52" i="1"/>
  <c r="Q52" i="1"/>
  <c r="P52" i="1"/>
  <c r="W51" i="1"/>
  <c r="V51" i="1"/>
  <c r="U51" i="1"/>
  <c r="T51" i="1"/>
  <c r="S51" i="1"/>
  <c r="R51" i="1"/>
  <c r="Q51" i="1"/>
  <c r="P51" i="1"/>
  <c r="X50" i="1"/>
  <c r="W50" i="1"/>
  <c r="V50" i="1"/>
  <c r="U50" i="1"/>
  <c r="T50" i="1"/>
  <c r="S50" i="1"/>
  <c r="R50" i="1"/>
  <c r="Q50" i="1"/>
  <c r="P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Z48" i="1"/>
  <c r="Y48" i="1"/>
  <c r="X48" i="1"/>
  <c r="W48" i="1"/>
  <c r="V48" i="1"/>
  <c r="U48" i="1"/>
  <c r="T48" i="1"/>
  <c r="S48" i="1"/>
  <c r="R48" i="1"/>
  <c r="Q48" i="1"/>
  <c r="P48" i="1"/>
  <c r="AA47" i="1"/>
  <c r="Z47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U46" i="1"/>
  <c r="T46" i="1"/>
  <c r="S46" i="1"/>
  <c r="R46" i="1"/>
  <c r="Q46" i="1"/>
  <c r="P46" i="1"/>
  <c r="U45" i="1"/>
  <c r="T45" i="1"/>
  <c r="S45" i="1"/>
  <c r="R45" i="1"/>
  <c r="Q45" i="1"/>
  <c r="P45" i="1"/>
  <c r="Z44" i="1"/>
  <c r="Y44" i="1"/>
  <c r="X44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Z39" i="1"/>
  <c r="Y39" i="1"/>
  <c r="X39" i="1"/>
  <c r="W39" i="1"/>
  <c r="V39" i="1"/>
  <c r="U39" i="1"/>
  <c r="T39" i="1"/>
  <c r="S39" i="1"/>
  <c r="R39" i="1"/>
  <c r="Q39" i="1"/>
  <c r="P39" i="1"/>
  <c r="Z38" i="1"/>
  <c r="Y38" i="1"/>
  <c r="X38" i="1"/>
  <c r="W38" i="1"/>
  <c r="V38" i="1"/>
  <c r="U38" i="1"/>
  <c r="T38" i="1"/>
  <c r="S38" i="1"/>
  <c r="R38" i="1"/>
  <c r="Q38" i="1"/>
  <c r="P38" i="1"/>
  <c r="AA37" i="1"/>
  <c r="Z37" i="1"/>
  <c r="Y37" i="1"/>
  <c r="X37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S28" i="1"/>
  <c r="R28" i="1"/>
  <c r="Q28" i="1"/>
  <c r="P28" i="1"/>
  <c r="S27" i="1"/>
  <c r="R27" i="1"/>
  <c r="Q27" i="1"/>
  <c r="P27" i="1"/>
  <c r="W26" i="1"/>
  <c r="V26" i="1"/>
  <c r="U26" i="1"/>
  <c r="T26" i="1"/>
  <c r="S26" i="1"/>
  <c r="R26" i="1"/>
  <c r="Q26" i="1"/>
  <c r="P26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U22" i="1"/>
  <c r="T22" i="1"/>
  <c r="S22" i="1"/>
  <c r="R22" i="1"/>
  <c r="Q22" i="1"/>
  <c r="P22" i="1"/>
  <c r="U21" i="1"/>
  <c r="T21" i="1"/>
  <c r="S21" i="1"/>
  <c r="R21" i="1"/>
  <c r="Q21" i="1"/>
  <c r="P21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A14" i="1"/>
  <c r="Z14" i="1"/>
  <c r="Y14" i="1"/>
  <c r="X14" i="1"/>
  <c r="W14" i="1"/>
  <c r="V14" i="1"/>
  <c r="U14" i="1"/>
  <c r="T14" i="1"/>
  <c r="S14" i="1"/>
  <c r="R14" i="1"/>
  <c r="Q14" i="1"/>
  <c r="P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Q10" i="1"/>
  <c r="P10" i="1"/>
  <c r="Q9" i="1"/>
  <c r="P9" i="1"/>
  <c r="Q8" i="1"/>
  <c r="P8" i="1"/>
  <c r="Q7" i="1"/>
  <c r="P7" i="1"/>
  <c r="U6" i="1"/>
  <c r="T6" i="1"/>
  <c r="S6" i="1"/>
  <c r="R6" i="1"/>
  <c r="Q6" i="1"/>
  <c r="P6" i="1"/>
  <c r="P5" i="1"/>
  <c r="P4" i="1"/>
  <c r="P3" i="1"/>
  <c r="R2" i="1"/>
  <c r="Q2" i="1"/>
  <c r="P2" i="1"/>
</calcChain>
</file>

<file path=xl/sharedStrings.xml><?xml version="1.0" encoding="utf-8"?>
<sst xmlns="http://schemas.openxmlformats.org/spreadsheetml/2006/main" count="2501" uniqueCount="757">
  <si>
    <t>Категория</t>
  </si>
  <si>
    <t>Подкатегория</t>
  </si>
  <si>
    <t>Бренд</t>
  </si>
  <si>
    <t>Страна</t>
  </si>
  <si>
    <t>Артикул</t>
  </si>
  <si>
    <t>ШтрихКод</t>
  </si>
  <si>
    <t>Наименование для сайта</t>
  </si>
  <si>
    <t>Размер игрушки</t>
  </si>
  <si>
    <t>Упаковка</t>
  </si>
  <si>
    <t>Габариты упаковки</t>
  </si>
  <si>
    <t>Объем, м3</t>
  </si>
  <si>
    <t>Вес, кг</t>
  </si>
  <si>
    <t>Материалы</t>
  </si>
  <si>
    <t>Базовые характеристики</t>
  </si>
  <si>
    <t>Фотографии</t>
  </si>
  <si>
    <t>Фотографии 1</t>
  </si>
  <si>
    <t>Фотографии 2</t>
  </si>
  <si>
    <t>Фотографии 3</t>
  </si>
  <si>
    <t>Фотографии 4</t>
  </si>
  <si>
    <t>Фотографии 5</t>
  </si>
  <si>
    <t>Фотографии 6</t>
  </si>
  <si>
    <t>Фотографии 7</t>
  </si>
  <si>
    <t>Фотографии 8</t>
  </si>
  <si>
    <t>Фотографии 9</t>
  </si>
  <si>
    <t>Фотографии 10</t>
  </si>
  <si>
    <t>Фотографии 11</t>
  </si>
  <si>
    <t>Фотографии 12</t>
  </si>
  <si>
    <t>Фотографии 13</t>
  </si>
  <si>
    <t>Фотографии 14</t>
  </si>
  <si>
    <t>Фотографии 15</t>
  </si>
  <si>
    <t>Фотографии 16</t>
  </si>
  <si>
    <t>Фотографии 17</t>
  </si>
  <si>
    <t>Фотографии 18</t>
  </si>
  <si>
    <t>Фотографии 19</t>
  </si>
  <si>
    <t>Фотографии 20</t>
  </si>
  <si>
    <t>Фотографии 21</t>
  </si>
  <si>
    <t>Фотографии 22</t>
  </si>
  <si>
    <t>Фотографии 23</t>
  </si>
  <si>
    <t>Фотографии 24</t>
  </si>
  <si>
    <t>Фотографии 25</t>
  </si>
  <si>
    <t>Фотографии 26</t>
  </si>
  <si>
    <t>Фотографии 27</t>
  </si>
  <si>
    <t>Фотографии 28</t>
  </si>
  <si>
    <t>Фотографии 29</t>
  </si>
  <si>
    <t>Фотографии 30</t>
  </si>
  <si>
    <t>Фотографии 31</t>
  </si>
  <si>
    <t>Фотографии 32</t>
  </si>
  <si>
    <t>Фотографии 33</t>
  </si>
  <si>
    <t>Фотографии 34</t>
  </si>
  <si>
    <t>Фотографии 35</t>
  </si>
  <si>
    <t>Фотографии 36</t>
  </si>
  <si>
    <t>Фотографии 37</t>
  </si>
  <si>
    <t>Фотографии 38</t>
  </si>
  <si>
    <t>Фотографии 39</t>
  </si>
  <si>
    <t>Медиаконтент</t>
  </si>
  <si>
    <t>Доставка</t>
  </si>
  <si>
    <t>ТНВЭД</t>
  </si>
  <si>
    <t>true</t>
  </si>
  <si>
    <t>Аксессуары</t>
  </si>
  <si>
    <t>Nebulous Stars</t>
  </si>
  <si>
    <t>Канада</t>
  </si>
  <si>
    <t>11433-1_NSDA</t>
  </si>
  <si>
    <t>Серия: Nebulia. Пластиковая бутылка для воды с трубочкой, BPA FREE</t>
  </si>
  <si>
    <t>7,3х24,5х7,3</t>
  </si>
  <si>
    <t>Без упаковки</t>
  </si>
  <si>
    <t>Пластик</t>
  </si>
  <si>
    <t>Бутылка для воды, пластиковая, с зкручивающейся крышкой - красивый аксессуар с изображением героини Туманной галактики, удобная в использовании. Внутрь бутылочки встроена яркая трубочка в виде спирали, что позволяет пить воду, не откручивая крышки.
Бутылочка предназначена для детей старше 6 лет.
Комплектация: бутылка пластиковая.
Размер индивидуальной упаковки: 7,3х7,3х24,5 см</t>
  </si>
  <si>
    <t>11433-2_NSDA</t>
  </si>
  <si>
    <t>Серия: Marinia. Пластиковая бутылка для воды с трубочкой, BPA FREE</t>
  </si>
  <si>
    <t>11433-3_NSDA</t>
  </si>
  <si>
    <t>Серия: Petulia. Пластиковая бутылка для воды с трубочкой, BPA FREE</t>
  </si>
  <si>
    <t>11433-4_NSDA</t>
  </si>
  <si>
    <t>Серия: Isadora. Пластиковая бутылка для воды с трубочкой, BPA FREE</t>
  </si>
  <si>
    <t>11456_NSDA</t>
  </si>
  <si>
    <t>Серия: Nenuphia. Бутылка спортивная с силиконовой трубкой и дозатором, для девочек</t>
  </si>
  <si>
    <t>8,5х8,5х19,5</t>
  </si>
  <si>
    <t>Подарочный короб закрытый</t>
  </si>
  <si>
    <t>Бутылка спортивная, предназначена для использования в длинной поездке или при занятии спортом. 
Внутрь бутылочки встроена силиконовая трубочка, что обеспечивает доступ к напитку со дна бутылки. 
Крышка выполнена из ультрасовременного экологически чистого пластика, имеет защёлкивающийся механизм и кнопку-дозатор. 
Крепкий силиконовый держатель даёт возможность закрепить бутылочку во время активного отдыха или занятием спортом на велосипед, самокат, спортивный тренажёр, на элементы одежды.
Бутылочка предназначена для детей старше 6 лет.
Комплектация: бутылка пластиковая.
Размер индивидуальной упаковки: 8,5х8,5х19,2 см</t>
  </si>
  <si>
    <t>11519-1_NSDA</t>
  </si>
  <si>
    <t>Серия: Estrelia. Массажная щетка для волос</t>
  </si>
  <si>
    <t>7,5х4х24,5</t>
  </si>
  <si>
    <t>Яркая массажная щётка для волос с изображением звёздочки Галактики Nebulous Stars. Она очень лёгкая и удобная, легко поместится в рюкзак, изготовлена из безопасных и приятных на ощупь материалов. Мягкие щетинки исключат риск повреждения волос и кожи, нежно массируют голову, что способствует росту волос. Щётка легко моется и не скользит в руке 
Набор предназначен для детей старше 6 лет.
Комплектация: массажная щётка для волос.
Размер индивидуальной упаковки: 7,5х4х24,5 см</t>
  </si>
  <si>
    <t>11519-2_NSDA</t>
  </si>
  <si>
    <t>Серия: Coralia. Массажная щетка для волос</t>
  </si>
  <si>
    <t>11519-3_NSDA</t>
  </si>
  <si>
    <t>Серия: Petulia. Массажная щетка для волос</t>
  </si>
  <si>
    <t>11519-4_NSDA</t>
  </si>
  <si>
    <t>Серия: Iceana. Массажная щетка для волос</t>
  </si>
  <si>
    <t>Пакет</t>
  </si>
  <si>
    <t>Пластик, текстиль</t>
  </si>
  <si>
    <t>Дерево, пластик</t>
  </si>
  <si>
    <t>Куклы и куколки</t>
  </si>
  <si>
    <t>Куклы Nebulous</t>
  </si>
  <si>
    <t>11601_NSDA</t>
  </si>
  <si>
    <t>Серия Nebulia: Кукла Nebulia (38 см)</t>
  </si>
  <si>
    <t>21,5х11х43</t>
  </si>
  <si>
    <t>Пластиковая кукла Nebulia, высотой 38 см, с длинными волосами. Одета в серебристые леггинсы, топ на бретелях, юбку из фиолетовой органзы, темно-синий жакет-болеро, съёмные туфли и шляпу. В комплект также входит полная история звёздочки и ее любимой питомицы. 
Игрушка предназначена для детей старше 3 лет.
Комплектация: кукла Nebulia (38 см), съёмные туфли из ПВХ, серебристые леггинсы, топ на бретелях, юбка из фиолетовой органзы с принтом, темно-синий жакет-болеро, съёмный головной убор, браслеты и пояс, инкрустированный драгоценными стразами, полная история звёздочки Nebulia.
Размер индивидуальной упаковки: 21,6 х 43,2 х 10,8 см</t>
  </si>
  <si>
    <t>11602_NSDA</t>
  </si>
  <si>
    <t>Серия Marinia: Кукла Marinia (38 см)</t>
  </si>
  <si>
    <t>Пластиковая кукла Marinia, высотой 38 см, с длинными волосами. Одета в атласное платье с принтом и блестящей оборкой, головной убор и туфли.  В комплект входит полная история звёздочки и ее любимой питомицы. 
Игрушка предназначена для детей старше 3 лет.
Комплектация: кукла Marinia (38 см), съёмные туфли из ПВХ, атласное платье с принтом и блестящей оборкой, головной убор, браслеты, пояс, полная история звёздочки Marinia.
Размер индивидуальной упаковки: 21,6 х 43,2 х 10,8 см</t>
  </si>
  <si>
    <t>11603_NSDA</t>
  </si>
  <si>
    <t>Серия Petulia: Кукла Petulia (38 см)</t>
  </si>
  <si>
    <t>Пластиковая кукла Petulia, высотой 38 см, с длинными волосами. Одета в атласное платье с принтом и блестящей оборкой, головной убор и туфли.  В комплект входит полная история звёздочки и её любимой питомицы. 
Игрушка предназначена для детей старше 3 лет.
Комплектация: кукла Petulia (38 см), съёмные сапоги из ПВХ, атласное платье с блестящим принтом, ожерелье, нарукавные повязки, пояс, полная история звёздочки Petulia.
Размер индивидуальной упаковки: 21,6 х 43,2 х 10,8 см</t>
  </si>
  <si>
    <t>11604_NSDA</t>
  </si>
  <si>
    <t>Серия Isadora: Кукла Isadora (38 см)</t>
  </si>
  <si>
    <t>Пластиковая кукла Petulia, высотой 38 см, с длинными волосами. Одета в блестящий комбинезон с принтом и съёмной оборкой, леггинсы, перчатки с принтом и серебристые сапоги. 
В комплект входит полная история звёздочки и её любимой питомицы. 
Игрушка предназначена для детей старше 3 лет.
Комплектация: кукла Isadora (38 см), блестящий комбинезон с принтом и съёмной оборкой, леггинсы, перчатки с принтом, серебристые сапоги, ремни, ожерелье, полная история звёздочки Isadora.
Размер индивидуальной упаковки: 21,6 х 43,2 х 10,8 см</t>
  </si>
  <si>
    <t>Текстиль, пластик</t>
  </si>
  <si>
    <t>Пластик, металл</t>
  </si>
  <si>
    <t>Фигурки животных</t>
  </si>
  <si>
    <t>Дерево, пластик, текстиль</t>
  </si>
  <si>
    <t>11442_NSDA</t>
  </si>
  <si>
    <t>Серия Space: Набор игрушек - фигурок персонажей Галактики Nebulous Stars (питомцы)</t>
  </si>
  <si>
    <t>11,2х10,6х3,2</t>
  </si>
  <si>
    <t>Набор фигурок в виде персонажей Галактики Nebulous Stars - сказочных питомцев звездочек. 
У каждой фигурки предусмотрена индивидуальная картонная упаковка в форме звезды. Маленькие питомцы очень похожи на своих сказочных персонажей.
Набор предназначен для детей старше 7 лет.
Комплектация: 1 случайная коллекционная фигурка-питомец Галактики Nebulous Stars в индивидуальной упаковке.
Размер индивидуальной упаковки: 11,2х10,6х3,2 см</t>
  </si>
  <si>
    <t>Игрушки</t>
  </si>
  <si>
    <t>Мягкие игрушки</t>
  </si>
  <si>
    <t>Текстиль</t>
  </si>
  <si>
    <t>11624_NSDA</t>
  </si>
  <si>
    <t>Серия Stella: Мягкая игрушка Стелла</t>
  </si>
  <si>
    <t>15х12х20</t>
  </si>
  <si>
    <t>Мягкая игрушка Стелла - питомец звёздочки Nebulia.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Стелла
Размер индивидуальной упаковки: 15 х 20 х 12 см</t>
  </si>
  <si>
    <t>11625_NSDA</t>
  </si>
  <si>
    <t>Серия Octavia: Мягкая игрушка Октавия</t>
  </si>
  <si>
    <t>17х13х20</t>
  </si>
  <si>
    <t>Мягкая игрушка Октавия - питомец звёздочки Marinia.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Октавия
Размер индивидуальной упаковки: 17 х 20 х 13 см</t>
  </si>
  <si>
    <t>11626_NSDA</t>
  </si>
  <si>
    <t>Серия Lyria: Мягкая игрушка Лирия</t>
  </si>
  <si>
    <t>19х14х22</t>
  </si>
  <si>
    <t>Мягкая игрушка Лирия - питомец звёздочки Coralia.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Лирия
Размер индивидуальной упаковки: 19 х 20 х 14 см</t>
  </si>
  <si>
    <t>11627_NSDA</t>
  </si>
  <si>
    <t>Серия Elana: Мягкая игрушка Элана</t>
  </si>
  <si>
    <t>19х20х23</t>
  </si>
  <si>
    <t>Мягкая игрушка в образе Элана - питомец звёздочки Hazelia.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Элана
Размер индивидуальной упаковки: 19 х 23 х 20 см</t>
  </si>
  <si>
    <t>11628_NSDA</t>
  </si>
  <si>
    <t>Серия Louna: Мягкая игрушка Луна</t>
  </si>
  <si>
    <t>19х12х20</t>
  </si>
  <si>
    <t>Мягкая игрушка в образе Луна - питомец звёздочки Eclipsia.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Луна
Размер индивидуальной упаковки: 19 х 20 х 12 см</t>
  </si>
  <si>
    <t>11629_NSDA</t>
  </si>
  <si>
    <t>Серия Blizzia: Мягкая игрушка Блицция</t>
  </si>
  <si>
    <t>19х12х19</t>
  </si>
  <si>
    <t>Мягкая игрушка Блицция - питомец звёздочки Iceana.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Блицция
Размер индивидуальной упаковки: 19 х 19 х 12 см</t>
  </si>
  <si>
    <t>11630_NSDA</t>
  </si>
  <si>
    <t>Серия Paloma: Мягкая игрушка Палома</t>
  </si>
  <si>
    <t>18х17х24</t>
  </si>
  <si>
    <t>Мягкая игрушка Палома - питомец звёздочки Petulia.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Палома
Размер индивидуальной упаковки: 18 х 24 х 17 см</t>
  </si>
  <si>
    <t>11631_NSDA</t>
  </si>
  <si>
    <t>Серия Aura: Мягкая игрушка Аура</t>
  </si>
  <si>
    <t>16х20х21</t>
  </si>
  <si>
    <t>Мягкая игрушка Аура - питомец звёздочки Isadora.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Аура
Размер индивидуальной упаковки: 16 х 21 х 20 см</t>
  </si>
  <si>
    <t>11632_NSDA</t>
  </si>
  <si>
    <t>Серия Lumina: Мягкая игрушка Люмина</t>
  </si>
  <si>
    <t>25,5х10х24</t>
  </si>
  <si>
    <t>Мягкая игрушка Люмина - питомец звёздочки Orelia.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Люмина
Размер индивидуальной упаковки: 25,5 х 24 х 10 см</t>
  </si>
  <si>
    <t>11633_NSDA</t>
  </si>
  <si>
    <t>Серия Astria: Мягкая игрушка Астрия</t>
  </si>
  <si>
    <t>Мягкая игрушка Астрия - питомец звёздочки Estrelia.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Астрия
Размер индивидуальной упаковки: 25,5 х 24 х 10 см</t>
  </si>
  <si>
    <t>11634_NSDA</t>
  </si>
  <si>
    <t>Серия Lylia: Мягкая игрушка Лиля</t>
  </si>
  <si>
    <t>Мягкая игрушка Лиля - питомец звёздочки Estrelia. Игрушка полностью повторяет свой рисованный образ, выполнена из ярких материалов высокого качества (ткань, искусственный мех) и декорирована специальной фурнитурой.
Комплектация: мягкая игрушка Лиля
Размер индивидуальной упаковки: 25,5 х 24 х 10 см</t>
  </si>
  <si>
    <t>Развивалки</t>
  </si>
  <si>
    <t>Настольные игры, мозаики, пазлы</t>
  </si>
  <si>
    <t>21х21х1</t>
  </si>
  <si>
    <t>Бумага, дерево</t>
  </si>
  <si>
    <t>Бумага</t>
  </si>
  <si>
    <t>Пластик, бумага</t>
  </si>
  <si>
    <t>Пластик, текстиль, металл</t>
  </si>
  <si>
    <t>11652_NSDA</t>
  </si>
  <si>
    <t>Серия Marinia: Набор пазлов для девочек (100 элементов)</t>
  </si>
  <si>
    <t>23х4х31</t>
  </si>
  <si>
    <t>Набор пазлов серии Isadora. Составление картины из 100 элементов.
Головоломка предназначена для детей старше 6 лет.
Комплектация: 100 элементов пазла.
Размер индивидуальной упаковки: 23 х 31 х 4 см</t>
  </si>
  <si>
    <t>11653_NSDA</t>
  </si>
  <si>
    <t>Серия Iceana: Набор пазлов для девочек (100 элементов)</t>
  </si>
  <si>
    <t>Набор пазлов серии Iceana. Составление картины из 100 элементов.
Головоломка предназначена для детей старше 6 лет.
Комплектация: 100 элементов пазла.
Размер индивидуальной упаковки: 23 х 31 х 4 см</t>
  </si>
  <si>
    <t>11661_NSDA</t>
  </si>
  <si>
    <t>Серия Petulia: Набор пазлов для девочек (200 элементов)</t>
  </si>
  <si>
    <t>Набор пазлов серии Petulia. Составление картины из 200 элементов.
Головоломка предназначена для детей старше 6 лет.
Комплектация: 200 элементов пазла.
Размер индивидуальной упаковки: 23 х 31 х 4 см</t>
  </si>
  <si>
    <t>11662_NSDA</t>
  </si>
  <si>
    <t>Серия Isadora: Набор пазлов для девочек (200 элементов)</t>
  </si>
  <si>
    <t>Набор пазлов серии Isadora. Составление картины из 200 элементов.
Головоломка предназначена для детей старше 6 лет.
Комплектация: 200 элементов пазла.
Размер индивидуальной упаковки: 23 х 31 х 4 см</t>
  </si>
  <si>
    <t>11671_NSDA</t>
  </si>
  <si>
    <t>Серия Nebulia: Набор пазлов для девочек (300 элементов)</t>
  </si>
  <si>
    <t>Набор пазлов серии Nebulia. Составление картины из 300 элементов.
Головоломка предназначена для детей старше 6 лет.
Комплектация: 300 элементов пазла.
Размер индивидуальной упаковки: 23 х 31 х 4 см</t>
  </si>
  <si>
    <t>11681_NSDA</t>
  </si>
  <si>
    <t>Серия Hazelia: Набор пазлов для девочек (1000 элементов)</t>
  </si>
  <si>
    <t>37,5х27х5,2</t>
  </si>
  <si>
    <t>Набор пазлов серии Nebulia. Составление картины из 1000 элементов.
Головоломка предназначена для детей старше 6 лет.
Комплектация: 1000 элементов пазла.
Размер индивидуальной упаковки: 37,5 х 5,2 х 27 см</t>
  </si>
  <si>
    <t>11682_NSDA</t>
  </si>
  <si>
    <t>Серия Coralia: Набор пазлов для девочек (1000 элементов)</t>
  </si>
  <si>
    <t>Набор пазлов серии Coralia. Составление картины из 1000 элементов.
Головоломка предназначена для детей старше 6 лет.
Комплектация: 1000 элементов пазла.
Размер индивидуальной упаковки: 37,5 х 5,2 х 27 см</t>
  </si>
  <si>
    <t>11683_NSDA</t>
  </si>
  <si>
    <t>Набор пазлов серии Orelia. Составление картины из 1000 элементов.
Головоломка предназначена для детей старше 6 лет.
Комплектация: 1000 элементов пазла.
Размер индивидуальной упаковки: 37,5 х 5,2 х 27 см</t>
  </si>
  <si>
    <t>11684_NSDA</t>
  </si>
  <si>
    <t>Серия Eclipsia: Набор пазлов для девочек (1000 элементов)</t>
  </si>
  <si>
    <t>Набор пазлов серии Eclipsia. Составление картины из 1000 элементов.
Головоломка предназначена для детей старше 6 лет.
Комплектация: 1000 элементов пазла.
Размер индивидуальной упаковки: 37,5 х 5,2 х 27 см</t>
  </si>
  <si>
    <t>Бумага, пластик</t>
  </si>
  <si>
    <t>22х6х28</t>
  </si>
  <si>
    <t>Творчество</t>
  </si>
  <si>
    <t>Раскраска</t>
  </si>
  <si>
    <t>16х2х21,7</t>
  </si>
  <si>
    <t>22х2,8х26</t>
  </si>
  <si>
    <t>11026_NSDA</t>
  </si>
  <si>
    <t>Серия Orelia: Раскраска для девочек (12 картинок на черном фоне, 5 маркеров)</t>
  </si>
  <si>
    <t>Раскраска для девочек скетчбук с бархатными страницами. Создание магических картин с помощью 12 эскизов и 5 мини-маркеров, входящих в комплект. Маркеры хранятся в специальном отсеке блокнота.
К набору прилагается подробная инструкция и буклет с историей звёздочки Orelia.
Набор предназначен для детей старше 7 лет.
Комплектация: 12 магических бархатных страниц, 5 мини фломастеров, полная история звёздочки Orelia, инструкция.
Размер индивидуальной упаковки: 16 х 2 х 21,7 см</t>
  </si>
  <si>
    <t>https://youtu.be/EHJB9rF_fVU</t>
  </si>
  <si>
    <t>11101_NSDA</t>
  </si>
  <si>
    <t>Серия Nebulia: Набор для рисования и творчества для девочки "Неоновый скетчбук" (35 белых скетч страниц, 5 двухцветных карандашей)</t>
  </si>
  <si>
    <t>22,2х3х30</t>
  </si>
  <si>
    <t>Пластик, бумага, дерево</t>
  </si>
  <si>
    <t>Раскраска для девочек - скетчбук с набором трафаретов, рисунков для втирания, наклеек и техник рисования. Разукрашивание и декорирование 35 готовых эскизов с помощью цветных карандашей, трафаретов с одеждой и аксессуарами и большого количества наклеек. Карандаши неонового цвета хранятся в специализированном отсеке. 
К набору прилагается подробная инструкция и буклет с историей звёздочки Nebulia.
Набор предназначен для детей старше 6 лет.
Комплектация: 35 страниц с эскизами, 80 трафаретов, 3 рисунка для втирания, 300 наклеек, 5 цветных карандашей, 8 техник рисования, полная история звездочки Nebulia, теория цвета, инструкция.
Размер индивидуальной упаковки: 22,2 х 3 х 30 см</t>
  </si>
  <si>
    <t>https://youtu.be/w3gk9coCG-s</t>
  </si>
  <si>
    <t>11103_NSDA</t>
  </si>
  <si>
    <t>Серия Petulia: Набор для раскрашивания для девочек "Персиковый скетчбук" (35 белых скетч страниц, 5 двухцветных карандашей)</t>
  </si>
  <si>
    <t>Раскраска для девочек - скетчбук с набором трафаретов, рисунков для втирания, наклеек и техник рисования. Создание модной коллекции из 35 страниц с готовыми эскизами с помощью цветных карандашей, трафаретов одежды и аксессуаров и большого количества наклеек.
К набору прилагается подробная инструкция и буклет с историей звёздочки Petulia.
Набор предназначен для детей старше 6 лет.
Комплектация: 35 страниц с эскизами, 80 трафаретов, 3 рисунка для втирания, 300 наклеек, 5 цветных карандашей, 8 техник рисования, полная история звёздочки Petulia, теория цвета, инструкция.
Размер индивидуальной упаковки: 22,2 х 3 х 30 см</t>
  </si>
  <si>
    <t>11111_NSDA</t>
  </si>
  <si>
    <t>Серия Coralia: Раскраска для девочек (60 черных скетч страниц, 8 неоновых гелевых ручек)</t>
  </si>
  <si>
    <t>Раскраска для девочек - скетчбук на пружине с эскизами на страницах черного цвета. Создание яркой коллекции рисунков с помощью неоновых гелевых фломастеров. 
К набору прилагается подробная инструкция и буклет с историей звёздочки Coralia.
Раскраска предназначена для детей старше 6 лет.
Комплектация: 60 листов черного цвета, 8 неоновых гелевых фломастеров, полная история звёздочки Coralia.
Размер индивидуальной упаковки: 22,2 х 2,8 х 26 см</t>
  </si>
  <si>
    <t>https://youtu.be/IJ43ksPG7oY</t>
  </si>
  <si>
    <t>11119_NSDA</t>
  </si>
  <si>
    <t>Серия Nebulia: Набор для рисования "Волшебная акварель" (5 досок, краски, 2 кисти)</t>
  </si>
  <si>
    <t>22,5х4,5х28</t>
  </si>
  <si>
    <t>Набор для раскрашивания пяти полотен с готовыми эскизами. Контуры нанесенного рисунка покрыты лаком, благодаря чему акварель остаётся только в нужных местах, и картина светится в темноте. К набору прилагается подробная инструкция и буклет с историей звездочки Nebulia.
Набор предназначен для детей старше 6 лет.
Комплектация: 5 волшебных досок для акварели с эскизами, набор акварельных красок (12 цветов), 2 кисти для рисования. полная история звездочки Nebulia, инструкция.
Размер индивидуальной упаковки: 22,2 х 4,5 х 27,9 см</t>
  </si>
  <si>
    <t>11121_NSDA</t>
  </si>
  <si>
    <t>Серия Eclipsia: Раскраска для девочек (30 черных скетч страниц, 5 неоновых гелевых ручек, 1 карандаш)</t>
  </si>
  <si>
    <t>22,2х2,2х30</t>
  </si>
  <si>
    <t>Раскраска для девочек скетчбук для создания дизайнерских образов.
Разукрашивание и декорирование эскизов на бумаге черного цвета с помощью трафаретов с одеждой и аксессуарами, цветных наклеек, специальных техник рисования, неоновых ручек и карандашей.
К набору прилагается подробная инструкция и буклет с историей звёздочки Eclipsia.
Набор предназначен для детей старше 7 лет.
Комплектация: 30 страниц для эскизов черного цвета, 80 трафаретов, 110 необычных наклеек, 70 цветных наклеек, белый карандаш, 5 гелевых ручек с неоновыми чернилами, 1 карандаш, 8 техник рисования, полная история звёздочки Eclipsia, инструкция.
Размер индивидуальной упаковки: 22,2 х 2,2 х 30 см</t>
  </si>
  <si>
    <t>https://youtu.be/VCQUfCP73JQ</t>
  </si>
  <si>
    <t>11122_NSDA</t>
  </si>
  <si>
    <t>Серия Iceana: Раскраска для девочек (30 черных скетч страниц, 5 гелевых ручек с эффектом металлик, 1 карандаш)</t>
  </si>
  <si>
    <t>Пластик, бумага, ткань</t>
  </si>
  <si>
    <t>Раскраска для девочки - скетчбук для создания дизайнерских образов. 
Разукрашивание и декорирование готовых эскизов с помощью трафаретов с одеждой и аксессуарами, цветных наклеек, специальных техник рисования, неоновых ручек и карандашей.
К набору прилагается подробная инструкция и буклет с историей звёздочки Iceana.
Набор предназначен для детей старше 7 лет.
Комплектация: 30 страниц с эскизами, 80 трафаретов, более 110 необычных наклеек, карандаш (цвет серый), 5 фломастеров, 8 техник рисования, полная история звёздочки Iceana, инструкция.
Размер индивидуальной упаковки: 22,2 х 2,2 х 30 см</t>
  </si>
  <si>
    <t>https://youtu.be/tEy0SUw8ojc</t>
  </si>
  <si>
    <t>11132_NSDA</t>
  </si>
  <si>
    <t>Серия Nenuphia: Раскраска для девочек (35 скетч страниц, 5 цветных карандашей)</t>
  </si>
  <si>
    <t>22х3х30</t>
  </si>
  <si>
    <t>Бумага, пластик, дерево</t>
  </si>
  <si>
    <t>Раскраска для девочек, скетчбук для создания дизайнерских образов.
Разукрашивание и декорирование эскизов с помощью трафаретов с одеждой и аксессуарами, наклеек, специальных техник для рисования, цветных карандашей.
К набору прилагается подробная инструкция и буклет с историей звёздочки Nenuphia.
Набор предназначен для детей старше 7 лет.
Комплектация: 35 страниц с эскизами, более 80 трафаретов, 3 рисунка для втирания, 250 наклеек, 5 цветных карандашей, 8 техник для рисования, полная история звёздочки Nenuphia, инструкция.
Размер индивидуальной упаковки: 22,2 х 29,9 х 3 см</t>
  </si>
  <si>
    <t>11133_NSDA</t>
  </si>
  <si>
    <t>Серия Estrelia: Раскраска для девочек (20 иллюстраций, 15 акварельных карандашей, кисть для растушевки)</t>
  </si>
  <si>
    <t>30х2,7х23</t>
  </si>
  <si>
    <t>Раскраска для девочек - скетчбук для создания акварельных рисунков по эскизам, нарисованным от руки. Разукрашивание картинок с помощью акварельных карандашей с последующей растушёвкой специальной кистью.
К набору прилагается подробная инструкция и буклет с историей звёздочки Estrelia.
Набор предназначен для детей старше 6 лет.
Комплектация: 20 эскизов для разукрашивания, 15 цветных карандашей, кисть для растушёвки, классическая кисточка, полная история звёздочки Estrelia, инструкция.
Размер индивидуальной упаковки: 30 х 2,7 х 23 см</t>
  </si>
  <si>
    <t>https://youtu.be/gacBxlvBRzA</t>
  </si>
  <si>
    <t>11136_NSDA</t>
  </si>
  <si>
    <t>Серия Isadora: Раскраска для девочек (60 черных скетч страниц, 8 гелевых ручек с эффектом металлик)</t>
  </si>
  <si>
    <t>Раскраска для девочек - скетчбук на пружине. Разукрашивание эскизов на бумаге черного цвета с помощью ярких неоновых фломастеров, хранящихся в специальном отсеке блокнота
К набору прилагается подробная инструкция и буклет с историей звёздочки Isadora.
Раскраска предназначена для детей старше 6 лет.
Комплектация: 60 страниц для раскрашивания, 8 гелевых ручек, полная история звёздочки Isadora.
Размер индивидуальной упаковки: 22 х 2,8 х 26 см</t>
  </si>
  <si>
    <t>https://youtu.be/9SrvCiJoubk</t>
  </si>
  <si>
    <t>11138_NSDA</t>
  </si>
  <si>
    <t>Серия Nebulia. Раскраска для девочек (60 иллюстраций)</t>
  </si>
  <si>
    <t>22,5х1х28</t>
  </si>
  <si>
    <t>Раскраска для девочек, включает 60 страниц иллюстраций с изображением звёздочек туманной галактики Nebulous, истории их жизни, любви и дружбы.
Набор предназначен для детей старше 6 лет.
Комплектация: раскраска (60 страниц).
Размер индивидуальной упаковки: 22,3 х 0,9 х 28 см</t>
  </si>
  <si>
    <t>11371_NSDA</t>
  </si>
  <si>
    <t>Серия Space: Раскраска для девочек (35 скетч страниц, 12 карандашей, трафареты, наклейки)</t>
  </si>
  <si>
    <t>31,5х2,3х30</t>
  </si>
  <si>
    <t>Раскраска для девочек - скетчбук с 35 эскизами на фиолетовой. Разукрашивание и декорирование рисунков с помощью трафаретов, цветных наклеек, специальных техник рисования и цветных карандашей. Создание альбома единорогов.
К набору прилагается подробная инструкция и буклет с историей единорогов Firiaz и Daliaz.
Предназначен для детей старше 6 лет.
Комплектация: 35 фиолетовых страниц c эскизами, 80 трафаретов, 4 рисунка для втирания, 250 наклеек, 12 цветных карандашей, 12 техник рисования и история единорогов.
Размер индивидуальной упаковки: 31,5 х 2,3 х 30 см</t>
  </si>
  <si>
    <t>https://youtu.be/kvUBhc1vBO4</t>
  </si>
  <si>
    <t>11372_NSDA</t>
  </si>
  <si>
    <t>Серия Water: Раскраска для девочек (35 скетч страниц, 12 карандашей, трафареты, наклейки)</t>
  </si>
  <si>
    <t>Раскраска для девочек - скетчбук с 35 эскизами на фиолетовой. Разукрашивание и декорирование рисунков с помощью трафаретов, цветных наклеек, специальных техник рисования и цветных карандашей. Создание альбома единорогов.
К набору прилагается подробная инструкция и буклет с историей единорогов Ariaz и Joyiaz.
Предназначен для детей старше 6 лет.
Комплектация: 35 фиолетовых страниц c эскизами, 80 трафаретов, 4 рисунка для втирания, 250 наклеек, 12 цветных карандашей, 12 техник рисования и история единорогов.
Размер индивидуальной упаковки: 31,5 х 2,3 х 30 см</t>
  </si>
  <si>
    <t>11373_NSDA</t>
  </si>
  <si>
    <t>Серия Space: Раскраска для девочек (35 розовых скетч страниц, 12 цветных карандашей)</t>
  </si>
  <si>
    <t>Раскраска для девочек – большой скетчбук с набором трафаретов, рисунков для втирания и специальных техник рисования. Разукрашивание и декорирование 35 готовых эскизов с помощью цветных карандашей, трафаретов и большого количества наклеек. Карандаши хранятся в специализированном отсеке. 
К набору прилагается подробная инструкция и история единорогов Lilyaz и Viviaz. 
Набор предназначен для детей старше 7 лет.
Комплектация: 35 розовых страниц с эскизами, 80 трафаретов, 4 рисунка для втирания, 250 наклеек, 12 цветных карандашей, 12 техник рисования, история единорогов Lilyaz и Viviaz, инструкция.
Размер индивидуальной упаковки: 31,5 х 30 х 2,3 см</t>
  </si>
  <si>
    <t>11423_NSDA</t>
  </si>
  <si>
    <t>Серия Eclipsia: Раскраска для девочек (16 черных эскизов, акварельные краски, кисть)</t>
  </si>
  <si>
    <t>18х3х11</t>
  </si>
  <si>
    <t>Набор для рисования по готовым эскизам на бумаге черного цвета. Создание 16 рисунков, используя акварельные краски с эффектом металлик и специальную кисть. 
Рекомендуется для детей в возрасте от 7 лет и старше.
Комплектация: 16 страниц черного цвета с готовыми эскизами, акварельные краски с эффектом металлик (8 цветов), акварельная кисть (многоразовая).
Размер индивидуальной упаковки: 18 х 11 х 3,1 см</t>
  </si>
  <si>
    <t>Набор для творчества</t>
  </si>
  <si>
    <t>25х9,8х30,5</t>
  </si>
  <si>
    <t>45,5х7х29</t>
  </si>
  <si>
    <t>11014_NSDA</t>
  </si>
  <si>
    <t>Серия Isadora: Набор для рисования техникой граттаж для девочек (21 трафарет в комплекте)</t>
  </si>
  <si>
    <t>16х3,8х20,3</t>
  </si>
  <si>
    <t>Набор для рисования в технике граттаж. Создание 5 рисунков путём снятия защитного слоя с основы для граттажа с помощью специального инструмента-скребка, дорисовка элементов, используя трафареты с разнообразными элементами.
К набору прилагается подробная инструкция и буклет с историей звёздочки.
Набор предназначен для детей старше 6 лет
Комплектация: 5 основ для граттажа, 2 инструмента-скребка, 21 трафарет, полная история звездочки Isadora, инструкция.
Размер индивидуальной упаковки: 16 х 3,8 х 20,3 см</t>
  </si>
  <si>
    <t>https://youtu.be/5WW2QP_uJg0</t>
  </si>
  <si>
    <t>11015_NSDA</t>
  </si>
  <si>
    <t>Серия Petulia: Детский набор для творчества "Ловец снов" (2 заготовки для поделок)</t>
  </si>
  <si>
    <t>Набор для творчества &amp;laquo;Ловец снов&amp;raquo;.  Создание волшебного амулета – защиты от плохих снов, используя специальную основы в форме глаз совы, нити, бусины, стразы и перья из набора. 
К набору прилагается подробная инструкция и буклет с историей звёздочки Petuliа.
Набор предназначен для детей старше 6 лет
В комплект входят: 2 светящиеся в темноте основы для ловца снов, хлопчатобумажные нити 2 цветов, 28 перьев, 28 бусин, 6 наклеек со стразами и ювелирный клей, цепочка для брелка, история звездочки, пошаговая инструкция.
Размер индивидуальной упаковки: 16 х 3,8 х 20,3 см</t>
  </si>
  <si>
    <t>https://youtu.be/d5Xaz7b7-Ww</t>
  </si>
  <si>
    <t>11017_NSDA</t>
  </si>
  <si>
    <t>Серия Hazelia: Набор для творчества для девочек "Волшебные витражи" (3 заготовки для витражной росписи, краски)</t>
  </si>
  <si>
    <t>Пластик, бумага, краски</t>
  </si>
  <si>
    <t>Набор для творчества &amp;laquo;Волшебные витражи&amp;raquo;. Создание 3-х витражей, используя специальные заготовки из набора, раскрашивание и декорирование стразами собранной поделки. Есть возможность крепления к стеклу с помощью присоски.
К набору прилагается подробная инструкция и буклет с историей звёздочки Hazelia.
Набор предназначен для детей старше 6 лет.
Комплектация: 13 шаблонов для раскрашивания, 5 цветов красок, кисть, бисер, шнур, стразы, 3 присоски, полная история звёздочки Hazelia, инструкция.
Размер индивидуальной упаковки: 16 х 3,8 х 20,3 см</t>
  </si>
  <si>
    <t>https://youtu.be/LjlcnYvtjr0</t>
  </si>
  <si>
    <t>11022_NSDA</t>
  </si>
  <si>
    <t>Серия Estrelia: Детский набор для создания украшений (ободок, резинка, заколка для волос)</t>
  </si>
  <si>
    <t>Набор для творчества по созданию аксессуаров для волос (ободок, заколка и резинка). Декорирование заготовок, с использованием тюли бусин и подвесок. 
К набору прилагается подробная инструкция по использованию материалов для украшения и правильного их крепления, а также буклет с историей звёздочки Estrellas.
Набор предназначен для детей старше 6 лет.
Комплектация: 3 основы из тюля, 1 основа для ободка, 1 основа для заколки, бусинки и подвески в ассортименте, эластичная резинка, полная история звёздочки Estrellas, инструкция.
Размер индивидуальной упаковки: 16 х 3,8 х 20,3 см</t>
  </si>
  <si>
    <t>https://youtu.be/t5VLMOWY9CY</t>
  </si>
  <si>
    <t>11104_NSDA</t>
  </si>
  <si>
    <t>Серия Isadora: Личный дневник для девочек для секретов (44 страницы с заданиями, 150 разлинованных страниц, 6-цветная ручка, замочек)</t>
  </si>
  <si>
    <t>22,2х4,5х28</t>
  </si>
  <si>
    <t>Личный дневник для хранения секретов. К страницам для записей дополнительно прилагаются интересные задания, игры, наклейки, элементы для декорирования, специальная ручка-аппликатор. Дневник закрывается на замок.
К набору прилагается подробная инструкция и буклет с историей звёздочки Isadora.
Набор предназначен для детей старше 7 лет.
Комплектация: 6-цветная шариковая ручка, волшебная ручка со светящимся колпачком, 44 страницы с интересными заданиями, страницу с наклейками, 150 разлинованных страниц, полная история звездочки Isadora.
Размер индивидуальной упаковки: 22,2 х 27,9 х 4,5 см</t>
  </si>
  <si>
    <t>11107_NSDA</t>
  </si>
  <si>
    <t>Серия Nebulia: Набор для создания украшений для девочек (5 кулонов - кристаллов)</t>
  </si>
  <si>
    <t>22,2х4,5х28,4</t>
  </si>
  <si>
    <t>Набор для создания волшебных украшений. Создание галактик в форме магических кристаллов, путём смешивания ингредиентов из набора внутри бутылочек, стилизованных под кристаллы. Можно носить как украшение в качестве подвески или брелока для ключей. 
К набору прилагается подробная инструкция и буклет с историей звёздочки Nebulia.
Набор предназначен для детей старше 7 лет.
Комплектация: 5 бутылочек в форме кристаллов, тюбик с блестящей пудрой, 4 флакона чернил, 3 талисмана, блестящая лента, ватные шарики, пластиковая пипетка, полная история звёздочки Nebulia, инструкция.
Размер индивидуальной упаковки: 22,2 х 4,5 х 28,4 см</t>
  </si>
  <si>
    <t>https://youtu.be/In9PPuxBaNQ</t>
  </si>
  <si>
    <t>11108_NSDA</t>
  </si>
  <si>
    <t>Серия Nebulia. Набор для создания украшений для девочек (более 4000 бусин, 8 амулетов)</t>
  </si>
  <si>
    <t>22,225х4,445х27,94</t>
  </si>
  <si>
    <t>Набор для создания волшебных украшений для девочек. Конструирование украшений (бусы, браслеты, подвески) с помощью бусин разных размеров, формы и цветов, а также, используя специальные эластичные нити для насаживания и амулеты в форме питомцев. К набору прилагается подробная инструкция.
Набор предназначен для детей старше 7 лет.
Комплектация: более 4000 бусин, 8 амулетов в форме питомцев звёздочек галактики Nebulous, эластичные нити, инструкция.
Размер индивидуальной упаковки: 22,2 х 4,6 х 27,9 см</t>
  </si>
  <si>
    <t>11115_NSDA</t>
  </si>
  <si>
    <t>Серия Marinia: Личный дневник для девочек для секретов (44 страницы с заданиями, 150 разлинованных страниц, 6-цветная ручка, замочек)</t>
  </si>
  <si>
    <t>Личный дневник для хранения секретов. К страницам для записей дополнительно прилагаются интересные задания, игры, наклейки, элементы для декорирования, специальная ручка-аппликатор. Дневник закрывается на замок.
К набору прилагается подробная инструкция и буклет с историей звёздочки Marinia.
Набор предназначен для детей старше 7 лет.
Комплектация: 6-цветная шариковая ручка, аппликатор с рисунками, 44 страницы с интересными заданиями, страница с наклейками, 150 разлинованных страниц, полная история звездочки Marinia.
Размер индивидуальной упаковки: 22,2 х 27,9 х 4,5 см</t>
  </si>
  <si>
    <t>11117_NSDA</t>
  </si>
  <si>
    <t>Серия Coralia: Игровой набор для создания украшений для девочек (браслеты)</t>
  </si>
  <si>
    <t>Пластик, бумага, ткань, металл</t>
  </si>
  <si>
    <t>Набор для творчества по созданию украшений для девочек &amp;laquo;браслетов дружбы&amp;raquo;. Плетение и декорирование браслетов с помощью специальных колёс для плетения, шёлковых нитей семи цветов, стразов, бусин и амулетов. Большое количество вариантов дизайна. 
К набору прилагается подробная инструкция и буклет с историей звёздочки Coralia.
Набор предназначен для детей старше 6 лет.
Комплектация: 3 колеса для размещения нитей, шёлковые нити 7 цветов, 18 амулетов, 18 бусин, 6 наклеек, 60 стразов, 6 застёжек, полная история звезды Coralia, инструкция.
Размер индивидуальной упаковки: 22,2 х 4,5 х 28,4 см</t>
  </si>
  <si>
    <t>https://youtu.be/akVUtX9NM-U</t>
  </si>
  <si>
    <t>11118_NSDA</t>
  </si>
  <si>
    <t>Серия Eclipsia: Набор для творчества "Каменный сад Дзен" (заготовки для поделки, стразы, краски, песок)</t>
  </si>
  <si>
    <t>Пластик, бумага, песок природный</t>
  </si>
  <si>
    <t>Набор для творчества по созданию каменного сада &amp;laquo;Дзен&amp;raquo;. Декорирование камней с помощью специальных инструментов и кисти, акриловых красок и трафаретов для втирания, мини-блёсток и страз. Расположение их в контейнере с песком.
К набору прилагается подробная инструкция и буклет с историей звёздочки Eclipsia.
Набор предназначен для детей старше 6 лет.
Комплектация: контейнер для волшебного песка и мини-грабли, 6 натуральных камней, акриловые краски (5 цветов), волшебный песок трёх цветов, 46 трафаретов для втирания, мини-блёстки и стразы, 2 точечных инструмента, 1 кисть, полная история звёздочки Eclipsia, инструкция.
Размер индивидуальной упаковки: 22,2 х 4,5 х 28,4 см</t>
  </si>
  <si>
    <t>https://youtu.be/AwBOIq6Vlbw</t>
  </si>
  <si>
    <t>11123_NSDA</t>
  </si>
  <si>
    <t>Серия Marinia: Картина по номерам из страз (2 заготовки для поделок)</t>
  </si>
  <si>
    <t>Набор для творчества – алмазная мозаика по номерам. Создание картин из стразов, ориентируясь на цифры, связанные с каждым цветом. С помощью специального аппликатора, следуя инструкции, помещение стразов на клеевые шаблоны. Набор предназначен для детей старше 6 лет.
К набору прилагается подробная инструкция и буклет с историей звёздочки Marinia.
Комплектация: 2 трафарета для декорирования, более 4500 стразов, аппликатор для стразов, лоток для стразов, квадрат с воском, полная история звёздочки Marinia, инструкция.
Размер индивидуальной упаковки: 22,2 х 4,5 х 28,4 см</t>
  </si>
  <si>
    <t>https://youtu.be/pzYSScFy6CA</t>
  </si>
  <si>
    <t>11124_NSDA</t>
  </si>
  <si>
    <t>Серия Petulia: Набор для создания украшения для дома "Крылья бабочки"</t>
  </si>
  <si>
    <t>Набор для творчества. Создание украшения для комнаты с помощью пластиковых заготовок в форме крылышек бабочки, бусин, ленты-паутинки и специального круглого держателя, светящегося в темноте. 
В набор входит подробная инструкция и буклет с историей звездочки Petulia.
Набор предназначен для детей старше 7 лет.
Комплектация: подвижный держатель, более 65 блестящих крылышек, более 160 бусин, лента, эластичная нить и металлическое кольцо, полная история звездочки Petulia, инструкция
Размер индивидуальной упаковки: 22,2 х 27,9 х 4,5 см</t>
  </si>
  <si>
    <t>11126_NSDA</t>
  </si>
  <si>
    <t>Серия Isadora: Картина по номерам из страз (2 заготовки, 4500 стразов)</t>
  </si>
  <si>
    <t>Набор для творчества – алмазная мозаика по номерам. Создание картин из стразов, ориентируясь на цифры, связанные с каждым цветом. Размещение стразов на клеевые шаблоны с помощью специального аппликатора.
К набору прилагается подробная инструкция и буклет с историей звёздочки Isadora.
Набор предназначен для детей старше 7 лет.
Комплектация: 2 картины для декорирования, более 4500 страз, аппликатор для стразов, поддон для стразов и восковой квадрат, полная история звездочки Isadora, инструкция
Размер индивидуальной упаковки: 22,2 х 27,9 х 4,5 см</t>
  </si>
  <si>
    <t>11127_NSDA</t>
  </si>
  <si>
    <t>Серия Hazelia: Набор для создания украшения из бамбука для дома</t>
  </si>
  <si>
    <t>Набор для творчества по изготовлению оригинального украшения для дома – &amp;laquo;музыка ветра&amp;raquo;. Создание 6 подвесок с помощью шнура, бамбуковых палочек, желудей, деревянных бусин и соединение их в необычное украшение, с использованием специальной декоративной основы. 
В набор входит подробная инструкция и буклет с историей звёздочки Hazelia.
Набор предназначен для детей старше 8 лет.
Комплектация: 6 бамбуковых палочек, 5 искусственных желудей, основа для подвесок, краски (5 цветов), блестящий лак, 2 эпоксидные наклейки, 15 деревянных бусин, 2 кисти для рисования, шнур, натертый воском, полная история звездочки Hazelia, инструкция
Размер индивидуальной упаковки: 22,2 х 27,9 х 4,5 см</t>
  </si>
  <si>
    <t>11128_NSDA</t>
  </si>
  <si>
    <t>Серия Petulia: Набор для рисования техникой граттаж для девочек (14 эскизов, 2 скребка)</t>
  </si>
  <si>
    <t>22,5х1,4х26</t>
  </si>
  <si>
    <t>Бумага, металл</t>
  </si>
  <si>
    <t>Набор для рисования в технике граттаж. Создание 14 рисунков путём снятия защитного слоя с основы для граттажа с помощью специального инструмента-скребка.
К набору прилагается подробная инструкция и буклет с историей звёздочки Petulia.
Набор предназначен для детей старше 7 лет
Комплектация: 14 основ для граттажа, 2 инструмента-скребка, полная история звездочки Petulia, инструкция
Размер индивидуальной упаковки: 22,5 х 26 х 1,4 см</t>
  </si>
  <si>
    <t>11129_NSDA</t>
  </si>
  <si>
    <t>Серия Marinia: Набор аппликаций наклейками по номерам (14 скетч страниц, 1416 наклеек)</t>
  </si>
  <si>
    <t>22х1,2х26</t>
  </si>
  <si>
    <t>Набор для аппликаций по номерам. Создание 14 картин с помощью обычных наклеек и наклеек со стразами путем заполнения фрагментов рисунка соответствующими элементами, ориентируясь на номера, расположенные на эскизах и на страницах с наклейками. К набору прилагается подробная инструкция и буклет с историей звёздочки Marinia.
Набор предназначен для детей старше 7 лет.
Комплектация: 14 скетч страниц с эскизами для аппликации по номерам, 1356 обычных наклеек, 60 наклеек со стразами, полная история звёздочки Marinia, инструкция.
Размер индивидуальной упаковки: 22,2 х 26 х 1,2 см</t>
  </si>
  <si>
    <t>11130_NSDA</t>
  </si>
  <si>
    <t>Серия Space: Подарочный набор для девочек к Новому году - обратный календарь (24 подарка)</t>
  </si>
  <si>
    <t>Бумага, пластик, металл</t>
  </si>
  <si>
    <t>Набор мини-подарков к Новому году. 
В набор входит специальная коробка с подарками, размещёнными в специальных ячейках. Ячейка, соответствующая определенному числу месяца вскрывается именно в этот день для получения подарка.  В набор входят: украшения, наклейки, временные татуировки и многое другое. 
Набор предназначен для детей старше 7 лет.
Комплектация: 8 канцелярских принадлежностей, 4 задания по живописи, 4 украшения своими руками, 3 косметических средства, 3 листа наклеек, временные татуировки, брелок для ключей.
Размер индивидуальной упаковки: 22 х 27,8 х 6 см</t>
  </si>
  <si>
    <t>11131_NSDA</t>
  </si>
  <si>
    <t>Серия Nebulia: Подарочный набор для девочек ко Дню рождения - обратный календарь (10 подарков)</t>
  </si>
  <si>
    <t>22х3х28</t>
  </si>
  <si>
    <t>Набор мини-подарков ко Дню рождения - календарь обратного отсчёта на 10 дней. 
В набор входит специальная коробка с подарками, размещёнными в специальных ячейках. Ячейка, соответствующая одному из 10 дней, предстоящих Дню рождения, вскрывается именно в этот день для получения подарка.  В набор входят: миниатюрный пазл, 10-цветная шариковая ручка, кольцо для поделок и многое другое. 
Набор предназначен для детей старше 7 лет.
Комплектация: 3 задания по живописи, 2 украшения своими руками, 2 канцелярских принадлежности, временные татуировки, пилочка для ногтей, мини-головоломка.
Размер индивидуальной упаковки: 22 х 27,8 х 3 см</t>
  </si>
  <si>
    <t>11134_NSDA</t>
  </si>
  <si>
    <t>Серия Eclipsia. Набор для создания украшений для девочек (8 компектов для украшений)</t>
  </si>
  <si>
    <t>22х4,5х28</t>
  </si>
  <si>
    <t>Набор для творчества по созданию украшений для девочек. Изготовление драгоценных камней с помощью специальной смолы, блёсток и наклеек, используя 8 формочек для заполнения. Создание подвесок, браслетов и брелоков с помощью нейлоновых нитей, бусин, крючков и колечек. 
К набору прилагается подробная инструкция и буклет с историей звёздочки Eclipsia.
Набор предназначен для детей старше 7 лет.
Комплектация: 8 форм для драгоценных камней, 2 бутылочки со смолой, страница с наклейками, блёстки и блестящая пудра, нейлоновые шнуры, 105 бусин, 2 крючка, 2 кольца, контейнер для смешивания и палочка, одноразовые перчатки, полная история звёздочки Eclipsia, инструкция.
Размер индивидуальной упаковки: 22,2 х 27,9 х 4,5 см</t>
  </si>
  <si>
    <t>11135_NSDA</t>
  </si>
  <si>
    <t>Серия Petulia: Личный дневник для девочек для секретов (с ручкой 6 цветов и с замочком)</t>
  </si>
  <si>
    <t>Личный дневник для хранения секретов. К страницам для записей дополнительно прилагаются интересные задания, игры, элементы для декорирования дневника. наклейки. 
К набору прилагается подробная инструкция и буклет с историей звёздочки Petulia.
Набор предназначен для детей старше 6 лет.
Комплектация: ручка с 6 стержнями разных цветов, бусины, подвески, войлочные цветы, шнур. Содержание страниц дневника: полная история звёздочки Petulia, 44 страницы с интересными заданиями и играми, наклейки, 150 разлинованных страниц.
Размер индивидуальной упаковки: 22,2 х 4,5 х 28,4 см</t>
  </si>
  <si>
    <t>11139_NSDA</t>
  </si>
  <si>
    <t>Серия Paloma. Набор для создания брелоков с цветными помпонами (5 комплектов)</t>
  </si>
  <si>
    <t>Набор для творчества по созданию пушистых брелоков с изображением звёздных питомцев и разноцветными помпонами. Изготовление помпонов с помощью специального инструмента, разноцветной пряжи и подвесок с изображением питомцев звёздочек Туманной галактики Nebulous. В набор входит история звездных питомцев.
Набор предназначен для детей старше 7 лет.
Комплектация: 5 держателей в виде животных, акриловая пряжа 5 цветов, инструмент для изготовления помпонов, буклет с историей питомцев.
Размер индивидуальной упаковки: 22,2 х 4,5 х 27,9 см</t>
  </si>
  <si>
    <t>11202_NSDA</t>
  </si>
  <si>
    <t>Серия Nebulia: Набор для творчества "Баночки желаний" (3 баночки, ватные шарики, краски, чернила, наклейки)</t>
  </si>
  <si>
    <t>50х9х30,5</t>
  </si>
  <si>
    <t>Бумага, пластик, текстиль</t>
  </si>
  <si>
    <t>Набор для творчества по созданию баночек с желаниями.
Наполнение специальных ёмкостей различными ингредиентами и украшение с помощью элементов для декорирования в соответствии с подробной инструкцией. В набор также входит буклет с историей звёздочки Nebulia.
Набор предназначен для детей старше 7 лет.
Комплектация: 3 пластиковые баночки с желаниями, 5 флаконов чернил, 3 тюбика краски, светящейся в темноте, тюбик блестящей пудры, тюбик с мини-блестками, более 30 цветных наклеек, более 175 наклеек с эффектом металлик с алфавитом, 6 наклеек на крышки, 3 декоративные бирки, 3 сверкающие ленты, металлическая резьба с отделкой, пластиковая пипетка, деревянная палочка, двусторонний скотч, ватные шарики, полная история звездочки Nebulia, инструкция.
Размер индивидуальной упаковки: 49,5 х 30,5 х 8,9 см</t>
  </si>
  <si>
    <t>11203_NSDA</t>
  </si>
  <si>
    <t>Серия Space:Набор для творчества "Воздушный сад" 3в1 (3 террариума, 3 фигурки для раскрашивания, подставка)</t>
  </si>
  <si>
    <t>Набор для творчества по созданию декоративных сухих аквариумов. 
Разукрашивание фигурок питомцев, изготовление для каждого из них декоративного сада в виде специального аквариума, используя искусственные растения, светящиеся камни, сухую глину, а также краски и пудру для декорирования. 
В набор входит подробная инструкция и буклет с историей об обитателях Туманной галактики Nebulous.
Набор предназначен для детей старше 8 лет.
Комплектация: 3 аквариума в форме ромба, декоративная подставка, 3 готовые к разукрашиванию фигурки, акриловая краска (6 цветов), тюбик с краской, светящейся в темноте, блестящая пудра, кисть для рисования, сухая глина, 9 искусственных растений, 6 светящихся в темноте камней, история обитателей Туманной галактики, инструкция.
Размер индивидуальной упаковки: 49,5 х 30,4 х 8,9 см</t>
  </si>
  <si>
    <t>11205_NSDA</t>
  </si>
  <si>
    <t>Серия Petulia: Подарочный набор канцелярских принадлежностей для декорирования стразами по номерам "Мерцание звезд"</t>
  </si>
  <si>
    <t>49,5х6,4х30,5</t>
  </si>
  <si>
    <t>Пластик, бумага, металл</t>
  </si>
  <si>
    <t>Подарочный набор канцелярских принадлежностей "Мерцание звёзд" с комплектом для декорирования стразами по номерам. Декорирование стразами блокнота, мини-блокнота, магнитов на холодильник и закладки, ориентируйся на цифры, связанные с каждым цветом. Помещение страз на клеевые шаблоны с помощью специального инструмента из набора. 
К набору прилагается подробная инструкция и буклет с историей звёздочки Petulia.
Предназначен для детей старше 6 лет.
Комплектация: более 5000 стразов, качественный аппликатор для стразов, лоток для стразов и восковой квадрат, 9 готовых к декорированию изделий: блокнот, мини-блокнот для заметок, 2 магнита на холодильник, закладка, 2 скрепки и линейка, хлопковая нить, полная история звёздочки Petulia, инструкция.
Размер индивидуальной упаковки: 49,5 х 6,4 х 30,5 см</t>
  </si>
  <si>
    <t>https://youtu.be/PYp1DEZahHk</t>
  </si>
  <si>
    <t>11206_NSDA</t>
  </si>
  <si>
    <t>Серия Estrelia: Набор для творчества "Падающая звезда" (12 заготовок, перформатор, бусины, краски, конфетти)</t>
  </si>
  <si>
    <t>50х11х30,5</t>
  </si>
  <si>
    <t>Набор для творчества по изготовлению звёздочек-сюрпризов. Подарочный браслет размещается внутри заготовки в форме звезды вместе с конфетти и вдохновляющей фразой, затем запечатывается с помощью перфоратора. Готовая звезда с сюрпризом раскашивается и чернилами и декорируется по вкусу.
В набор входит подробная инструкция и буклет с историей звёздочки Estrelia.
Набор предназначен для детей старше 7 лет.
Комплектация: 12 листов целлюлозной бумаги, перфоратор в форме звезды, 3 флакона с краской, 2 баллончика с распылителем чернил, 6 страниц вдохновляющих фраз, тюбик с блестящей пудрой, тюбик клея, 64 бусины и 6 шнуров, полная история звёздочки Estrelia, инструкция
Размер индивидуальной упаковки: 49,5 х 30,5 х 10,8 см</t>
  </si>
  <si>
    <t>11207_NSDA</t>
  </si>
  <si>
    <t>Серия Eclipsia: Подарочный набор для рисования с палитрой и рамкой (светится в темноте) "Млечный путь"</t>
  </si>
  <si>
    <t>Набор для рисования "Млечный путь". Разукрашивание готовых эскизов, нанесённых на досочки  черного цвета, используя акварельные краски с эффектом металлик и специального маркера. 
К набору прилагается подробная инструкция и буклет с историей звёздочки Eclipsia.
Предназначен для детей старше 6 лет.
Комплектация: палитра красок 12 цветов, светящаяся в темноте рамка для фотографий, 6 волшебных черных досочек для разукрашивания, маркер, маленький блокнот из черной бумаги, 2 кисти для рисования, полная история звёздочки Eclipsia, инструкция.
Размер индивидуальной упаковки: 49,5 х 6,4 х 30,5 см</t>
  </si>
  <si>
    <t>https://youtu.be/KRVgY1sULsI</t>
  </si>
  <si>
    <t>11208_NSDA</t>
  </si>
  <si>
    <t>Серия Isadora: Набор для создания аксессуаров для девочек (подвески, браслеты, блокнот, пенал, закладка, ручка)</t>
  </si>
  <si>
    <t>50х6,5х30,5</t>
  </si>
  <si>
    <t>Набор для творчества по созданию ярких аксессуаров для девочки. Украшение заготовок из набора с помощью блёсток, бусин, ленточек и конфетти. В набор входит подробная инструкция и буклет с историей звёздочки Isadora.
Набор предназначен для детей старше 7 лет.
Комплектация: блокнот, пенал, закладка и ручка с помпоном, 3 трубочки для браслетов и 3 флакончика с подвесками, конфетти (4 цвета), мини-блестки, страница с декоративными наклейками, разнообразные ленты, бусы и брелоки, крючок для ключей и кольца, воронка и стакан для смешивания, полная история Isadora, инструкция.
Размер индивидуальной упаковки: 49,5 х 30,5 х 6,5 см</t>
  </si>
  <si>
    <t>11209_NSDA</t>
  </si>
  <si>
    <t>Серия Octavia: Термомозаика для девочек (4500 бусин, 11 эскизов)</t>
  </si>
  <si>
    <t>Набор для творчества по созданию пиксельных картин - термомозаика. 
Размещение бусин на доске для бисера в соответствии с рисунком, изображённом на карточках из набора, спаивание бусин с помощью утюга через пергамент, соединение в куб. 
В набор входит подробная инструкции и буклет с историями об обитателях Туманной галактики Nebulous. 
Рекомендуется для детей в возрасте от 7 лет и старше
Комплектация: доска для бисера, 11 карточек с рисунками, более 4500 бусин разных цветов, беспламенная свеча, пластиковый пинцет, бумага для разглаживания, истории обитателей Туманной галактики Nebulous, инструкция.
Размер индивидуальной упаковки: 49,5 х 30,5 х 6,3 см</t>
  </si>
  <si>
    <t>11213_NSDA</t>
  </si>
  <si>
    <t>Серия Louna: Набор для творчества "Раскрась сказочного питомца" (5 фигурок, вращающаяся платформа со встроенной палитрой, краски, стразы)</t>
  </si>
  <si>
    <t>39,5х30,9х8,9</t>
  </si>
  <si>
    <t>Набор для творчества, включающий 5 фигурок для раскрашивания. В набор входит палитра для красок со специальной вращающейся платформой, на которую устанавливается фигурка питомца, что обеспечивает лёгкий доступ при раскрашивании с любой стороны. С помощью акриловых красок, блестящего лака и стразов для декорирования, создаются образы сказочных персонажей Галактики. 
Предназначен для детей старше 6 лет.
Комплектация: вращающаяся подставка для рисования, 5 фигурок для раскрашивания, акриловая краска (6 цветов), блестящий лак, 2 кисти для рисования, стразы, история звёздочки, инструкция.
Размер индивидуальной упаковки: 39,5х30,9х8,9 см</t>
  </si>
  <si>
    <t>11305_NSDA</t>
  </si>
  <si>
    <t>Серия Orelia: Набор для творчества "Фонарь - светлячок" 3в1 (заготовка для поделки, витраж, ночник)</t>
  </si>
  <si>
    <t>Набор для творчества "Фонарь-светлячок". Создание ночника для детской комнаты. Разукрашивание и декорирование витражей из набора с помощью специальных красок, наклеек из фольги, наклеек со стразами.
К набору прилагается подробная инструкция и буклет с историей звёздочки Orelia.
Предназначен для детей старше 6 лет.
Комплектация: фонарь-ночник, USB-кабель, 10 сменных элементов витражей, набор красок (10 цветов), наклейки из фольги, 50 наклеек со стразами, полная история звёздочки Orelia, инструкция.
Размер индивидуальной упаковки: 25 х 9,8 х 30,5 см</t>
  </si>
  <si>
    <t>https://youtu.be/1DvQ9SOu7gw</t>
  </si>
  <si>
    <t>11306_NSDA</t>
  </si>
  <si>
    <t>Серия Coralia: Подарочный набор для творчества "Сверкающие медузы" (3 заготовки, вешалка, бусины, ленты, накдейки)</t>
  </si>
  <si>
    <t>25х10х30,5</t>
  </si>
  <si>
    <t>Набор для творчества "Сверкающие медузы" по созданию оригинального подвесного украшения, светящегося в темноте. Изготовление декоративных медуз с помощью заготовок из набора (купола, бусин, ленты, тканевых чехлов) и размещение их на вешалке в виде кораллов.
В набор входит подробная инструкция и буклет с историей звёздочки Coralia.
Рекомендуется для детей в возрасте от 7 лет и старше
Комплектация: 3 купола, светящихся в темноте, вешалка в виде коралловой ветки, 3 тканевых чехла на купол, 63 бусинки, светящихся в темноте, 70 разноцветных бусин, 3 сетчатых шнура, лента, завязки, светящиеся в темноте и эластичный шнурок, 3 блестящие наклейки, полная история звездочки Coralia, инструкция.
Размер индивидуальной упаковки: 24,8 х 30,5 х 9,8 см</t>
  </si>
  <si>
    <t>11307_NSDA</t>
  </si>
  <si>
    <t>Серия Estrelia: Набор для творчества "Падающая звезда" (10 заготовок, бусины, мини-бутылочки, краски, конфетти)</t>
  </si>
  <si>
    <t>25х6,5х25</t>
  </si>
  <si>
    <t>Набор для творчества "Падающая звезда". Создание волшебных звёздочек с вдохновляющим посланием и небольшим подарком внутри. В бумажную звёздочку помещается мини-бутылочка с вдохновляющей фразой и конфетти, затем  запечатывается и декорируется с помощью красок, блёсток, чернил и наклеек. В набор входит подробная инструкция и буклет с историей звёздочки Coralia.
Рекомендуется для детей в возрасте от 7 лет и старше
Комплектация: 10 бумажных звездочек, 5 мини-бутылочек, 2 флакона с краской, балончик с распылителем чернил, 4 страницы вдохновляющих фраз, блестки и блестящая пудра, бумажное конфетти, тюбик клея, 40 бусин и 5 шнуров, страница с наклейками, кисть для рисования, пластиковая палочка, полная история звездочки Coralia, инструкция.
Размер индивидуальной упаковки: 24,8 х 24,8 х 6,4 см</t>
  </si>
  <si>
    <t>11308_NSDA</t>
  </si>
  <si>
    <t>Серия Petulia: Набор для творчества "Падающая звезда" (10 заготовок, брелоки, бусины, краски, конфетти)</t>
  </si>
  <si>
    <t>Набор для творчества по изготовлению волшебных звёздочек с вдохновляющим посланием и небольшим подарком внутри. В бумажную звёздочку помещается брелок с вдохновляющей фразой и конфетти, затем она запечатывается и декорируется с помощью красок, блёсток, чернил и наклеек. В набор входит подробная инструкция и буклет с историей звёздочки Petulia.
Рекомендуется для детей в возрасте от 7 лет и старше
Комплектация: 10 бумажных звездочек, 5 брелоков в форме цветка, 2 флакона с краской, балончик с распылителем чернил, 4 страницы вдохновляющих фраз, блестки и блестящая пудра, бумажное конфетти, тюбик клея, страница с наклейками, кисть для рисования, пластиковая палочка, полная история звездочки Petulia. 
Размер индивидуальной упаковки: 24,8 х 24,8 х 6,4 см</t>
  </si>
  <si>
    <t>11351_NSDA</t>
  </si>
  <si>
    <t>Серия Nebulia: Детский световой планшет для рисования</t>
  </si>
  <si>
    <t>Светодиодная панель для перевода рисунка на бумагу. Рисование картин и узоров путём размещения бумаги поверх панели и обведения линий изображения на экране. Панель тонкая (всего 5 мм) и лёгкая, удобна при транспортировке и хранении, оборудована сенсорным экраном, легко включается, легко регулируется яркость. Освещение идеально равномерное, яркое и без мерцания.
К набору прилагается подробная инструкция и буклет с историей звёздочки Nebulia.
Предназначен для детей старше 6 лет.
Комплектация: ультратонкая световая панель, USB-кабель, 5 двусторонних цветных карандашей, черная ручка для рисования, примеры страниц с шаблонами, 10 эскизов, полная история звёздочки  Nebulia, коробка для хранения.
Размер индивидуальной упаковки: 45,5 х 7 х 29 см</t>
  </si>
  <si>
    <t>https://youtu.be/a7z0npTGqoA</t>
  </si>
  <si>
    <t>11352_NSDA</t>
  </si>
  <si>
    <t>Серия Coralia: Набор для рисования аэрозольными красками (электрическая ручка-распылитель, 12 аэрозольных маркеров, 10 эскизов, краски, трафареты, нак</t>
  </si>
  <si>
    <t>Набор для рисования с помощью специальной электронной ручки-распылителя и аэрозольных маркеров. Разукрашивание готовых эскизов акварельными красками с последующей доработкой их, путём распыления краски из маркеров через специальную ручку, используя трафареты и наклейки для создания узоров и дополнительных элементов рисунка.
К набору прилагается подробная инструкция и буклет с историей звёздочки Coralia.
Набор предназначен для детей старше 7 лет.
Комплектация: электрическая ручка-распылитель, зарядная станция, USB-кабель, 12 аэрозольных маркеров, 10 эскизов для разукрашивания, 2 листа с трафаретами, лист с наклейками, 6 акварельных красок, кисть для рисования, коробка для хранения звёздочки Coralia, инструкция.
Размер индивидуальной упаковки: 45,5 х 29 х 7 см</t>
  </si>
  <si>
    <t>11381_NSDA</t>
  </si>
  <si>
    <t>Серия Nenuphia. Набор для рисования по номерам (36 иллюстраций, фломастеры 15 цветов)</t>
  </si>
  <si>
    <t>25,2х3,65х31,6</t>
  </si>
  <si>
    <t>Набор для рисования по номерам с помощью пронумерованных фломастеров, входящих в набор. Создание иллюстраций с изображением питомцев звёздочек Туманной галактики Nebulous и их питомцев по готовым эскизам, при выборе цвета руководствуясь номерами, указанными на рисунках. В набор входит история звёздочки Nenuphia и её питомицы.
Набор предназначен для детей старше 7 лет.
Комплектация: 36 готовых эскизов, 15 пронумерованных фломастеров.
Размер индивидуальной упаковки: 24,7 х 3,8 х 30,5 см</t>
  </si>
  <si>
    <t>11411_NSDA</t>
  </si>
  <si>
    <t>Серия Nebulia: Набор для творчества - временные татуировки для девочки (3 листа)</t>
  </si>
  <si>
    <t>14,5х0,5х23</t>
  </si>
  <si>
    <t>Набор временных татуировок с изображением обитателей Вселенной Nebulous Stars. 
Необходимо выбрать картинку и нанести на кожу, точно следуя инструкции. В набор входят татуировки с эффектом металлик, а также татуировки, светящиеся в темноте. 
Рекомендуется для детей в возрасте от 7 лет и старше
Комплектация: 1 страница с обычными татуировками, 1 страница с металлизированными татуировками, 1 страница с татуировками,  светящимися в темноте, инструкция.
Размер индивидуальной упаковки: 14,3 х 23 х 0,3 см</t>
  </si>
  <si>
    <t>11412_NSDA</t>
  </si>
  <si>
    <t>Серия Petulia: Набор для творчества - временные татуировки для девочки (3 листа)</t>
  </si>
  <si>
    <t>11413_NSDA</t>
  </si>
  <si>
    <t>Серия Coralia: Набор для творчества - временные татуировки для девочки (3 листа)</t>
  </si>
  <si>
    <t>11415_NSDA</t>
  </si>
  <si>
    <t>Серия Stella: Фигурка для раскрашивания (фигурка, краски для росписи, стразы)</t>
  </si>
  <si>
    <t>10,7х7,5х20,5</t>
  </si>
  <si>
    <t>Набор для творчества по разукрашиванию и декорированию гипсовый фигуры с помощью акриловых красок, блестящего лака, кисточек и стразов.
Предназначен для детей старше 6 лет.
Комплектация: фигурка для раскрашивания, набор акриловых красок 5 цветов, блестящий лак, 2 кисточки для рисования, пластиковая палочка, стразы, инструкция.
Размер индивидуальной упаковки: 10,7 х 7,5 х 20,5 см</t>
  </si>
  <si>
    <t>https://youtu.be/-Wy8o8JIgUw</t>
  </si>
  <si>
    <t>11416_NSDA</t>
  </si>
  <si>
    <t>Серия Octavia: Фигурка для раскрашивания (фигурка, краски для росписи, стразы)</t>
  </si>
  <si>
    <t>11417_NSDA</t>
  </si>
  <si>
    <t>Серия Paloma: Фигурка для раскрашивания (фигурка, краски для росписи, стразы)</t>
  </si>
  <si>
    <t>11418_NSDA</t>
  </si>
  <si>
    <t>Серия Aura: Фигурка для раскрашивания (фигурка, краски для росписи, стразы)</t>
  </si>
  <si>
    <t>11419_NSDA</t>
  </si>
  <si>
    <t>Серия Lyria: Фигурка для раскрашивания (фигурка, краски для росписи, стразы)</t>
  </si>
  <si>
    <t>11420_NSDA</t>
  </si>
  <si>
    <t>Серия Elana: Фигурка для раскрашивания (фигурка, краски для росписи, стразы)</t>
  </si>
  <si>
    <t>11421_NSDA</t>
  </si>
  <si>
    <t>Серия Nebulia: Набор для рисования по номерам (холст, краски, стразы для декорирования)</t>
  </si>
  <si>
    <t>24,5х2,5х32,5</t>
  </si>
  <si>
    <t>Набор для творчества. Разукрашивание акриловыми красками по номерам с последующим декорированием стразами и специальным блеском. Эскиз нанесён на плотный холст, закреплённый на деревянной раме. Также, к набору прилагается подробная инструкция и буклет с историей звёздочки Nebulia.
Набор предназначен для детей старше 7 лет.
Комплектация: цветной холст с принтом, акриловые краски (14 цветов), 2 кисти для рисования, блестящий лак, набор разнообразных стразов, полная история звёздочки Nebulia, инструкция
Размер индивидуальной упаковки: 24,5 х 32,5 х 2,5 см</t>
  </si>
  <si>
    <t>11422_NSDA</t>
  </si>
  <si>
    <t>Серия Coralia: Набор для рисования по номерам (холст, краски, стразы для декорирования)</t>
  </si>
  <si>
    <t>Набор для творчества. Разукрашивание акриловыми красками по номерам с последующим декорированием стразами и специальным блеском. Эскиз нанесён на плотный холст, закреплённый на деревянной раме. Также, к набору прилагается подробная инструкция и буклет с историей звёздочки Coralia.
Набор предназначен для детей старше 7 лет.
Комплектация: цветной холст с принтом, акриловые краски (14 цветов), 2 кисти для рисования, блестящий лак, набор разнообразных стразов, полная история звёздочки Coralia, инструкция
Размер индивидуальной упаковки: 24,5 х 32,5 х 2,5 см</t>
  </si>
  <si>
    <t>11424_NSDA</t>
  </si>
  <si>
    <t>Серия Nebulia. Набор для создания книжных закладок (24 эскиза, акварель, кисть)</t>
  </si>
  <si>
    <t>11,5х1,2х22</t>
  </si>
  <si>
    <t>Набор по созданию книжных закладок. Разукрашивание готовых эскизов акварельными красками, встроенными в каждую страницу. Создание 24 разных закладок для себя и своих друзей.
Набор предназначен для детей старше 6 лет.
Комплектация: 24 заготовки для раскрашивания, 6 цветов краски на каждой странице, кисть, хлопчатобумажная нить, инструкция.
Размер индивидуальной упаковки: 11,5х1,2х22 см</t>
  </si>
  <si>
    <t>11430_NSDA</t>
  </si>
  <si>
    <t>Серия Space: Подарочный набор для творчества "Копилка желаний" 3в1 (заготовка для поделки, копилка, фигурка для росписи)</t>
  </si>
  <si>
    <t>31х20х14</t>
  </si>
  <si>
    <t>Набор для творчества по разукрашиванию и декорированию гипсовой фигурки-копилки единорога с помощью акриловых красок, блестящего лака, и стразов. 
Предназначен для детей старше 6 лет.
Комплектация: фигурка-копилка для раскрашивания, набор акриловых красок 7 цветов, блестящий лак, 2 кисточки для рисования, 75 стразов, гелевая мини-ручка, мини блокнот, инструкция.
Размер индивидуальной упаковки: 10,7 х 14 х 20 см</t>
  </si>
  <si>
    <t>11432_NSDA</t>
  </si>
  <si>
    <t>Серия Isadora: Мелковые фломастеры для окрашивания прядей (6 цветов), для девочек</t>
  </si>
  <si>
    <t>23,2х2,2х24,5</t>
  </si>
  <si>
    <t>Набор фломастеров для окрашивания прядей. Нанесение на волосы краски на меловой основе, не оказывающей негативное влияние на волосы и кожу головы. Окрашивание имеет временный эффект и смывается с помощью шампуня.
Набор предназначен для детей старше 7 лет.
Комплектация: 6 меловых фломастеров для окрашивания, пластиковая расчёска, инструкция.
Размер индивидуальной упаковки: 23,2 х 24,5 х 2,2 см</t>
  </si>
  <si>
    <t>11435_NSDA</t>
  </si>
  <si>
    <t>Серия Estrelia: Бумажные звезды для набора "Падающая звезда" (12 заготовок)</t>
  </si>
  <si>
    <t>12х4,2х24,7</t>
  </si>
  <si>
    <t>Набор дополнительных заготовок из целлюлозной бумаги для создания 6 падающих звёздочек с сюрпризом внутри.
Набор предназначен для детей старше 7 лет.
Комплектация: 12 звёздочек из целлюлозной бумаги.
Размер индивидуальной упаковки: 11,8 х 24,7 х 4,1 см</t>
  </si>
  <si>
    <t>11440_NSDA</t>
  </si>
  <si>
    <t>Серия Space: Коллекционный камень</t>
  </si>
  <si>
    <t>7,3х5,1х8,2</t>
  </si>
  <si>
    <t>Камень, бумага</t>
  </si>
  <si>
    <t>Коллекционный набор: камень и карточка. Предназначен для создания коллекции камней, принадлежащих звёздочкам Туманной галактики Nebulous.
Набор предназначен для детей старше 7 лет.
Комплектация: камень, коллекционная карточка.
Размер индивидуальной упаковки: 7,5х8,4х5,3 см</t>
  </si>
  <si>
    <t>11441_NSDA</t>
  </si>
  <si>
    <t>7,5х8,4х5,3</t>
  </si>
  <si>
    <t>11452_NSDA</t>
  </si>
  <si>
    <t>Серия Petulia. Набор для рисования акварелью (16 иллюстраций, краски карандаши)</t>
  </si>
  <si>
    <t>11х2,5х18</t>
  </si>
  <si>
    <t>Набор для рисования по готовым эскизам. Создание рисунков по готовым эскизам, используя акварельные краски, специальную многоразовую акварельную кисть и акварельные карандаши. В набор входит инструкция по использованию кисти и техника рисования.
Набор предназначен для детей старше 7 лет.
Комплектация: 16 иллюстраций, 7 акварельных карандашей, акварельные краски (4 цвета), акварельная кисть (многоразовая), инструкция.
Размер индивидуальной упаковки: 11 х 3,1 х 18 см</t>
  </si>
  <si>
    <t>11471_NSDA</t>
  </si>
  <si>
    <t>Серия Petunia: Набор аппликаций, для девочек (15 заготовок)</t>
  </si>
  <si>
    <t>16,5х4х28</t>
  </si>
  <si>
    <t>Набор для творчества по созданию нарядов для звёздочки, используя заготовки из набора. Понравившаяся заготовка декорируется бумажными лепестками, наклейками, блёстками и стразами. В набор входит специальная подставка для демонстрации нарядов, подробная инструкция и буклет с историей звёздочки Petunia.
Набор предназначен для детей старше 7 лет.
Комплектация: картонная подставка для звёздочки, 15 бумажных шаблонов платьев, 364 бумажных цветочных лепестка, тюбик блестящей пудры, тюбик клея, стразы, 10 декоративных шнурков, лента, кисть для рисования.
Размер индивидуальной упаковки: 16,5 х 28 х 3,9 см</t>
  </si>
  <si>
    <t>11540_NSDA</t>
  </si>
  <si>
    <t>14х4х20</t>
  </si>
  <si>
    <t>Коллекционный набор: камень и карточка. Предназначен для создания коллекции камней, принадлежащих звёздочкам Туманной галактики Nebulous.
Набор предназначен для детей старше 7 лет.
Комплектация: камень, коллекционная карточка.
Размер индивидуальной упаковки: 14 х 17 х 2 см</t>
  </si>
  <si>
    <t>12553_NSDA</t>
  </si>
  <si>
    <t>Серия: Nenuphia. Фартук детский для рисования и творчества (с рукавами)</t>
  </si>
  <si>
    <t>Практичный и яркий фартук с длинными рукавами для рисования или занятия творчеством. С ним одежда останется полностью чистой, фартук выполнен в виде кофты с трикотажным воротом и манжетами, поэтому риск попадания краски на одежду - минимальный. Фартук подходит для стирки в стиральной машине.
Предназначен для детей старше 6 лет.
Комплектация: фартук.
Размер индивидуальной упаковки: 21х21х1 см</t>
  </si>
  <si>
    <t>Аппликация</t>
  </si>
  <si>
    <t>11011_NSDA</t>
  </si>
  <si>
    <t>Серия Marinia: Набор аппликаций из фольги для девочек "Волшебный блеск" (3 заготовки для поделок)</t>
  </si>
  <si>
    <t>Набор для творчества по созданию 3-х блестящих аппликаций. 
Декорирование 3-х эскизов на клеевой основе с помощью цветной фольги, геля с блёстками и страз. К набору прилагается подробная инструкция и буклет с историей звёздочки Marinia.
Набор предназначен для детей старше 6 лет.
Комплектация: 3 картины с клеевой основой, 6 листов фольги, 4 геля с блёстками, разноцветные стразы, инструмент для фольги, кисточка, полная история звёздочки Marinia, инструкция.
Размер индивидуальной упаковки: 16 х 3,8 х 20,3 см</t>
  </si>
  <si>
    <t>https://youtu.be/6z_kpE-pX90</t>
  </si>
  <si>
    <t>11025_NSDA</t>
  </si>
  <si>
    <t>Серия Isadora: Набор аппликаций фольгой для девочек (12 скетч страниц с эскизами)</t>
  </si>
  <si>
    <t>16х2х22</t>
  </si>
  <si>
    <t>Набор для творчества по созданию аппликаций фольгированной бумагой. Создание картин с эффектом металлик методом втирания фольги на готовые эскизы с нанесённым верхним клеевым слоем. К набору прилагается подробная инструкция и история звёздочки Isadora.
Набор предназначен для детей старше 7 лет.
Комплектация: 12 листов с готовыми эскизами на клеевой основе, 12 листов разноцветной фольгированной бумаги, клеевая ручка, полная история звёздочки Isadora, инструкция
Размер индивидуальной упаковки: 16 х 21,7 х 2 см</t>
  </si>
  <si>
    <t>11472_NSDA</t>
  </si>
  <si>
    <t>Серия Nenuphia: Набор аппликаций для девочек (25 заготовок)</t>
  </si>
  <si>
    <t>Набор для творчества по созданию нарядов в виде русалочьих хвостов, используя заготовки из набора. Понравившаяся заготовка декорируется бумажными ракушками, цветами, наклейками, блёстками и стразами. В набор входит специальная подставка для демонстрации нарядов, подробная инструкция и буклет с историей звёздочки Nenuphia.
Рекомендуется для детей в возрасте от 7 лет и старше
Комплектация: картонная подставка для звёздочки Nenuphia, 25 бумажных шаблонов, 360 бумажных ракушек и цветов, 2 переводных листа, клей, стразы, 10 декоративных крепежей из латуни, лента, аппликатор для стразов, инструкция.
Размер индивидуальной упаковки: 16,5 х 28 х 3,9 см</t>
  </si>
  <si>
    <t>Школьные принадлежности</t>
  </si>
  <si>
    <t>Канцелярские товары</t>
  </si>
  <si>
    <t>21,5х2х11</t>
  </si>
  <si>
    <t>Текстиль, дерево, пластик</t>
  </si>
  <si>
    <t>Школьный пенал с полным набором канцелярских принадлежностей. Состоит из трёх отделений, закрывающихся на молнию. Яркий и привлекательный дизайн, большая вместительность и безупречное качество. У пенала устойчивый тканевый каркас, все отделения закрываются на молнию, внутри оборудован органайзером для размещения канцелярских принадлежностей.
Материал - 100% полиэстер.
Комплектация: пенал (3 отделения), блокнот для занятий и раскрашивания, 18 маркеров, 18 цветных карандашей, коллекционный ластик, ножницы, клей-карандаш, точилка для карандашей, линейка, 4-цветная шариковая ручка, простой карандаш
Размер: 6 х 20,5 х 14,5 см</t>
  </si>
  <si>
    <t>11362_NSDA</t>
  </si>
  <si>
    <t>Серия Nenuphia: Канцелярский набор с личным дневником для хранения секретов (6-цветная ручка, ластик, линейка, блокнот, стикеры, дневник 200 стр.)</t>
  </si>
  <si>
    <t>44,5х27,9х4,7</t>
  </si>
  <si>
    <t>Большой канцелярский набор с личным дневником для хранения секретов. Включает комплект коллекционных канцелярских товаров (ручка, ластик, точилка, линейка, блокнот, стикеры), которые отлично подходят для использования и в школе, и дома, а также дневник для девочки с ярким запоминающимся дизайном, к которому прилагаются интересные задания, игры, наклейки, элементы для декорирования, специальная ручка-аппликатор. Дневник закрывается на замок.
К набору прилагается подробная инструкция и буклет с историей звёздочки Nenuphia.
Набор предназначен для детей старше 7 лет.
Комплектация: 6-цветная шариковая ручка, ручка-аппликатор с рисунком, блокнот для творчества и раскрашивания, коллекционный ластик, точилка для карандашей, линейка, магнитная закладка, рулон наклеек, карандаш, 2 скрепки для бумаги, 40 стикеров для заметок, 3 рулона клейкой ленты, 2 самоклеящиеся марки; личный дневник (200 стр.) включает: история звёздочки Nenuphia, 44 страницы интересных заданий, страница с наклейками, 150 разлинованных страниц.
Размер индивидуальной упаковки: 44,5 х 27,9 х 4,7 см</t>
  </si>
  <si>
    <t>11434-1_NSDA</t>
  </si>
  <si>
    <t>Серия: Stella. Мини-блокнот в форме сказочного персонажа, на пружине, с цветной гелевой ручкой</t>
  </si>
  <si>
    <t>9,2х9,2х1</t>
  </si>
  <si>
    <t>Мини-блокнот для записей на пружине в виде персонажа Галактики Nebulous Stars - сказочного питомца. 
Яркий дизайн и разлинованные страницы с принтами.
Отдельная страница с яркими наклейками и мини-ручка в комплекте.
Предназначен для детей старше 6 лет.
Комплектация: мини-блокнот,  страница с наклейками, ручка.
Размер индивидуальной упаковки: 9,2х9,2х1 см</t>
  </si>
  <si>
    <t>11434-2_NSDA</t>
  </si>
  <si>
    <t>Серия: Lumina. Мини-блокнот в форме сказочного персонажа, на пружине, с цветной гелевой ручкой</t>
  </si>
  <si>
    <t>11434-3_NSDA</t>
  </si>
  <si>
    <t>Серия: Lyria. Мини-блокнот в форме сказочного персонажа, на пружине, с цветной гелевой ручкой</t>
  </si>
  <si>
    <t>11434-4_NSDA</t>
  </si>
  <si>
    <t>Серия: Louna. Мини-блокнот в форме сказочного персонажа, на пружине, с цветной гелевой ручкой</t>
  </si>
  <si>
    <t>11436-1_NSDA</t>
  </si>
  <si>
    <t>Серия: Coralia. Цветные карандаши в тубусе, 18 цветов</t>
  </si>
  <si>
    <t>4,2х4,2х20</t>
  </si>
  <si>
    <t>Набор цветных карандашей в пластиковом тубусе с изображением героини Туманной галактики. В прозрачную крышку тубуса точилкой встроена точилка для карандашей. 
Набор предназначен для детей старше 6 лет.
Комплектация:пластиковый тубус с точилкой, 18 цветных карандашей.
Размер индивидуальной упаковки: 4,2х20х4,2 см</t>
  </si>
  <si>
    <t>11436-2_NSDA</t>
  </si>
  <si>
    <t>Серия: Estrelia. Цветные карандаши в тубусе, 18 цветов</t>
  </si>
  <si>
    <t>11436-3_NSDA</t>
  </si>
  <si>
    <t>Серия: Iceana. Цветные карандаши в тубусе, 18 цветов</t>
  </si>
  <si>
    <t>11436-4_NSDA</t>
  </si>
  <si>
    <t>Серия: Orelia. Цветные карандаши в тубусе, 18 цветов</t>
  </si>
  <si>
    <t>11437-1_NSDA</t>
  </si>
  <si>
    <t>Серия: Stella. Пенал-тубус на молнии</t>
  </si>
  <si>
    <t>7,3х6х18,7</t>
  </si>
  <si>
    <t>Яркий пенал в форме тубуса с изображением питомца одной из звездочек Галактики Nebulous Stars. Пенал изготовлен из приятного на ощупь и невероятно мягкого силикона, закрывается на молнию, оборудован специальной подставой, встроенной в нижнюю часть пенала. 
Набор предназначен для детей старше 6 лет.
Комплектация: тубус-пенал на молнии (без наполнения - карандаши в комплект не входят).
Размер индивидуальной упаковки: 7,3х6х18,7 см</t>
  </si>
  <si>
    <t>11437-2_NSDA</t>
  </si>
  <si>
    <t>Серия: Octavia. Пенал-тубус на молнии</t>
  </si>
  <si>
    <t>11437-3_NSDA</t>
  </si>
  <si>
    <t>Серия: Elana. Пенал-тубус на молнии</t>
  </si>
  <si>
    <t>11437-4_NSDA</t>
  </si>
  <si>
    <t>Серия: Aura. Пенал-тубус на молнии</t>
  </si>
  <si>
    <t>11438-1_NSDA</t>
  </si>
  <si>
    <t>Серия: Nebulia. Карандаш простой сегментный с колпачком в виде анимационного персонажа</t>
  </si>
  <si>
    <t>3,5х8х1</t>
  </si>
  <si>
    <t>Яркий, оригинальный, удобный в использовании – простой сегментный мини-карандаш серого цвета. Пластиковый прозрачный корпус украшен принтами с изображением персонажей Галактики Nebulous Stars, а колпачок выполнен в виде сказочного питомца. 
Карандаш состоит из 12 сегментов, рабочий грифель меняется очень быстро и не требует заточки.
Предназначен для детей старше 6 лет.
Комплектация: корпус карандаша, 12 сегментов со стержнями, колпачок в виде анимационного персонажа.
Размер индивидуальной упаковки: 3,5х8х1 см</t>
  </si>
  <si>
    <t>11438-2_NSDA</t>
  </si>
  <si>
    <t>Серия: Isadora. Карандаш простой сегментный с колпачком в виде анимационного персонажа</t>
  </si>
  <si>
    <t>11453-1_NSDA</t>
  </si>
  <si>
    <t>Серия Astria: Набор канцелярских принадлежностей в мини-рюкзачке (ручка, ластик, наклейки, блокнот)</t>
  </si>
  <si>
    <t>9х10,5х5</t>
  </si>
  <si>
    <t>Текстиль, бумага</t>
  </si>
  <si>
    <t>Набор канцелярских принадлежностей в тканевом мини-рюкзачке. Яркий дизайн, принт с изображением любимого сказочного персонажа. Мини-рюкзачок удобно носить не только в портфеле, он уместится в маленькой сумочке и кармане.
Набор предназначен для детей старше 7 лет.
Комплектация: брелок для рюкзака, мини-блокнот, маленькая гелевая ручка, страница с наклейками, коллекционный ластик.
Размер индивидуальной упаковки: 9 х 10,5 х 5 см</t>
  </si>
  <si>
    <t>11453-2_NSDA</t>
  </si>
  <si>
    <t>Серия Lilya: Набор канцелярских принадлежностей в мини-рюкзачке (ручка, ластик, наклейки, блокнот)</t>
  </si>
  <si>
    <t>11453-3_NSDA</t>
  </si>
  <si>
    <t>Серия Air: Набор канцелярских принадлежностей Agatha в мини-рюкзачке (ручка, ластик, наклейки, блокнот)</t>
  </si>
  <si>
    <t>11455-1_NSDA</t>
  </si>
  <si>
    <t>Серия Stella: Мини-блокнот для девочек (с брелоком и на кнопке)</t>
  </si>
  <si>
    <t>7,5х11х2,5</t>
  </si>
  <si>
    <t>Пушистый мини-блокнот для записей в виде персонажа Галактики Nebulous Stars – сказочного питомца. 
Яркий дизайн, разлинованные страницы с принтами. 
Мини-блокнот оборудован красивым брелоком на цепочке, в форме звезды.
Предназначен для детей старше 6 лет.
Комплектация: блокнот на кнопке (40 стр.)
Размер индивидуальной упаковки: 7,5х11х2,5 см</t>
  </si>
  <si>
    <t>11455-2_NSDA</t>
  </si>
  <si>
    <t>Серия Aura: Мини-блокнот для девочек (с брелоком и на кнопке)</t>
  </si>
  <si>
    <t>11455-3_NSDA</t>
  </si>
  <si>
    <t>Серия Elana: Мини-блокнот для девочек (с брелоком и на кнопке)</t>
  </si>
  <si>
    <t>11455-4_NSDA</t>
  </si>
  <si>
    <t>Серия Lilya: Мини-блокнот для девочек (с брелоком и на кнопке)</t>
  </si>
  <si>
    <t>11455-5_NSDA</t>
  </si>
  <si>
    <t>Серия Astria: Мини-блокнот для девочек (с брелоком и на кнопке)</t>
  </si>
  <si>
    <t>11455-6_NSDA</t>
  </si>
  <si>
    <t>Серия Air: Мини-блокнот Agatha для девочек (с брелоком и на кнопке)</t>
  </si>
  <si>
    <t>11457_NSDA</t>
  </si>
  <si>
    <t>Серия: Nenuphia. Блокнот-ежедневник для девочек, с ручкой и наклейками</t>
  </si>
  <si>
    <t>22,8х25,4х2,2</t>
  </si>
  <si>
    <t>Блокнот для записей в виде еженедельника от звёздочки Nenuphia – незаменимая вещь для умной, активной и ответственной девочки. Если ты ведёшь активную жизнь, хорошо учишься, занимаешься спортом или планируешь начать, если у тебя есть хобби и много друзей, то такой блокнот тебе просто необходим. Ты сможешь внести туда все занятия за неделю, даже за месяц, делать пометки и записи, маркировать наклейками удачные дни или мероприятия. распланировать свободное время и встречи с друзьями. В комплекте с блокнотом ты получишь ручку, линейку и наклейки-имоджи.
Блокнот предназначен для детей старше 6 лет.
Комплектация: блокнот-ежедневник, ручка шариковая, линейка, наклейки.
Размер индивидуальной упаковки: 22,8х25,4х2,2 см</t>
  </si>
  <si>
    <t>11501-1_NSDA</t>
  </si>
  <si>
    <t>Серия: Estrelia. Канцелярский мини-набор для записей, с блокнотом, ручкой и стикерами с цветным принтом</t>
  </si>
  <si>
    <t>10,9х13х1,6</t>
  </si>
  <si>
    <t>Яркий, удобный, многофункциональный канцелярский мини-набор для записей. В набор входит  блокнот с разлинованными страничками, 7 видов разноцветных стикеров со специальным посланием, ручка и яркие наклейки, как дополнение к посланию или записке.
Предназначен для детей старше 6 лет.
Комплектация: блокнот, 7 видов стикеров, наклейки, гелевая ручка
Размер индивидуальной упаковки: 10,9х13х1,6 см</t>
  </si>
  <si>
    <t>11501-2_NSDA</t>
  </si>
  <si>
    <t>Серия: Nenuphia. Канцелярский мини-набор для записей, с блокнотом, ручкой и стикерами с цветным принтом.</t>
  </si>
  <si>
    <t>11501-3_NSDA</t>
  </si>
  <si>
    <t>Серия: Hazelia. Канцелярский мини-набор для записей, с блокнотом, ручкой и стикерами с цветным принтом.</t>
  </si>
  <si>
    <t>11501-4_NSDA</t>
  </si>
  <si>
    <t>Серия: Iceana.Канцелярский мини-набор для записей, с блокнотом, ручкой и стикерами с цветным принтом.</t>
  </si>
  <si>
    <t>11511-1_NSDA</t>
  </si>
  <si>
    <t>Серия: Eclipsia. Ароматизированная шариковая ручка с меховым помпоном и подвеской</t>
  </si>
  <si>
    <t>7х19х7</t>
  </si>
  <si>
    <t>Оригинальная шариковая ручка с ароматизированными чернилами (вкусом винограда) и принтом с изображением звёздочки.
Ручка украшена большим ярким меховым помпоном, подвеской с кристаллом и кулоном в виде сказочного питомца, а также стильным брелоком в виде форме Nebulous Stars.  
Предназначена для детей старше 6 лет.
Комплектация: шариковая ручка с ароматизированными чернилами.
Размер индивидуальной упаковки: 7х19х7 см</t>
  </si>
  <si>
    <t>11511-2_NSDA</t>
  </si>
  <si>
    <t>Серия: Coralia. Ароматизированная шариковая ручка с меховым помпоном и подвеской</t>
  </si>
  <si>
    <t>Оригинальная шариковая ручка с ароматизированными чернилами (вкусом черники) и принтом с изображением звёздочки.
Ручка украшена большим ярким меховым помпоном, подвеской с кристаллом и кулоном в виде сказочного питомца, а также стильным брелоком в виде форме Nebulous Stars.  
Предназначена для детей старше 6 лет.
Комплектация: шариковая ручка с помпоном и ароматизированными чернилами.
Размер индивидуальной упаковки: 7х19х7 см</t>
  </si>
  <si>
    <t>11511-3_NSDA</t>
  </si>
  <si>
    <t>Серия: Hazelia. Ароматизированная шариковая ручка с меховым помпоном и подвеской</t>
  </si>
  <si>
    <t>Оригинальная шариковая ручка с ароматизированными чернилами (вкусом арбуза) и принтом с изображением звёздочки.
Ручка украшена большим ярким меховым помпоном, подвеской с кристаллом и кулоном в виде сказочного питомца, а также стильным брелоком в виде форме Nebulous Stars.  
Предназначена для детей старше 6 лет.
Комплектация: шариковая ручка с ароматизированными чернилами.
Размер индивидуальной упаковки: 7х19х7 см</t>
  </si>
  <si>
    <t>11511-4_NSDA</t>
  </si>
  <si>
    <t>Серия: Isadora. Ароматизированная шариковая ручка с меховым помпоном и подвеской</t>
  </si>
  <si>
    <t>Оригинальная шариковая ручка с ароматизированными чернилами (вкусом ванили) и принтом с изображением звёздочки.
Ручка украшена большим ярким меховым помпоном, подвеской с кристаллом и кулоном в виде сказочного питомца, а также стильным брелоком в виде форме Nebulous Stars.  
Предназначена для детей старше 6 лет.
Комплектация: шариковая ручка с ароматизированными чернилами.
Размер индивидуальной упаковки: 7х19х7 см</t>
  </si>
  <si>
    <t>11537_NSDA</t>
  </si>
  <si>
    <t>Серия Сoralia: Набор аэрозольных фломастеров (18 цветов)</t>
  </si>
  <si>
    <t>19,8х1,2х17</t>
  </si>
  <si>
    <t>Набор аэрозольных фломастеров для разукрашивания с помощью аэрозольной ручки и без неё. Включает использование фломастеры обычным способом, а также позволяет создавать дополнительный эффект путём распыления краски через специальное устройство.
Набор предназначен для детей старше 7 лет.
Комплектация: 18 ярких фломастеров (совместимы с аэрозольными ручками из наборов 11352_NSDA и 15152_NSDA).
Размер индивидуальной упаковки: 19,8 х 17 х 1,2 см</t>
  </si>
  <si>
    <t>11541-1_NSDA</t>
  </si>
  <si>
    <t>Серия: Estrelia. Ручка шариковая c пером, черные чернила</t>
  </si>
  <si>
    <t>24,5х4,5х1,5</t>
  </si>
  <si>
    <t>Яркая шариковая ручка с нежным пёрышком на конце. Пёрышко расписано разноцветным узором, у каждой звёздочки он свой. Ручка очень тонкая, лёгкая, спокойно поместится между страницами личного дневника, продаётся в коробочке с изображением звёздочки.
Предназначена для детей старше 6 лет.
Комплектация: шариковая ручка с расписанным перышком.
Размер индивидуальной упаковки: 24,5х4,5х1,5 см</t>
  </si>
  <si>
    <t>11541-2_NSDA</t>
  </si>
  <si>
    <t>Серия: Isadora. Ручка шариковая c пером, черные чернила</t>
  </si>
  <si>
    <t>11541-3_NSDA</t>
  </si>
  <si>
    <t>Серия: Petulia. Ручка шариковая c пером, черные чернила</t>
  </si>
  <si>
    <t>11541-4_NSDA</t>
  </si>
  <si>
    <t>Серия: Orelia. Ручка шариковая c пером, черные чернила</t>
  </si>
  <si>
    <t>11541-5_NSDA</t>
  </si>
  <si>
    <t>Серия: Сoralia. Ручка шариковая c пером, черные чернила</t>
  </si>
  <si>
    <t>11541-6_NSDA</t>
  </si>
  <si>
    <t>Серия: Nenuphia. Ручка шариковая c пером, черные чернила</t>
  </si>
  <si>
    <t>11576-1_NSDA</t>
  </si>
  <si>
    <t>Серия: Coralia. Набор цветных неоновых гелевых ручек (8 цветов)</t>
  </si>
  <si>
    <t>15,5х1х10,5</t>
  </si>
  <si>
    <t>Набор ярких гелевых ручек неоновых цветов, отлично подходят для выделения текста, раскрашивания и создания цветных картин, особенно, на бумаге черного цвета, 
Предназначены для детей старше 6 лет.
Комплектация: гелевые ручки 8 цветов.
Размер индивидуальной упаковки: 15,5х1х10,5 см</t>
  </si>
  <si>
    <t>11576-2_NSDA</t>
  </si>
  <si>
    <t>Серия: Hazelia. Набор цветных  гелевых ручек, металлик (8 цветов)</t>
  </si>
  <si>
    <t>Набор ярких гелевых ручек с эффектом металлик, отлично подходят для выделения текста, раскрашивания и создания цветных картин.
Предназначены для детей старше 6 лет.
Комплектация: гелевые ручки 8 цветов.
Размер индивидуальной упаковки: 15,5х1х10,5 см</t>
  </si>
  <si>
    <t>11579-1_NSDA</t>
  </si>
  <si>
    <t>Серия: Iceana. Блокнот 2в1 в жестком переплете, на резинке, с гелевой ручкой</t>
  </si>
  <si>
    <t>15,2х20,1х1,5</t>
  </si>
  <si>
    <t>Блокнот для записей в твёрдом переплёте, подходит для использования как ежедневник и личный дневник. 
Обладает красивым ярким дизайном и надёжно защищён ламинированной обложкой с основанием из твёрдого картона.
В комплект входит гелевая ручка, для которой предусмотрен специальный держатель. Закрывается и фиксируется на резинку.
Предназначен для детей старше 6 лет.
Комплектация: блокнот - 96 стр., гелевая ручка
Размер индивидуальной упаковки: 15,2х20,1х1,5 см</t>
  </si>
  <si>
    <t>11579-2_NSDA</t>
  </si>
  <si>
    <t>Серия: Coralia. Блокнот 2в1 в жестком переплете, на резинке, с гелевой ручкой</t>
  </si>
  <si>
    <t>11579-3_NSDA</t>
  </si>
  <si>
    <t>Серия: Hazelia. Блокнот 2в1 в жестком переплете, на резинке, с гелевой ручкой</t>
  </si>
  <si>
    <t>11583-1_NSDA</t>
  </si>
  <si>
    <t>Серия: Nebulia. Блокнот в жестком переплете со страницами черного цвета, на резинке, с шариковой ручкой</t>
  </si>
  <si>
    <t>15,2х20,1х1,2</t>
  </si>
  <si>
    <t>Блокнот для записей со страницами черного цвета с ярким неоновым принтом, в твёрдом переплёте. Подходит для использования как ежедневник или личный дневник. 
Обладает красивым ярким дизайном и надёжно защищён ламинированной обложкой с основанием из твёрдого картона.
В комплект входит гелевая ручка, для которой предусмотрен специальный держатель. Закрывается и фиксируется на резинку.
Предназначен для детей старше 6 лет.
Комплектация: блокнот - 96 стр., гелевая ручка
Размер индивидуальной упаковки: 15,2х20,1х1,2 см</t>
  </si>
  <si>
    <t>11583-2_NSDA</t>
  </si>
  <si>
    <t>Серия: Coralia. Блокнот в жестком переплете со страницами черного цвета, на резинке, с шариковой ручкой</t>
  </si>
  <si>
    <t>11583-3_NSDA</t>
  </si>
  <si>
    <t>Серия: Hazelia. Блокнот в жестком переплете со страницами черного цвета, на резинке, с шариковой ручкой</t>
  </si>
  <si>
    <t>11587-1_NSDA</t>
  </si>
  <si>
    <t>Серия: Marinia. Блокнот для записей со скетч страницами, вертикальный, на пружине</t>
  </si>
  <si>
    <t>11,5х14,5х2</t>
  </si>
  <si>
    <t>Блокнот для записей с двойной обложкой: первая часть с фигурной вырубкой, вторая с силуэтом для раскрашивания.
Блокнот вертикальный, на большой яркой пружине, в комплект входит 30 скетч страниц и 40 разлинованных страниц с разноцветными принтами.
Предназначен для детей старше 6 лет.
Комплектация: блокнот: 30 скетч-страниц, 40 разлинованных страниц.
Размер индивидуальной упаковки: 11,5х14,5х2 см</t>
  </si>
  <si>
    <t>11587-2_NSDA</t>
  </si>
  <si>
    <t>Серия: Petulia. Блокнот для записей со скетч страницами, вертикальный, на пружине</t>
  </si>
  <si>
    <t>11591-1_NSDA</t>
  </si>
  <si>
    <t>Серия: Eclipcia. Ручка шариковая 10-цветная</t>
  </si>
  <si>
    <t>15х1,5х1,5</t>
  </si>
  <si>
    <t>Яркая шариковая ручка с десятью стержнями разных цветов, украшена принтом с героиней Галактики Nebulous Stars и декорирована сверху маленькой фигуркой питомца. Ручка - компактная, простая в использовании, способна заменить сразу целый набор. 
Предназначена для детей старше 6 лет.
Комплектация: шариковая ручка 10-цветная.
Размер индивидуальной упаковки: 15х1,5х1,5 см</t>
  </si>
  <si>
    <t>11591-2_NSDA</t>
  </si>
  <si>
    <t>Серия: Marinia. Ручка шариковая 10-цветная</t>
  </si>
  <si>
    <t>11591-3_NSDA</t>
  </si>
  <si>
    <t>Серия: Petulia. Ручка шариковая 10-цветная</t>
  </si>
  <si>
    <t>11591-4_NSDA</t>
  </si>
  <si>
    <t>Серия: Iceania. Ручка шариковая 10-цветная</t>
  </si>
  <si>
    <t>11598_NSDA</t>
  </si>
  <si>
    <t>Серия Space: Набор канцелярских принадлежностей (карандаши, ластик, линейка, точилка)</t>
  </si>
  <si>
    <t>Набор канцелярских принадлежностей с изображением звёздочек Туманной галактики Nebulous. 
Набор предназначен для детей старше 7 лет.
Комплектация: карандаш с разноцветным грифелем, простой карандаш, ластик-карандаш, линейка, точилка для карандашей, прозрачный пенал на молнии.
Размер индивидуальной упаковки: 21,5 х 11 х 2 см</t>
  </si>
  <si>
    <t>11599-1_NSDA</t>
  </si>
  <si>
    <t>Серия: Nebulia. Ручка шариковая с помпоном и кристаллами</t>
  </si>
  <si>
    <t>20,3х0,5х0,5</t>
  </si>
  <si>
    <t>Яркая шариковая ручка c изображением звёздочки Nebulia украшена большим волшебным кристаллом снаружи и множеством маленьких разноцветных кристаллов внутри. Яркий помпон и металлический логотип NS придают особый шарм и подчёркивают уникальность товара. 
Предназначена для детей старше 6 лет.
Комплектация: шариковая ручка с выдвигающимся механизмом, цвет чернил - черный.
Размер индивидуальной упаковки: 20,3х6,2х0,5 см</t>
  </si>
  <si>
    <t>11599-2_NSDA</t>
  </si>
  <si>
    <t>Серия: Marinia. Ручка шариковая с помпоном и кристаллами</t>
  </si>
  <si>
    <t>Яркая шариковая ручка c изображением звёздочки Marinia украшена большим волшебным кристаллом снаружи и множеством маленьких разноцветных кристаллов внутри. Яркий помпон и металлический логотип NS придают особый шарм и подчёркивают уникальность товара. 
Предназначена для детей старше 6 лет.
Комплектация: шариковая ручка с выдвигающимся механизмом, цвет чернил - черный.
Размер индивидуальной упаковки: 20,3х6,2х0,5 см</t>
  </si>
  <si>
    <t>11599-3_NSDA</t>
  </si>
  <si>
    <t>Серия: Orelia. Ручка шариковая с помпоном и кристаллами</t>
  </si>
  <si>
    <t>Яркая шариковая ручка c изображением звёздочки Orelia украшена большим волшебным кристаллом снаружи и множеством маленьких разноцветных кристаллов внутри. Яркий помпон и металлический логотип NS придают особый шарм и подчёркивают уникальность товара. 
Предназначена для детей старше 6 лет.
Комплектация: шариковая ручка с выдвигающимся механизмом, цвет чернил - черный.
Размер индивидуальной упаковки: 20,3х6,2х0,5 см</t>
  </si>
  <si>
    <t>11599-4_NSDA</t>
  </si>
  <si>
    <t>Серия: Isadora. Ручка шариковая с помпоном и кристаллами</t>
  </si>
  <si>
    <t>Яркая шариковая ручка c изображением звёздочки Isadora украшена большим волшебным кристаллом снаружи и множеством маленьких разноцветных кристаллов внутри. Яркий помпон и металлический логотип NS придают особый шарм и подчёркивают уникальность товара. 
Предназначена для детей старше 6 лет.
Комплектация: шариковая ручка с выдвигающимся механизмом, цвет чернил - черный.
Размер индивидуальной упаковки: 20,3х6,2х0,5 см</t>
  </si>
  <si>
    <t>12511_NSDA</t>
  </si>
  <si>
    <t>Серия Aura: Блокнот для девочек (с замком и ключом)</t>
  </si>
  <si>
    <t>23,5х2,5х15</t>
  </si>
  <si>
    <t>Личный дневник для хранения секретов от питомца звёздочки Isadora – Ауры. Дневник имеет разлинованные страницы для записей, закрывается на замочек.
Предназначен для детей старше 6 лет.
Комплектация: блокнот - 100 стр., замочек, ключик.
Размер индивидуальной упаковки: 10,7 х 14 х 20 см</t>
  </si>
  <si>
    <t>https://youtu.be/e4fNcavjhuA</t>
  </si>
  <si>
    <t>12512_NSDA</t>
  </si>
  <si>
    <t>Серия Stella: Блокнот для девочек (с замком и ключом)</t>
  </si>
  <si>
    <t>23х2,5х15</t>
  </si>
  <si>
    <t>Личный дневник для хранения секретов от любимого питомца звездочки Nebulia – Стеллы. Она тоже умеет хранить секреты, так что смело записывай их в свой дневник, но только не забывай закрывать на замок, пусть их услышит вселенная и больше никто.
Предназначен для детей старше 6 лет.
Комплектация: блокнот - 100 стр., замочек, ключик.
Размер индивидуальной упаковки: 10,7 х 14 х 20 см</t>
  </si>
  <si>
    <t>12513_NSDA</t>
  </si>
  <si>
    <t>Серия Lumina: Блокнот для девочек (с замком и ключом)</t>
  </si>
  <si>
    <t>22,2х2,5х15</t>
  </si>
  <si>
    <t>Личный дневник для хранения секретов от любимого питомца звездочки Orelia – Люмины. Она тоже умеет хранить секреты, так что смело записывай их в свой дневник, но только не забывай закрывать на замок, пусть их услышит вселенная и больше никто.
Предназначен для детей старше 6 лет.
Комплектация: блокнот, замочек, ключик</t>
  </si>
  <si>
    <t>12521_NSDA</t>
  </si>
  <si>
    <t>Серия Astria: Блокнот для девочек 2в1</t>
  </si>
  <si>
    <t>20,32х3х25,4</t>
  </si>
  <si>
    <t>Записывайте все свои истории в этот гигантский пушистый блокнот! Астрия также прячет у себя в кармашке маленький блокнот на пружине.
Предназначен для детей старше 6 лет.
Комплектация: блокнот - 100 стр., мини-блокнот.
Размер индивидуальной упаковки: 20,3 х 2,5 х 25,4 см</t>
  </si>
  <si>
    <t>12522_NSDA</t>
  </si>
  <si>
    <t>Серия Lilya: Блокнот для девочек 2в1</t>
  </si>
  <si>
    <t>Записывайте все свои истории в этот гигантский пушистый дневник. Лилия также прячет у себя в кармашке маленький блокнот на пружине.
Предназначен для детей старше 6 лет.
Комплектация: блокнот - 100 стр., мини-блокнот, замочек, ключик.
Размер индивидуальной упаковки: 20,3 х 2,5 х 25,4 см</t>
  </si>
  <si>
    <t>12523_NSDA</t>
  </si>
  <si>
    <t>Серия Air: Блокнот для девочек Agatha 2в1</t>
  </si>
  <si>
    <t>Записывайте все свои истории в этот гигантский пушистый дневник. Агата также прячет у себя в кармашке маленький блокнот на пружине.
Предназначен для детей старше 6 лет.
Комплектация: блокнот - 100 стр., мини-блокнот.
Размер индивидуальной упаковки: 20,3 х 2,5 х 25,4 см</t>
  </si>
  <si>
    <t>Рюкзаки, сумки</t>
  </si>
  <si>
    <t>12531_NSDA</t>
  </si>
  <si>
    <t>Серия Nebulia: Рюкзак-трансформер на колёсиках, для девочек (2в1, выдвижная ручка)</t>
  </si>
  <si>
    <t>34,5х25х52</t>
  </si>
  <si>
    <t>Текстиль, пластик, металл</t>
  </si>
  <si>
    <t>Рюкзак-трансформер на колёсиках. Может использоваться как мини чемоданчик и как школьный рюкзак. Состоит из двух отделений, закрывающихся на молнию, оборудован специальной выдвижной ручкой, эргономичной спинкой и регулируемыми плечевыми ремнями. Материал верха и подкладки - 100% полиэстер.
Размер: 34,5 х 52 х 25 см</t>
  </si>
  <si>
    <t>12532_NSDA</t>
  </si>
  <si>
    <t>Серия Isadora: Рюкзак-трансформер на колёсиках, для девочек (2в1, выдвижная ручка)</t>
  </si>
  <si>
    <t>12533_NSDA</t>
  </si>
  <si>
    <t>Серия Nenuphia: Рюкзак-трансформер на колёсиках, для девочек (2в1, выдвижная ручка)</t>
  </si>
  <si>
    <t>12541_NSDA</t>
  </si>
  <si>
    <t>Серия Nebulia: Школьный рюкзак для девочек (3 отделения)</t>
  </si>
  <si>
    <t>32х21,5х42</t>
  </si>
  <si>
    <t>Школьный рюкзак. Состоит из трёх отделений, закрывающихся на молнию, оборудован эргономичной спинкой, сетчатым боковым карманом для бутылочки с водой и регулируемыми плечевыми ремнями. 
Материал верха и подкладки - 100% полиэстер.
Размер: 34,5 х 52 х 25 см</t>
  </si>
  <si>
    <t>12542_NSDA</t>
  </si>
  <si>
    <t>Серия Isadora: Школьный рюкзак для девочек (3 отделения)</t>
  </si>
  <si>
    <t>12543_NSDA</t>
  </si>
  <si>
    <t>Серия Nenuphia: Школьный рюкзак для девочек (3 отделения)</t>
  </si>
  <si>
    <t>12561_NSDA</t>
  </si>
  <si>
    <t>Серия Nebulia: Школьный пенал для девочек с 2 отделениями</t>
  </si>
  <si>
    <t>23х8х10</t>
  </si>
  <si>
    <t>Школьный пенал для размещения канцелярских принадлежностей. Состоит из двух отделений, закрывающихся на молнию, отличается ярким и привлекательным дизайном, устойчивым тканевым каркасом, большой вместимостью и безупречным качеством. 
Материал - 100% полиэстер.
Предназначен для детей старше 7 лет.
Комплектация: пенал
Размер индивидуальной упаковки: 23 х 10 х 8 см</t>
  </si>
  <si>
    <t>12562_NSDA</t>
  </si>
  <si>
    <t>Серия Isadora: Школьный пенал для девочек с 2 отделениями</t>
  </si>
  <si>
    <t>12563_NSDA</t>
  </si>
  <si>
    <t>Серия Nenuphia: Школьный пенал для девочек с 2 отделениями</t>
  </si>
  <si>
    <t>12571_NSDA</t>
  </si>
  <si>
    <t>Серия Nebulia: Сумка-мешок для сменной обуви, спортивной одежды, для девочки</t>
  </si>
  <si>
    <t>35х1х45</t>
  </si>
  <si>
    <t>Лёгкая сумка-мешок с передним карманом на молнии. Прекрасное дополнение к школьному рюкзаку или пеналу с принтами на тему Туманной галактики Nebulous. Предназначена для переноски спортивной формы и сменной обуви. Сумка оснащена удобными лямками из шнура, которые надёжно затягиваются сверху, предотвращая раскрытие в процессе ношения.
Материал - 100% полиэстер.
Предназначен для детей старше 7 лет.
Комплектация: сумка-мешок
Размер индивидуальной упаковки: 35 х 45 х 1 см</t>
  </si>
  <si>
    <t>12572_NSDA</t>
  </si>
  <si>
    <t>Серия Isadora: Сумка-мешок для сменной обуви, спортивной одежды, для девочки</t>
  </si>
  <si>
    <t>12573_NSDA</t>
  </si>
  <si>
    <t>Серия Nenuphia: Сумка-мешок для сменной обуви, спортивной одежды, для девочки</t>
  </si>
  <si>
    <t>12581_NSDA</t>
  </si>
  <si>
    <t>Серия Nebulia: Термосумка для ланчбокса, для девочек</t>
  </si>
  <si>
    <t>23х9х21,5</t>
  </si>
  <si>
    <t>Сумка для ланчбокса с принтами на тему Туманной галактики Nebulous. Состоит из большого отделения на молнии, оснащена передним карманом, боковым сетчатым кармашком и съёмным регулируемым ремешком для комфортного ношения. Благодаря внутреннему фольгированному слою твой содержимое остаётся свежим на протяжении долгого времени. Сумка изготовлена из безопасных материалов, пригодных для близкого контакта с пищей.
Материал - 100% полиэстер.
Предназначен для детей старше 7 лет.
Комплектация: сумка
Размер индивидуальной упаковки: 23 х 21,5 х 9 см</t>
  </si>
  <si>
    <t>12582_NSDA</t>
  </si>
  <si>
    <t>Серия Isadora: Термосумка для ланчбокса, для девочек</t>
  </si>
  <si>
    <t>12583_NSDA</t>
  </si>
  <si>
    <t>Серия Nenuphia: Термосумка для ланчбокса, для девочек</t>
  </si>
  <si>
    <t>25,5х11х21,5</t>
  </si>
  <si>
    <t>12602_NSDA</t>
  </si>
  <si>
    <t>Серия Estrelia: Школьный пенал с наполнением для девочек (3 отделения)</t>
  </si>
  <si>
    <t>6х14,5х20,5</t>
  </si>
  <si>
    <t>12603_NSDA</t>
  </si>
  <si>
    <t>Серия Nenuphia:  Школьный пенал с наполнением для девочек (3 отделения)</t>
  </si>
  <si>
    <t>12604_NSDA</t>
  </si>
  <si>
    <t>Серия Hazelia: Школьный пенал для девочек с наполнением (3 отделения)</t>
  </si>
  <si>
    <t>12605_NSDA</t>
  </si>
  <si>
    <t>Серия Isadora:  Школьный пенал с наполнением для девочек (3 отделения)</t>
  </si>
  <si>
    <t>12622_NSDA</t>
  </si>
  <si>
    <t>Серия Estrelia: Кошелек для девочек, с картхолдером и отделением для монет</t>
  </si>
  <si>
    <t>12,5х3,6х10</t>
  </si>
  <si>
    <t>Кошелёк для девочки с ярким запоминающимся дизайном. Включает отделение для монет (на молнии), несколько кармашков для кредитных карт и отделение для бумажных денег. Кошелёк складывается пополам и застёгивается на кнопку.
Материал - 100% полиэстер.
Предназначен для детей старше 7 лет.
Комплектация: сумка
Размер индивидуальной упаковки: 12,5 х 10 х 3,6 см</t>
  </si>
  <si>
    <t>12623_NSDA</t>
  </si>
  <si>
    <t>Серия Nenuphia: Кошелек для девочек, с картхолдером и отделением для монет</t>
  </si>
  <si>
    <t>12624_NSDA</t>
  </si>
  <si>
    <t>Серия Hazelia: Кошелек для девочек, с картхолдером и отделением для монет</t>
  </si>
  <si>
    <t>12625_NSDA</t>
  </si>
  <si>
    <t>Серия Isadora: Кошелек для девочек, с картхолдером и отделением для монет</t>
  </si>
  <si>
    <t>12,46х3,6х10</t>
  </si>
  <si>
    <t>Кошелёк для девочки с ярким запоминающимся дизайном. Включает отделение для монет (на молнии), несколько кармашков для кредитных карт и отделение для бумажных денег. Кошелёк складывается пополам и застёгивается на кнопку.
Материал - 100% полиэстер.
Предназначен для детей старше 7 лет.
Комплектация: кошелек
Размер индивидуальной упаковки: 12,5 х 10 х 3,6 см</t>
  </si>
  <si>
    <t>12642_NSDA</t>
  </si>
  <si>
    <t>Серия Estrelia: Рюкзак для девочек (3 отделения)</t>
  </si>
  <si>
    <t>22,5х14х24</t>
  </si>
  <si>
    <t>Мини-рюкзак серии Estrelia с 3 отделениями, закрывающимися на молнию и двумя боковыми кармашками. Обладает ярким и привлекательный дизайном, большой вместительностью при небольшом размере и безупречным качеством. У рюкзака устойчивый тканевый каркас, все отделения закрываются на молнию, можно носить как на спине, так и через плечо.
Материал - 100% полиэстер.
Размер: 22,5 х 24 х 14 см</t>
  </si>
  <si>
    <t>12643_NSDA</t>
  </si>
  <si>
    <t>Серия Nenuphia: Рюкзак для девочек (3 отделения)</t>
  </si>
  <si>
    <t>Мини-рюкзак серии Nenuphia с 3 отделениями, закрывающимися на молнию и двумя боковыми кармашками. Обладает ярким и привлекательный дизайном, большой вместительностью при небольшом размере и безупречным качеством. У рюкзака устойчивый тканевый каркас, все отделения закрываются на молнию, можно носить как на спине, так и через плечо.
Материал - 100% полиэстер.
Размер: 22,5 х 24 х 14 см</t>
  </si>
  <si>
    <t>12644_NSDA</t>
  </si>
  <si>
    <t>Серия Hazelia: Рюкзак для девочек (3 отделения)</t>
  </si>
  <si>
    <t>Мини-рюкзак серии Hazelia с 3 отделениями, закрывающимися на молнию и двумя боковыми кармашками. Обладает ярким и привлекательный дизайном, большой вместительностью при небольшом размере и безупречным качеством. У рюкзака устойчивый тканевый каркас, все отделения закрываются на молнию, можно носить как на спине, так и через плечо.
Материал - 100% полиэстер.
Размер: 22,5 х 24 х 14 см</t>
  </si>
  <si>
    <t>12645_NSDA</t>
  </si>
  <si>
    <t>Серия Isadora: Рюкзак для девочек (3 отделения)</t>
  </si>
  <si>
    <t>Мини-рюкзак серии Isadora с 3 отделениями, закрывающимися на молнию и двумя боковыми кармашками. Обладает ярким и привлекательный дизайном, большой вместительностью при небольшом размере и безупречным качеством. У рюкзака устойчивый тканевый каркас, все отделения закрываются на молнию, можно носить как на спине, так и через плечо.
Материал - 100% полиэстер.
Размер: 22,5 х 24 х 14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</si>
</sst>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000000000000"/>
    <numFmt numFmtId="167" formatCode="0.000"/>
    <numFmt numFmtId="168" formatCode="0.0000"/>
  </numFmts>
  <fonts count="3" x14ac:knownFonts="1">
    <font>
      <sz val="8"/>
      <name val="Arial"/>
    </font>
    <font>
      <b/>
      <sz val="9"/>
      <name val="Arial"/>
      <family val="2"/>
    </font>
    <font>
      <u/>
      <sz val="8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/>
    </xf>
    <xf numFmtId="167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68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2" fillId="0" borderId="1" xfId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E202"/>
  <sheetViews>
    <sheetView tabSelected="1" topLeftCell="L1" workbookViewId="0">
      <selection activeCell="F2" sqref="F2"/>
    </sheetView>
  </sheetViews>
  <sheetFormatPr defaultColWidth="10.5" defaultRowHeight="99.95" customHeight="1" x14ac:dyDescent="0.2"/>
  <cols>
    <col min="1" max="12" width="15.83203125" style="1" customWidth="1"/>
    <col min="13" max="13" width="10.5" style="1" customWidth="1"/>
    <col min="14" max="14" width="67" style="13" customWidth="1"/>
    <col min="15" max="57" width="15.83203125" style="1" customWidth="1"/>
  </cols>
  <sheetData>
    <row r="1" spans="1:57" ht="99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1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6" t="s">
        <v>54</v>
      </c>
      <c r="BD1" s="2" t="s">
        <v>55</v>
      </c>
      <c r="BE1" s="2" t="s">
        <v>56</v>
      </c>
    </row>
    <row r="2" spans="1:57" ht="99.95" customHeight="1" x14ac:dyDescent="0.2">
      <c r="A2" s="3" t="s">
        <v>58</v>
      </c>
      <c r="B2" s="3" t="s">
        <v>58</v>
      </c>
      <c r="C2" s="3" t="s">
        <v>59</v>
      </c>
      <c r="D2" s="3" t="s">
        <v>60</v>
      </c>
      <c r="E2" s="12" t="s">
        <v>61</v>
      </c>
      <c r="F2" s="4">
        <v>4607945234581</v>
      </c>
      <c r="G2" s="3" t="s">
        <v>62</v>
      </c>
      <c r="H2" s="3" t="s">
        <v>63</v>
      </c>
      <c r="I2" s="3" t="s">
        <v>64</v>
      </c>
      <c r="J2" s="3" t="s">
        <v>63</v>
      </c>
      <c r="K2" s="5">
        <v>1.31E-3</v>
      </c>
      <c r="L2" s="6">
        <v>0.1</v>
      </c>
      <c r="M2" s="3" t="s">
        <v>65</v>
      </c>
      <c r="N2" s="12" t="s">
        <v>66</v>
      </c>
      <c r="O2" s="3"/>
      <c r="P2" s="14" t="str">
        <f>HYPERLINK("http://www.paremo.ru/upload/images/goods/aa5b1c0f-7350-4d71-bfd9-261d3db4a919_01.jpg", "Фото 1")</f>
        <v>Фото 1</v>
      </c>
      <c r="Q2" s="3" t="str">
        <f>HYPERLINK("http://www.paremo.ru/upload/images/goods/aa5b1c0f-7350-4d71-bfd9-261d3db4a919_02.jpg", "Фото 2")</f>
        <v>Фото 2</v>
      </c>
      <c r="R2" s="3" t="str">
        <f>HYPERLINK("http://www.paremo.ru/upload/images/goods/aa5b1c0f-7350-4d71-bfd9-261d3db4a919_03.jpg", "Фото 3")</f>
        <v>Фото 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7"/>
      <c r="BD2" s="3" t="s">
        <v>57</v>
      </c>
      <c r="BE2" s="4">
        <v>3923301090</v>
      </c>
    </row>
    <row r="3" spans="1:57" ht="99.95" customHeight="1" x14ac:dyDescent="0.2">
      <c r="A3" s="3" t="s">
        <v>58</v>
      </c>
      <c r="B3" s="3" t="s">
        <v>58</v>
      </c>
      <c r="C3" s="3" t="s">
        <v>59</v>
      </c>
      <c r="D3" s="3" t="s">
        <v>60</v>
      </c>
      <c r="E3" s="12" t="s">
        <v>67</v>
      </c>
      <c r="F3" s="4">
        <v>4607945234628</v>
      </c>
      <c r="G3" s="3" t="s">
        <v>68</v>
      </c>
      <c r="H3" s="3" t="s">
        <v>63</v>
      </c>
      <c r="I3" s="3" t="s">
        <v>64</v>
      </c>
      <c r="J3" s="3" t="s">
        <v>63</v>
      </c>
      <c r="K3" s="5">
        <v>1.31E-3</v>
      </c>
      <c r="L3" s="6">
        <v>0.1</v>
      </c>
      <c r="M3" s="3" t="s">
        <v>65</v>
      </c>
      <c r="N3" s="12" t="s">
        <v>66</v>
      </c>
      <c r="O3" s="3"/>
      <c r="P3" s="3" t="str">
        <f>HYPERLINK("http://www.paremo.ru/upload/images/goods/dfbdeabc-3ed9-485c-8846-38a11b78db1c_01.jpg", "Фото 1")</f>
        <v>Фото 1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17"/>
      <c r="BD3" s="3" t="s">
        <v>57</v>
      </c>
      <c r="BE3" s="4">
        <v>3923301090</v>
      </c>
    </row>
    <row r="4" spans="1:57" ht="99.95" customHeight="1" x14ac:dyDescent="0.2">
      <c r="A4" s="3" t="s">
        <v>58</v>
      </c>
      <c r="B4" s="3" t="s">
        <v>58</v>
      </c>
      <c r="C4" s="3" t="s">
        <v>59</v>
      </c>
      <c r="D4" s="3" t="s">
        <v>60</v>
      </c>
      <c r="E4" s="12" t="s">
        <v>69</v>
      </c>
      <c r="F4" s="4">
        <v>4607945234642</v>
      </c>
      <c r="G4" s="3" t="s">
        <v>70</v>
      </c>
      <c r="H4" s="3" t="s">
        <v>63</v>
      </c>
      <c r="I4" s="3" t="s">
        <v>64</v>
      </c>
      <c r="J4" s="3" t="s">
        <v>63</v>
      </c>
      <c r="K4" s="5">
        <v>1.31E-3</v>
      </c>
      <c r="L4" s="6">
        <v>0.1</v>
      </c>
      <c r="M4" s="3" t="s">
        <v>65</v>
      </c>
      <c r="N4" s="12" t="s">
        <v>66</v>
      </c>
      <c r="O4" s="3"/>
      <c r="P4" s="3" t="str">
        <f>HYPERLINK("http://www.paremo.ru/upload/images/goods/83b35320-b14d-48d6-97f6-3bd322b71800_01.jpg", "Фото 1")</f>
        <v>Фото 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17"/>
      <c r="BD4" s="3" t="s">
        <v>57</v>
      </c>
      <c r="BE4" s="4">
        <v>3923301090</v>
      </c>
    </row>
    <row r="5" spans="1:57" ht="99.95" customHeight="1" x14ac:dyDescent="0.2">
      <c r="A5" s="3" t="s">
        <v>58</v>
      </c>
      <c r="B5" s="3" t="s">
        <v>58</v>
      </c>
      <c r="C5" s="3" t="s">
        <v>59</v>
      </c>
      <c r="D5" s="3" t="s">
        <v>60</v>
      </c>
      <c r="E5" s="12" t="s">
        <v>71</v>
      </c>
      <c r="F5" s="4">
        <v>4607945234659</v>
      </c>
      <c r="G5" s="3" t="s">
        <v>72</v>
      </c>
      <c r="H5" s="3" t="s">
        <v>63</v>
      </c>
      <c r="I5" s="3" t="s">
        <v>64</v>
      </c>
      <c r="J5" s="3" t="s">
        <v>63</v>
      </c>
      <c r="K5" s="5">
        <v>1.31E-3</v>
      </c>
      <c r="L5" s="6">
        <v>0.1</v>
      </c>
      <c r="M5" s="3" t="s">
        <v>65</v>
      </c>
      <c r="N5" s="12" t="s">
        <v>66</v>
      </c>
      <c r="O5" s="3"/>
      <c r="P5" s="3" t="str">
        <f>HYPERLINK("http://www.paremo.ru/upload/images/goods/975b2d7d-2dfc-4584-bd1e-bb25a388fbed_01.jpg", "Фото 1")</f>
        <v>Фото 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7"/>
      <c r="BD5" s="3" t="s">
        <v>57</v>
      </c>
      <c r="BE5" s="4">
        <v>3923301090</v>
      </c>
    </row>
    <row r="6" spans="1:57" ht="99.95" customHeight="1" x14ac:dyDescent="0.2">
      <c r="A6" s="3" t="s">
        <v>58</v>
      </c>
      <c r="B6" s="3" t="s">
        <v>58</v>
      </c>
      <c r="C6" s="3" t="s">
        <v>59</v>
      </c>
      <c r="D6" s="3" t="s">
        <v>60</v>
      </c>
      <c r="E6" s="12" t="s">
        <v>73</v>
      </c>
      <c r="F6" s="7">
        <v>694704114561</v>
      </c>
      <c r="G6" s="3" t="s">
        <v>74</v>
      </c>
      <c r="H6" s="3" t="s">
        <v>75</v>
      </c>
      <c r="I6" s="3" t="s">
        <v>76</v>
      </c>
      <c r="J6" s="3" t="s">
        <v>75</v>
      </c>
      <c r="K6" s="5">
        <v>1.41E-3</v>
      </c>
      <c r="L6" s="6">
        <v>0.3</v>
      </c>
      <c r="M6" s="3" t="s">
        <v>65</v>
      </c>
      <c r="N6" s="12" t="s">
        <v>77</v>
      </c>
      <c r="O6" s="3"/>
      <c r="P6" s="3" t="str">
        <f>HYPERLINK("http://www.paremo.ru/upload/images/goods/b3c88571-08a1-47fb-ac53-507821d3e2d7_01.jpg", "Фото 1")</f>
        <v>Фото 1</v>
      </c>
      <c r="Q6" s="3" t="str">
        <f>HYPERLINK("http://www.paremo.ru/upload/images/goods/b3c88571-08a1-47fb-ac53-507821d3e2d7_02.jpg", "Фото 2")</f>
        <v>Фото 2</v>
      </c>
      <c r="R6" s="3" t="str">
        <f>HYPERLINK("http://www.paremo.ru/upload/images/goods/b3c88571-08a1-47fb-ac53-507821d3e2d7_03.jpg", "Фото 3")</f>
        <v>Фото 3</v>
      </c>
      <c r="S6" s="3" t="str">
        <f>HYPERLINK("http://www.paremo.ru/upload/images/goods/b3c88571-08a1-47fb-ac53-507821d3e2d7_04.jpg", "Фото 4")</f>
        <v>Фото 4</v>
      </c>
      <c r="T6" s="3" t="str">
        <f>HYPERLINK("http://www.paremo.ru/upload/images/goods/b3c88571-08a1-47fb-ac53-507821d3e2d7_05.jpg", "Фото 5")</f>
        <v>Фото 5</v>
      </c>
      <c r="U6" s="3" t="str">
        <f>HYPERLINK("http://www.paremo.ru/upload/images/goods/b3c88571-08a1-47fb-ac53-507821d3e2d7_06.jpg", "Фото 6")</f>
        <v>Фото 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17"/>
      <c r="BD6" s="3" t="s">
        <v>57</v>
      </c>
      <c r="BE6" s="4">
        <v>3923301090</v>
      </c>
    </row>
    <row r="7" spans="1:57" ht="99.95" customHeight="1" x14ac:dyDescent="0.2">
      <c r="A7" s="3" t="s">
        <v>58</v>
      </c>
      <c r="B7" s="3" t="s">
        <v>58</v>
      </c>
      <c r="C7" s="3" t="s">
        <v>59</v>
      </c>
      <c r="D7" s="3" t="s">
        <v>60</v>
      </c>
      <c r="E7" s="12" t="s">
        <v>78</v>
      </c>
      <c r="F7" s="4">
        <v>4607945234741</v>
      </c>
      <c r="G7" s="3" t="s">
        <v>79</v>
      </c>
      <c r="H7" s="3" t="s">
        <v>80</v>
      </c>
      <c r="I7" s="3" t="s">
        <v>64</v>
      </c>
      <c r="J7" s="3" t="s">
        <v>80</v>
      </c>
      <c r="K7" s="8">
        <v>1E-3</v>
      </c>
      <c r="L7" s="6">
        <v>0.1</v>
      </c>
      <c r="M7" s="3" t="s">
        <v>65</v>
      </c>
      <c r="N7" s="12" t="s">
        <v>81</v>
      </c>
      <c r="O7" s="3"/>
      <c r="P7" s="3" t="str">
        <f>HYPERLINK("http://www.paremo.ru/upload/images/goods/2ac4e995-9faf-4e12-aca8-a2cf3c03ff3f_01.jpg", "Фото 1")</f>
        <v>Фото 1</v>
      </c>
      <c r="Q7" s="3" t="str">
        <f>HYPERLINK("http://www.paremo.ru/upload/images/goods/2ac4e995-9faf-4e12-aca8-a2cf3c03ff3f_02.jpg", "Фото 2")</f>
        <v>Фото 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17"/>
      <c r="BD7" s="3" t="s">
        <v>57</v>
      </c>
      <c r="BE7" s="4">
        <v>9615110000</v>
      </c>
    </row>
    <row r="8" spans="1:57" ht="99.95" customHeight="1" x14ac:dyDescent="0.2">
      <c r="A8" s="3" t="s">
        <v>58</v>
      </c>
      <c r="B8" s="3" t="s">
        <v>58</v>
      </c>
      <c r="C8" s="3" t="s">
        <v>59</v>
      </c>
      <c r="D8" s="3" t="s">
        <v>60</v>
      </c>
      <c r="E8" s="12" t="s">
        <v>82</v>
      </c>
      <c r="F8" s="4">
        <v>4607945234758</v>
      </c>
      <c r="G8" s="3" t="s">
        <v>83</v>
      </c>
      <c r="H8" s="3" t="s">
        <v>80</v>
      </c>
      <c r="I8" s="3" t="s">
        <v>64</v>
      </c>
      <c r="J8" s="3" t="s">
        <v>80</v>
      </c>
      <c r="K8" s="8">
        <v>1E-3</v>
      </c>
      <c r="L8" s="6">
        <v>0.1</v>
      </c>
      <c r="M8" s="3" t="s">
        <v>65</v>
      </c>
      <c r="N8" s="12" t="s">
        <v>81</v>
      </c>
      <c r="O8" s="3"/>
      <c r="P8" s="3" t="str">
        <f>HYPERLINK("http://www.paremo.ru/upload/images/goods/a7644116-21b0-4895-8b1d-17267ac1ddf1_01.jpg", "Фото 1")</f>
        <v>Фото 1</v>
      </c>
      <c r="Q8" s="3" t="str">
        <f>HYPERLINK("http://www.paremo.ru/upload/images/goods/a7644116-21b0-4895-8b1d-17267ac1ddf1_02.jpg", "Фото 2")</f>
        <v>Фото 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7"/>
      <c r="BD8" s="3" t="s">
        <v>57</v>
      </c>
      <c r="BE8" s="4">
        <v>9615110000</v>
      </c>
    </row>
    <row r="9" spans="1:57" ht="99.95" customHeight="1" x14ac:dyDescent="0.2">
      <c r="A9" s="3" t="s">
        <v>58</v>
      </c>
      <c r="B9" s="3" t="s">
        <v>58</v>
      </c>
      <c r="C9" s="3" t="s">
        <v>59</v>
      </c>
      <c r="D9" s="3" t="s">
        <v>60</v>
      </c>
      <c r="E9" s="12" t="s">
        <v>84</v>
      </c>
      <c r="F9" s="4">
        <v>4607945234765</v>
      </c>
      <c r="G9" s="3" t="s">
        <v>85</v>
      </c>
      <c r="H9" s="3" t="s">
        <v>80</v>
      </c>
      <c r="I9" s="3" t="s">
        <v>64</v>
      </c>
      <c r="J9" s="3" t="s">
        <v>80</v>
      </c>
      <c r="K9" s="8">
        <v>1E-3</v>
      </c>
      <c r="L9" s="6">
        <v>0.1</v>
      </c>
      <c r="M9" s="3" t="s">
        <v>65</v>
      </c>
      <c r="N9" s="12" t="s">
        <v>81</v>
      </c>
      <c r="O9" s="3"/>
      <c r="P9" s="3" t="str">
        <f>HYPERLINK("http://www.paremo.ru/upload/images/goods/dd6f78cb-00ef-4c31-99d0-e71ae0b93c22_01.jpg", "Фото 1")</f>
        <v>Фото 1</v>
      </c>
      <c r="Q9" s="3" t="str">
        <f>HYPERLINK("http://www.paremo.ru/upload/images/goods/dd6f78cb-00ef-4c31-99d0-e71ae0b93c22_02.jpg", "Фото 2")</f>
        <v>Фото 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17"/>
      <c r="BD9" s="3" t="s">
        <v>57</v>
      </c>
      <c r="BE9" s="4">
        <v>9615110000</v>
      </c>
    </row>
    <row r="10" spans="1:57" ht="99.95" customHeight="1" x14ac:dyDescent="0.2">
      <c r="A10" s="3" t="s">
        <v>58</v>
      </c>
      <c r="B10" s="3" t="s">
        <v>58</v>
      </c>
      <c r="C10" s="3" t="s">
        <v>59</v>
      </c>
      <c r="D10" s="3" t="s">
        <v>60</v>
      </c>
      <c r="E10" s="12" t="s">
        <v>86</v>
      </c>
      <c r="F10" s="4">
        <v>4607945234772</v>
      </c>
      <c r="G10" s="3" t="s">
        <v>87</v>
      </c>
      <c r="H10" s="3" t="s">
        <v>80</v>
      </c>
      <c r="I10" s="3" t="s">
        <v>64</v>
      </c>
      <c r="J10" s="3" t="s">
        <v>80</v>
      </c>
      <c r="K10" s="8">
        <v>1E-3</v>
      </c>
      <c r="L10" s="6">
        <v>0.1</v>
      </c>
      <c r="M10" s="3" t="s">
        <v>65</v>
      </c>
      <c r="N10" s="12" t="s">
        <v>81</v>
      </c>
      <c r="O10" s="3"/>
      <c r="P10" s="3" t="str">
        <f>HYPERLINK("http://www.paremo.ru/upload/images/goods/a30887a6-b33b-463f-99a0-eee0e540d1a8_01.jpg", "Фото 1")</f>
        <v>Фото 1</v>
      </c>
      <c r="Q10" s="3" t="str">
        <f>HYPERLINK("http://www.paremo.ru/upload/images/goods/a30887a6-b33b-463f-99a0-eee0e540d1a8_02.jpg", "Фото 2")</f>
        <v>Фото 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17"/>
      <c r="BD10" s="3" t="s">
        <v>57</v>
      </c>
      <c r="BE10" s="4">
        <v>9615110000</v>
      </c>
    </row>
    <row r="11" spans="1:57" ht="99.95" customHeight="1" x14ac:dyDescent="0.2">
      <c r="A11" s="3" t="s">
        <v>91</v>
      </c>
      <c r="B11" s="3" t="s">
        <v>92</v>
      </c>
      <c r="C11" s="3" t="s">
        <v>59</v>
      </c>
      <c r="D11" s="3" t="s">
        <v>60</v>
      </c>
      <c r="E11" s="12" t="s">
        <v>93</v>
      </c>
      <c r="F11" s="7">
        <v>694704116015</v>
      </c>
      <c r="G11" s="3" t="s">
        <v>94</v>
      </c>
      <c r="H11" s="3" t="s">
        <v>95</v>
      </c>
      <c r="I11" s="3" t="s">
        <v>76</v>
      </c>
      <c r="J11" s="3" t="s">
        <v>95</v>
      </c>
      <c r="K11" s="5">
        <v>1.017E-2</v>
      </c>
      <c r="L11" s="6">
        <v>0.8</v>
      </c>
      <c r="M11" s="3" t="s">
        <v>89</v>
      </c>
      <c r="N11" s="12" t="s">
        <v>96</v>
      </c>
      <c r="O11" s="3"/>
      <c r="P11" s="3" t="str">
        <f>HYPERLINK("http://www.paremo.ru/upload/images/goods/4897ab45-9df9-43e7-996e-717d6101cbc9_01.jpg", "Фото 1")</f>
        <v>Фото 1</v>
      </c>
      <c r="Q11" s="3" t="str">
        <f>HYPERLINK("http://www.paremo.ru/upload/images/goods/4897ab45-9df9-43e7-996e-717d6101cbc9_02.jpg", "Фото 2")</f>
        <v>Фото 2</v>
      </c>
      <c r="R11" s="3" t="str">
        <f>HYPERLINK("http://www.paremo.ru/upload/images/goods/4897ab45-9df9-43e7-996e-717d6101cbc9_03.jpg", "Фото 3")</f>
        <v>Фото 3</v>
      </c>
      <c r="S11" s="3" t="str">
        <f>HYPERLINK("http://www.paremo.ru/upload/images/goods/4897ab45-9df9-43e7-996e-717d6101cbc9_04.jpg", "Фото 4")</f>
        <v>Фото 4</v>
      </c>
      <c r="T11" s="3" t="str">
        <f>HYPERLINK("http://www.paremo.ru/upload/images/goods/4897ab45-9df9-43e7-996e-717d6101cbc9_05.jpg", "Фото 5")</f>
        <v>Фото 5</v>
      </c>
      <c r="U11" s="3" t="str">
        <f>HYPERLINK("http://www.paremo.ru/upload/images/goods/4897ab45-9df9-43e7-996e-717d6101cbc9_06.jpg", "Фото 6")</f>
        <v>Фото 6</v>
      </c>
      <c r="V11" s="3" t="str">
        <f>HYPERLINK("http://www.paremo.ru/upload/images/goods/4897ab45-9df9-43e7-996e-717d6101cbc9_07.jpg", "Фото 7")</f>
        <v>Фото 7</v>
      </c>
      <c r="W11" s="3" t="str">
        <f>HYPERLINK("http://www.paremo.ru/upload/images/goods/4897ab45-9df9-43e7-996e-717d6101cbc9_08.jpg", "Фото 8")</f>
        <v>Фото 8</v>
      </c>
      <c r="X11" s="3" t="str">
        <f>HYPERLINK("http://www.paremo.ru/upload/images/goods/4897ab45-9df9-43e7-996e-717d6101cbc9_09.jpg", "Фото 9")</f>
        <v>Фото 9</v>
      </c>
      <c r="Y11" s="3" t="str">
        <f>HYPERLINK("http://www.paremo.ru/upload/images/goods/4897ab45-9df9-43e7-996e-717d6101cbc9_10.jpg", "Фото 10")</f>
        <v>Фото 10</v>
      </c>
      <c r="Z11" s="3" t="str">
        <f>HYPERLINK("http://www.paremo.ru/upload/images/goods/4897ab45-9df9-43e7-996e-717d6101cbc9_11.jpg", "Фото 11")</f>
        <v>Фото 11</v>
      </c>
      <c r="AA11" s="3" t="str">
        <f>HYPERLINK("http://www.paremo.ru/upload/images/goods/4897ab45-9df9-43e7-996e-717d6101cbc9_12.jpg", "Фото 12")</f>
        <v>Фото 12</v>
      </c>
      <c r="AB11" s="3" t="str">
        <f>HYPERLINK("http://www.paremo.ru/upload/images/goods/4897ab45-9df9-43e7-996e-717d6101cbc9_13.jpg", "Фото 13")</f>
        <v>Фото 13</v>
      </c>
      <c r="AC11" s="3" t="str">
        <f>HYPERLINK("http://www.paremo.ru/upload/images/goods/4897ab45-9df9-43e7-996e-717d6101cbc9_14.jpg", "Фото 14")</f>
        <v>Фото 14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17"/>
      <c r="BD11" s="3" t="s">
        <v>57</v>
      </c>
      <c r="BE11" s="4">
        <v>9503002100</v>
      </c>
    </row>
    <row r="12" spans="1:57" ht="99.95" customHeight="1" x14ac:dyDescent="0.2">
      <c r="A12" s="3" t="s">
        <v>91</v>
      </c>
      <c r="B12" s="3" t="s">
        <v>92</v>
      </c>
      <c r="C12" s="3" t="s">
        <v>59</v>
      </c>
      <c r="D12" s="3" t="s">
        <v>60</v>
      </c>
      <c r="E12" s="12" t="s">
        <v>97</v>
      </c>
      <c r="F12" s="7">
        <v>694704116022</v>
      </c>
      <c r="G12" s="3" t="s">
        <v>98</v>
      </c>
      <c r="H12" s="3" t="s">
        <v>95</v>
      </c>
      <c r="I12" s="3" t="s">
        <v>76</v>
      </c>
      <c r="J12" s="3" t="s">
        <v>95</v>
      </c>
      <c r="K12" s="5">
        <v>1.017E-2</v>
      </c>
      <c r="L12" s="6">
        <v>0.8</v>
      </c>
      <c r="M12" s="3" t="s">
        <v>89</v>
      </c>
      <c r="N12" s="12" t="s">
        <v>99</v>
      </c>
      <c r="O12" s="3"/>
      <c r="P12" s="3" t="str">
        <f>HYPERLINK("http://www.paremo.ru/upload/images/goods/863f56cf-fea1-4883-ab1b-216015d3547c_01.jpg", "Фото 1")</f>
        <v>Фото 1</v>
      </c>
      <c r="Q12" s="3" t="str">
        <f>HYPERLINK("http://www.paremo.ru/upload/images/goods/863f56cf-fea1-4883-ab1b-216015d3547c_02.jpg", "Фото 2")</f>
        <v>Фото 2</v>
      </c>
      <c r="R12" s="3" t="str">
        <f>HYPERLINK("http://www.paremo.ru/upload/images/goods/863f56cf-fea1-4883-ab1b-216015d3547c_03.jpg", "Фото 3")</f>
        <v>Фото 3</v>
      </c>
      <c r="S12" s="3" t="str">
        <f>HYPERLINK("http://www.paremo.ru/upload/images/goods/863f56cf-fea1-4883-ab1b-216015d3547c_04.jpg", "Фото 4")</f>
        <v>Фото 4</v>
      </c>
      <c r="T12" s="3" t="str">
        <f>HYPERLINK("http://www.paremo.ru/upload/images/goods/863f56cf-fea1-4883-ab1b-216015d3547c_05.jpg", "Фото 5")</f>
        <v>Фото 5</v>
      </c>
      <c r="U12" s="3" t="str">
        <f>HYPERLINK("http://www.paremo.ru/upload/images/goods/863f56cf-fea1-4883-ab1b-216015d3547c_06.jpg", "Фото 6")</f>
        <v>Фото 6</v>
      </c>
      <c r="V12" s="3" t="str">
        <f>HYPERLINK("http://www.paremo.ru/upload/images/goods/863f56cf-fea1-4883-ab1b-216015d3547c_07.jpg", "Фото 7")</f>
        <v>Фото 7</v>
      </c>
      <c r="W12" s="3" t="str">
        <f>HYPERLINK("http://www.paremo.ru/upload/images/goods/863f56cf-fea1-4883-ab1b-216015d3547c_08.jpg", "Фото 8")</f>
        <v>Фото 8</v>
      </c>
      <c r="X12" s="3" t="str">
        <f>HYPERLINK("http://www.paremo.ru/upload/images/goods/863f56cf-fea1-4883-ab1b-216015d3547c_09.jpg", "Фото 9")</f>
        <v>Фото 9</v>
      </c>
      <c r="Y12" s="3" t="str">
        <f>HYPERLINK("http://www.paremo.ru/upload/images/goods/863f56cf-fea1-4883-ab1b-216015d3547c_10.jpg", "Фото 10")</f>
        <v>Фото 10</v>
      </c>
      <c r="Z12" s="3" t="str">
        <f>HYPERLINK("http://www.paremo.ru/upload/images/goods/863f56cf-fea1-4883-ab1b-216015d3547c_11.jpg", "Фото 11")</f>
        <v>Фото 11</v>
      </c>
      <c r="AA12" s="3" t="str">
        <f>HYPERLINK("http://www.paremo.ru/upload/images/goods/863f56cf-fea1-4883-ab1b-216015d3547c_12.jpg", "Фото 12")</f>
        <v>Фото 12</v>
      </c>
      <c r="AB12" s="3" t="str">
        <f>HYPERLINK("http://www.paremo.ru/upload/images/goods/863f56cf-fea1-4883-ab1b-216015d3547c_13.jpg", "Фото 13")</f>
        <v>Фото 13</v>
      </c>
      <c r="AC12" s="3" t="str">
        <f>HYPERLINK("http://www.paremo.ru/upload/images/goods/863f56cf-fea1-4883-ab1b-216015d3547c_14.jpg", "Фото 14")</f>
        <v>Фото 14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17"/>
      <c r="BD12" s="3" t="s">
        <v>57</v>
      </c>
      <c r="BE12" s="4">
        <v>9503002100</v>
      </c>
    </row>
    <row r="13" spans="1:57" ht="99.95" customHeight="1" x14ac:dyDescent="0.2">
      <c r="A13" s="3" t="s">
        <v>91</v>
      </c>
      <c r="B13" s="3" t="s">
        <v>92</v>
      </c>
      <c r="C13" s="3" t="s">
        <v>59</v>
      </c>
      <c r="D13" s="3" t="s">
        <v>60</v>
      </c>
      <c r="E13" s="12" t="s">
        <v>100</v>
      </c>
      <c r="F13" s="7">
        <v>694704116039</v>
      </c>
      <c r="G13" s="3" t="s">
        <v>101</v>
      </c>
      <c r="H13" s="3" t="s">
        <v>95</v>
      </c>
      <c r="I13" s="3" t="s">
        <v>76</v>
      </c>
      <c r="J13" s="3" t="s">
        <v>95</v>
      </c>
      <c r="K13" s="5">
        <v>1.017E-2</v>
      </c>
      <c r="L13" s="6">
        <v>0.8</v>
      </c>
      <c r="M13" s="3" t="s">
        <v>89</v>
      </c>
      <c r="N13" s="12" t="s">
        <v>102</v>
      </c>
      <c r="O13" s="3"/>
      <c r="P13" s="3" t="str">
        <f>HYPERLINK("http://www.paremo.ru/upload/images/goods/953539c8-00b0-411b-bdde-4f55f13d6acc_01.jpg", "Фото 1")</f>
        <v>Фото 1</v>
      </c>
      <c r="Q13" s="3" t="str">
        <f>HYPERLINK("http://www.paremo.ru/upload/images/goods/953539c8-00b0-411b-bdde-4f55f13d6acc_02.jpg", "Фото 2")</f>
        <v>Фото 2</v>
      </c>
      <c r="R13" s="3" t="str">
        <f>HYPERLINK("http://www.paremo.ru/upload/images/goods/953539c8-00b0-411b-bdde-4f55f13d6acc_03.jpg", "Фото 3")</f>
        <v>Фото 3</v>
      </c>
      <c r="S13" s="3" t="str">
        <f>HYPERLINK("http://www.paremo.ru/upload/images/goods/953539c8-00b0-411b-bdde-4f55f13d6acc_04.jpg", "Фото 4")</f>
        <v>Фото 4</v>
      </c>
      <c r="T13" s="3" t="str">
        <f>HYPERLINK("http://www.paremo.ru/upload/images/goods/953539c8-00b0-411b-bdde-4f55f13d6acc_05.jpg", "Фото 5")</f>
        <v>Фото 5</v>
      </c>
      <c r="U13" s="3" t="str">
        <f>HYPERLINK("http://www.paremo.ru/upload/images/goods/953539c8-00b0-411b-bdde-4f55f13d6acc_06.jpg", "Фото 6")</f>
        <v>Фото 6</v>
      </c>
      <c r="V13" s="3" t="str">
        <f>HYPERLINK("http://www.paremo.ru/upload/images/goods/953539c8-00b0-411b-bdde-4f55f13d6acc_07.jpg", "Фото 7")</f>
        <v>Фото 7</v>
      </c>
      <c r="W13" s="3" t="str">
        <f>HYPERLINK("http://www.paremo.ru/upload/images/goods/953539c8-00b0-411b-bdde-4f55f13d6acc_08.jpg", "Фото 8")</f>
        <v>Фото 8</v>
      </c>
      <c r="X13" s="3" t="str">
        <f>HYPERLINK("http://www.paremo.ru/upload/images/goods/953539c8-00b0-411b-bdde-4f55f13d6acc_09.jpg", "Фото 9")</f>
        <v>Фото 9</v>
      </c>
      <c r="Y13" s="3" t="str">
        <f>HYPERLINK("http://www.paremo.ru/upload/images/goods/953539c8-00b0-411b-bdde-4f55f13d6acc_10.jpg", "Фото 10")</f>
        <v>Фото 10</v>
      </c>
      <c r="Z13" s="3" t="str">
        <f>HYPERLINK("http://www.paremo.ru/upload/images/goods/953539c8-00b0-411b-bdde-4f55f13d6acc_11.jpg", "Фото 11")</f>
        <v>Фото 11</v>
      </c>
      <c r="AA13" s="3" t="str">
        <f>HYPERLINK("http://www.paremo.ru/upload/images/goods/953539c8-00b0-411b-bdde-4f55f13d6acc_12.jpg", "Фото 12")</f>
        <v>Фото 12</v>
      </c>
      <c r="AB13" s="3" t="str">
        <f>HYPERLINK("http://www.paremo.ru/upload/images/goods/953539c8-00b0-411b-bdde-4f55f13d6acc_13.jpg", "Фото 13")</f>
        <v>Фото 13</v>
      </c>
      <c r="AC13" s="3" t="str">
        <f>HYPERLINK("http://www.paremo.ru/upload/images/goods/953539c8-00b0-411b-bdde-4f55f13d6acc_14.jpg", "Фото 14")</f>
        <v>Фото 14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17"/>
      <c r="BD13" s="3" t="s">
        <v>57</v>
      </c>
      <c r="BE13" s="4">
        <v>9503002100</v>
      </c>
    </row>
    <row r="14" spans="1:57" ht="99.95" customHeight="1" x14ac:dyDescent="0.2">
      <c r="A14" s="3" t="s">
        <v>91</v>
      </c>
      <c r="B14" s="3" t="s">
        <v>92</v>
      </c>
      <c r="C14" s="3" t="s">
        <v>59</v>
      </c>
      <c r="D14" s="3" t="s">
        <v>60</v>
      </c>
      <c r="E14" s="12" t="s">
        <v>103</v>
      </c>
      <c r="F14" s="7">
        <v>694704116046</v>
      </c>
      <c r="G14" s="3" t="s">
        <v>104</v>
      </c>
      <c r="H14" s="3" t="s">
        <v>95</v>
      </c>
      <c r="I14" s="3" t="s">
        <v>76</v>
      </c>
      <c r="J14" s="3" t="s">
        <v>95</v>
      </c>
      <c r="K14" s="5">
        <v>1.017E-2</v>
      </c>
      <c r="L14" s="6">
        <v>0.8</v>
      </c>
      <c r="M14" s="3" t="s">
        <v>89</v>
      </c>
      <c r="N14" s="12" t="s">
        <v>105</v>
      </c>
      <c r="O14" s="3"/>
      <c r="P14" s="3" t="str">
        <f>HYPERLINK("http://www.paremo.ru/upload/images/goods/2a6a3c1a-67a7-421c-b8d3-3aded57a8abf_01.jpg", "Фото 1")</f>
        <v>Фото 1</v>
      </c>
      <c r="Q14" s="3" t="str">
        <f>HYPERLINK("http://www.paremo.ru/upload/images/goods/2a6a3c1a-67a7-421c-b8d3-3aded57a8abf_02.jpg", "Фото 2")</f>
        <v>Фото 2</v>
      </c>
      <c r="R14" s="3" t="str">
        <f>HYPERLINK("http://www.paremo.ru/upload/images/goods/2a6a3c1a-67a7-421c-b8d3-3aded57a8abf_03.jpg", "Фото 3")</f>
        <v>Фото 3</v>
      </c>
      <c r="S14" s="3" t="str">
        <f>HYPERLINK("http://www.paremo.ru/upload/images/goods/2a6a3c1a-67a7-421c-b8d3-3aded57a8abf_04.jpg", "Фото 4")</f>
        <v>Фото 4</v>
      </c>
      <c r="T14" s="3" t="str">
        <f>HYPERLINK("http://www.paremo.ru/upload/images/goods/2a6a3c1a-67a7-421c-b8d3-3aded57a8abf_05.jpg", "Фото 5")</f>
        <v>Фото 5</v>
      </c>
      <c r="U14" s="3" t="str">
        <f>HYPERLINK("http://www.paremo.ru/upload/images/goods/2a6a3c1a-67a7-421c-b8d3-3aded57a8abf_06.jpg", "Фото 6")</f>
        <v>Фото 6</v>
      </c>
      <c r="V14" s="3" t="str">
        <f>HYPERLINK("http://www.paremo.ru/upload/images/goods/2a6a3c1a-67a7-421c-b8d3-3aded57a8abf_07.jpg", "Фото 7")</f>
        <v>Фото 7</v>
      </c>
      <c r="W14" s="3" t="str">
        <f>HYPERLINK("http://www.paremo.ru/upload/images/goods/2a6a3c1a-67a7-421c-b8d3-3aded57a8abf_08.jpg", "Фото 8")</f>
        <v>Фото 8</v>
      </c>
      <c r="X14" s="3" t="str">
        <f>HYPERLINK("http://www.paremo.ru/upload/images/goods/2a6a3c1a-67a7-421c-b8d3-3aded57a8abf_09.jpg", "Фото 9")</f>
        <v>Фото 9</v>
      </c>
      <c r="Y14" s="3" t="str">
        <f>HYPERLINK("http://www.paremo.ru/upload/images/goods/2a6a3c1a-67a7-421c-b8d3-3aded57a8abf_10.jpg", "Фото 10")</f>
        <v>Фото 10</v>
      </c>
      <c r="Z14" s="3" t="str">
        <f>HYPERLINK("http://www.paremo.ru/upload/images/goods/2a6a3c1a-67a7-421c-b8d3-3aded57a8abf_11.jpg", "Фото 11")</f>
        <v>Фото 11</v>
      </c>
      <c r="AA14" s="3" t="str">
        <f>HYPERLINK("http://www.paremo.ru/upload/images/goods/2a6a3c1a-67a7-421c-b8d3-3aded57a8abf_12.jpg", "Фото 12")</f>
        <v>Фото 12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17"/>
      <c r="BD14" s="3" t="s">
        <v>57</v>
      </c>
      <c r="BE14" s="4">
        <v>9503002100</v>
      </c>
    </row>
    <row r="15" spans="1:57" ht="99.95" customHeight="1" x14ac:dyDescent="0.2">
      <c r="A15" s="3" t="s">
        <v>91</v>
      </c>
      <c r="B15" s="3" t="s">
        <v>108</v>
      </c>
      <c r="C15" s="3" t="s">
        <v>59</v>
      </c>
      <c r="D15" s="3" t="s">
        <v>60</v>
      </c>
      <c r="E15" s="12" t="s">
        <v>110</v>
      </c>
      <c r="F15" s="7">
        <v>694704114424</v>
      </c>
      <c r="G15" s="3" t="s">
        <v>111</v>
      </c>
      <c r="H15" s="3" t="s">
        <v>112</v>
      </c>
      <c r="I15" s="3" t="s">
        <v>76</v>
      </c>
      <c r="J15" s="3" t="s">
        <v>112</v>
      </c>
      <c r="K15" s="8">
        <v>1E-3</v>
      </c>
      <c r="L15" s="9">
        <v>0.15</v>
      </c>
      <c r="M15" s="3" t="s">
        <v>65</v>
      </c>
      <c r="N15" s="12" t="s">
        <v>113</v>
      </c>
      <c r="O15" s="3"/>
      <c r="P15" s="3" t="str">
        <f>HYPERLINK("http://www.paremo.ru/upload/images/goods/eff8d3f5-dabe-4ab7-affc-4310ed974b7e_01.jpg", "Фото 1")</f>
        <v>Фото 1</v>
      </c>
      <c r="Q15" s="3" t="str">
        <f>HYPERLINK("http://www.paremo.ru/upload/images/goods/eff8d3f5-dabe-4ab7-affc-4310ed974b7e_02.jpg", "Фото 2")</f>
        <v>Фото 2</v>
      </c>
      <c r="R15" s="3" t="str">
        <f>HYPERLINK("http://www.paremo.ru/upload/images/goods/eff8d3f5-dabe-4ab7-affc-4310ed974b7e_03.jpg", "Фото 3")</f>
        <v>Фото 3</v>
      </c>
      <c r="S15" s="3" t="str">
        <f>HYPERLINK("http://www.paremo.ru/upload/images/goods/eff8d3f5-dabe-4ab7-affc-4310ed974b7e_04.jpg", "Фото 4")</f>
        <v>Фото 4</v>
      </c>
      <c r="T15" s="3" t="str">
        <f>HYPERLINK("http://www.paremo.ru/upload/images/goods/eff8d3f5-dabe-4ab7-affc-4310ed974b7e_05.jpg", "Фото 5")</f>
        <v>Фото 5</v>
      </c>
      <c r="U15" s="3" t="str">
        <f>HYPERLINK("http://www.paremo.ru/upload/images/goods/eff8d3f5-dabe-4ab7-affc-4310ed974b7e_06.jpg", "Фото 6")</f>
        <v>Фото 6</v>
      </c>
      <c r="V15" s="3" t="str">
        <f>HYPERLINK("http://www.paremo.ru/upload/images/goods/eff8d3f5-dabe-4ab7-affc-4310ed974b7e_07.jpg", "Фото 7")</f>
        <v>Фото 7</v>
      </c>
      <c r="W15" s="3" t="str">
        <f>HYPERLINK("http://www.paremo.ru/upload/images/goods/eff8d3f5-dabe-4ab7-affc-4310ed974b7e_08.jpg", "Фото 8")</f>
        <v>Фото 8</v>
      </c>
      <c r="X15" s="3" t="str">
        <f>HYPERLINK("http://www.paremo.ru/upload/images/goods/eff8d3f5-dabe-4ab7-affc-4310ed974b7e_09.jpg", "Фото 9")</f>
        <v>Фото 9</v>
      </c>
      <c r="Y15" s="3" t="str">
        <f>HYPERLINK("http://www.paremo.ru/upload/images/goods/eff8d3f5-dabe-4ab7-affc-4310ed974b7e_10.jpg", "Фото 10")</f>
        <v>Фото 10</v>
      </c>
      <c r="Z15" s="3" t="str">
        <f>HYPERLINK("http://www.paremo.ru/upload/images/goods/eff8d3f5-dabe-4ab7-affc-4310ed974b7e_11.jpg", "Фото 11")</f>
        <v>Фото 11</v>
      </c>
      <c r="AA15" s="3" t="str">
        <f>HYPERLINK("http://www.paremo.ru/upload/images/goods/eff8d3f5-dabe-4ab7-affc-4310ed974b7e_12.jpg", "Фото 12")</f>
        <v>Фото 12</v>
      </c>
      <c r="AB15" s="3" t="str">
        <f>HYPERLINK("http://www.paremo.ru/upload/images/goods/eff8d3f5-dabe-4ab7-affc-4310ed974b7e_13.jpg", "Фото 13")</f>
        <v>Фото 13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17"/>
      <c r="BD15" s="3" t="s">
        <v>57</v>
      </c>
      <c r="BE15" s="4">
        <v>9503004900</v>
      </c>
    </row>
    <row r="16" spans="1:57" ht="99.95" customHeight="1" x14ac:dyDescent="0.2">
      <c r="A16" s="3" t="s">
        <v>114</v>
      </c>
      <c r="B16" s="3" t="s">
        <v>115</v>
      </c>
      <c r="C16" s="3" t="s">
        <v>59</v>
      </c>
      <c r="D16" s="3" t="s">
        <v>60</v>
      </c>
      <c r="E16" s="12" t="s">
        <v>117</v>
      </c>
      <c r="F16" s="7">
        <v>694704116244</v>
      </c>
      <c r="G16" s="3" t="s">
        <v>118</v>
      </c>
      <c r="H16" s="3" t="s">
        <v>119</v>
      </c>
      <c r="I16" s="3" t="s">
        <v>76</v>
      </c>
      <c r="J16" s="3" t="s">
        <v>119</v>
      </c>
      <c r="K16" s="10">
        <v>3.5999999999999999E-3</v>
      </c>
      <c r="L16" s="9">
        <v>0.12</v>
      </c>
      <c r="M16" s="3" t="s">
        <v>106</v>
      </c>
      <c r="N16" s="12" t="s">
        <v>120</v>
      </c>
      <c r="O16" s="3"/>
      <c r="P16" s="3" t="str">
        <f>HYPERLINK("http://www.paremo.ru/upload/images/goods/b7356313-1e85-4ac4-b35f-fdc4aa4e685d_01.jpg", "Фото 1")</f>
        <v>Фото 1</v>
      </c>
      <c r="Q16" s="3" t="str">
        <f>HYPERLINK("http://www.paremo.ru/upload/images/goods/b7356313-1e85-4ac4-b35f-fdc4aa4e685d_02.jpg", "Фото 2")</f>
        <v>Фото 2</v>
      </c>
      <c r="R16" s="3" t="str">
        <f>HYPERLINK("http://www.paremo.ru/upload/images/goods/b7356313-1e85-4ac4-b35f-fdc4aa4e685d_03.jpg", "Фото 3")</f>
        <v>Фото 3</v>
      </c>
      <c r="S16" s="3" t="str">
        <f>HYPERLINK("http://www.paremo.ru/upload/images/goods/b7356313-1e85-4ac4-b35f-fdc4aa4e685d_04.jpg", "Фото 4")</f>
        <v>Фото 4</v>
      </c>
      <c r="T16" s="3" t="str">
        <f>HYPERLINK("http://www.paremo.ru/upload/images/goods/b7356313-1e85-4ac4-b35f-fdc4aa4e685d_05.jpg", "Фото 5")</f>
        <v>Фото 5</v>
      </c>
      <c r="U16" s="3" t="str">
        <f>HYPERLINK("http://www.paremo.ru/upload/images/goods/b7356313-1e85-4ac4-b35f-fdc4aa4e685d_06.jpg", "Фото 6")</f>
        <v>Фото 6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17"/>
      <c r="BD16" s="3" t="s">
        <v>57</v>
      </c>
      <c r="BE16" s="4">
        <v>9503004100</v>
      </c>
    </row>
    <row r="17" spans="1:57" ht="99.95" customHeight="1" x14ac:dyDescent="0.2">
      <c r="A17" s="3" t="s">
        <v>114</v>
      </c>
      <c r="B17" s="3" t="s">
        <v>115</v>
      </c>
      <c r="C17" s="3" t="s">
        <v>59</v>
      </c>
      <c r="D17" s="3" t="s">
        <v>60</v>
      </c>
      <c r="E17" s="12" t="s">
        <v>121</v>
      </c>
      <c r="F17" s="7">
        <v>694704116251</v>
      </c>
      <c r="G17" s="3" t="s">
        <v>122</v>
      </c>
      <c r="H17" s="3" t="s">
        <v>123</v>
      </c>
      <c r="I17" s="3" t="s">
        <v>76</v>
      </c>
      <c r="J17" s="3" t="s">
        <v>123</v>
      </c>
      <c r="K17" s="5">
        <v>4.4200000000000003E-3</v>
      </c>
      <c r="L17" s="8">
        <v>0.14299999999999999</v>
      </c>
      <c r="M17" s="3" t="s">
        <v>106</v>
      </c>
      <c r="N17" s="12" t="s">
        <v>124</v>
      </c>
      <c r="O17" s="3"/>
      <c r="P17" s="3" t="str">
        <f>HYPERLINK("http://www.paremo.ru/upload/images/goods/058886dc-b36c-46e6-82bc-23fdb5b5e33c_01.jpg", "Фото 1")</f>
        <v>Фото 1</v>
      </c>
      <c r="Q17" s="3" t="str">
        <f>HYPERLINK("http://www.paremo.ru/upload/images/goods/058886dc-b36c-46e6-82bc-23fdb5b5e33c_02.jpg", "Фото 2")</f>
        <v>Фото 2</v>
      </c>
      <c r="R17" s="3" t="str">
        <f>HYPERLINK("http://www.paremo.ru/upload/images/goods/058886dc-b36c-46e6-82bc-23fdb5b5e33c_03.jpg", "Фото 3")</f>
        <v>Фото 3</v>
      </c>
      <c r="S17" s="3" t="str">
        <f>HYPERLINK("http://www.paremo.ru/upload/images/goods/058886dc-b36c-46e6-82bc-23fdb5b5e33c_04.jpg", "Фото 4")</f>
        <v>Фото 4</v>
      </c>
      <c r="T17" s="3" t="str">
        <f>HYPERLINK("http://www.paremo.ru/upload/images/goods/058886dc-b36c-46e6-82bc-23fdb5b5e33c_05.jpg", "Фото 5")</f>
        <v>Фото 5</v>
      </c>
      <c r="U17" s="3" t="str">
        <f>HYPERLINK("http://www.paremo.ru/upload/images/goods/058886dc-b36c-46e6-82bc-23fdb5b5e33c_06.jpg", "Фото 6")</f>
        <v>Фото 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17"/>
      <c r="BD17" s="3" t="s">
        <v>57</v>
      </c>
      <c r="BE17" s="4">
        <v>9503004100</v>
      </c>
    </row>
    <row r="18" spans="1:57" ht="99.95" customHeight="1" x14ac:dyDescent="0.2">
      <c r="A18" s="3" t="s">
        <v>114</v>
      </c>
      <c r="B18" s="3" t="s">
        <v>115</v>
      </c>
      <c r="C18" s="3" t="s">
        <v>59</v>
      </c>
      <c r="D18" s="3" t="s">
        <v>60</v>
      </c>
      <c r="E18" s="12" t="s">
        <v>125</v>
      </c>
      <c r="F18" s="7">
        <v>694704116268</v>
      </c>
      <c r="G18" s="3" t="s">
        <v>126</v>
      </c>
      <c r="H18" s="3" t="s">
        <v>127</v>
      </c>
      <c r="I18" s="3" t="s">
        <v>76</v>
      </c>
      <c r="J18" s="3" t="s">
        <v>127</v>
      </c>
      <c r="K18" s="5">
        <v>5.8500000000000002E-3</v>
      </c>
      <c r="L18" s="8">
        <v>0.26200000000000001</v>
      </c>
      <c r="M18" s="3" t="s">
        <v>106</v>
      </c>
      <c r="N18" s="12" t="s">
        <v>128</v>
      </c>
      <c r="O18" s="3"/>
      <c r="P18" s="3" t="str">
        <f>HYPERLINK("http://www.paremo.ru/upload/images/goods/27c045de-40f6-4644-970c-2e899a6991c5_01.jpg", "Фото 1")</f>
        <v>Фото 1</v>
      </c>
      <c r="Q18" s="3" t="str">
        <f>HYPERLINK("http://www.paremo.ru/upload/images/goods/27c045de-40f6-4644-970c-2e899a6991c5_02.jpg", "Фото 2")</f>
        <v>Фото 2</v>
      </c>
      <c r="R18" s="3" t="str">
        <f>HYPERLINK("http://www.paremo.ru/upload/images/goods/27c045de-40f6-4644-970c-2e899a6991c5_03.jpg", "Фото 3")</f>
        <v>Фото 3</v>
      </c>
      <c r="S18" s="3" t="str">
        <f>HYPERLINK("http://www.paremo.ru/upload/images/goods/27c045de-40f6-4644-970c-2e899a6991c5_04.jpg", "Фото 4")</f>
        <v>Фото 4</v>
      </c>
      <c r="T18" s="3" t="str">
        <f>HYPERLINK("http://www.paremo.ru/upload/images/goods/27c045de-40f6-4644-970c-2e899a6991c5_05.jpg", "Фото 5")</f>
        <v>Фото 5</v>
      </c>
      <c r="U18" s="3" t="str">
        <f>HYPERLINK("http://www.paremo.ru/upload/images/goods/27c045de-40f6-4644-970c-2e899a6991c5_06.jpg", "Фото 6")</f>
        <v>Фото 6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17"/>
      <c r="BD18" s="3" t="s">
        <v>57</v>
      </c>
      <c r="BE18" s="4">
        <v>9503004100</v>
      </c>
    </row>
    <row r="19" spans="1:57" ht="99.95" customHeight="1" x14ac:dyDescent="0.2">
      <c r="A19" s="3" t="s">
        <v>114</v>
      </c>
      <c r="B19" s="3" t="s">
        <v>115</v>
      </c>
      <c r="C19" s="3" t="s">
        <v>59</v>
      </c>
      <c r="D19" s="3" t="s">
        <v>60</v>
      </c>
      <c r="E19" s="12" t="s">
        <v>129</v>
      </c>
      <c r="F19" s="7">
        <v>694704116275</v>
      </c>
      <c r="G19" s="3" t="s">
        <v>130</v>
      </c>
      <c r="H19" s="3" t="s">
        <v>131</v>
      </c>
      <c r="I19" s="3" t="s">
        <v>76</v>
      </c>
      <c r="J19" s="3" t="s">
        <v>131</v>
      </c>
      <c r="K19" s="5">
        <v>8.7399999999999995E-3</v>
      </c>
      <c r="L19" s="8">
        <v>0.13900000000000001</v>
      </c>
      <c r="M19" s="3" t="s">
        <v>106</v>
      </c>
      <c r="N19" s="12" t="s">
        <v>132</v>
      </c>
      <c r="O19" s="3"/>
      <c r="P19" s="3" t="str">
        <f>HYPERLINK("http://www.paremo.ru/upload/images/goods/27e4e006-3605-4677-9c4b-2d478906f5c6_01.jpg", "Фото 1")</f>
        <v>Фото 1</v>
      </c>
      <c r="Q19" s="3" t="str">
        <f>HYPERLINK("http://www.paremo.ru/upload/images/goods/27e4e006-3605-4677-9c4b-2d478906f5c6_02.jpg", "Фото 2")</f>
        <v>Фото 2</v>
      </c>
      <c r="R19" s="3" t="str">
        <f>HYPERLINK("http://www.paremo.ru/upload/images/goods/27e4e006-3605-4677-9c4b-2d478906f5c6_03.jpg", "Фото 3")</f>
        <v>Фото 3</v>
      </c>
      <c r="S19" s="3" t="str">
        <f>HYPERLINK("http://www.paremo.ru/upload/images/goods/27e4e006-3605-4677-9c4b-2d478906f5c6_04.jpg", "Фото 4")</f>
        <v>Фото 4</v>
      </c>
      <c r="T19" s="3" t="str">
        <f>HYPERLINK("http://www.paremo.ru/upload/images/goods/27e4e006-3605-4677-9c4b-2d478906f5c6_05.jpg", "Фото 5")</f>
        <v>Фото 5</v>
      </c>
      <c r="U19" s="3" t="str">
        <f>HYPERLINK("http://www.paremo.ru/upload/images/goods/27e4e006-3605-4677-9c4b-2d478906f5c6_06.jpg", "Фото 6")</f>
        <v>Фото 6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17"/>
      <c r="BD19" s="3" t="s">
        <v>57</v>
      </c>
      <c r="BE19" s="4">
        <v>9503004100</v>
      </c>
    </row>
    <row r="20" spans="1:57" ht="99.95" customHeight="1" x14ac:dyDescent="0.2">
      <c r="A20" s="3" t="s">
        <v>114</v>
      </c>
      <c r="B20" s="3" t="s">
        <v>115</v>
      </c>
      <c r="C20" s="3" t="s">
        <v>59</v>
      </c>
      <c r="D20" s="3" t="s">
        <v>60</v>
      </c>
      <c r="E20" s="12" t="s">
        <v>133</v>
      </c>
      <c r="F20" s="7">
        <v>694704116282</v>
      </c>
      <c r="G20" s="3" t="s">
        <v>134</v>
      </c>
      <c r="H20" s="3" t="s">
        <v>135</v>
      </c>
      <c r="I20" s="3" t="s">
        <v>76</v>
      </c>
      <c r="J20" s="3" t="s">
        <v>135</v>
      </c>
      <c r="K20" s="5">
        <v>4.5599999999999998E-3</v>
      </c>
      <c r="L20" s="8">
        <v>0.152</v>
      </c>
      <c r="M20" s="3" t="s">
        <v>106</v>
      </c>
      <c r="N20" s="12" t="s">
        <v>136</v>
      </c>
      <c r="O20" s="3"/>
      <c r="P20" s="3" t="str">
        <f>HYPERLINK("http://www.paremo.ru/upload/images/goods/0b81d6bc-5e44-449a-aaac-91cb645ec52e_01.jpg", "Фото 1")</f>
        <v>Фото 1</v>
      </c>
      <c r="Q20" s="3" t="str">
        <f>HYPERLINK("http://www.paremo.ru/upload/images/goods/0b81d6bc-5e44-449a-aaac-91cb645ec52e_02.jpg", "Фото 2")</f>
        <v>Фото 2</v>
      </c>
      <c r="R20" s="3" t="str">
        <f>HYPERLINK("http://www.paremo.ru/upload/images/goods/0b81d6bc-5e44-449a-aaac-91cb645ec52e_03.jpg", "Фото 3")</f>
        <v>Фото 3</v>
      </c>
      <c r="S20" s="3" t="str">
        <f>HYPERLINK("http://www.paremo.ru/upload/images/goods/0b81d6bc-5e44-449a-aaac-91cb645ec52e_04.jpg", "Фото 4")</f>
        <v>Фото 4</v>
      </c>
      <c r="T20" s="3" t="str">
        <f>HYPERLINK("http://www.paremo.ru/upload/images/goods/0b81d6bc-5e44-449a-aaac-91cb645ec52e_05.jpg", "Фото 5")</f>
        <v>Фото 5</v>
      </c>
      <c r="U20" s="3" t="str">
        <f>HYPERLINK("http://www.paremo.ru/upload/images/goods/0b81d6bc-5e44-449a-aaac-91cb645ec52e_06.jpg", "Фото 6")</f>
        <v>Фото 6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17"/>
      <c r="BD20" s="3" t="s">
        <v>57</v>
      </c>
      <c r="BE20" s="4">
        <v>9503004100</v>
      </c>
    </row>
    <row r="21" spans="1:57" ht="99.95" customHeight="1" x14ac:dyDescent="0.2">
      <c r="A21" s="3" t="s">
        <v>114</v>
      </c>
      <c r="B21" s="3" t="s">
        <v>115</v>
      </c>
      <c r="C21" s="3" t="s">
        <v>59</v>
      </c>
      <c r="D21" s="3" t="s">
        <v>60</v>
      </c>
      <c r="E21" s="12" t="s">
        <v>137</v>
      </c>
      <c r="F21" s="7">
        <v>694704116299</v>
      </c>
      <c r="G21" s="3" t="s">
        <v>138</v>
      </c>
      <c r="H21" s="3" t="s">
        <v>139</v>
      </c>
      <c r="I21" s="3" t="s">
        <v>76</v>
      </c>
      <c r="J21" s="3" t="s">
        <v>139</v>
      </c>
      <c r="K21" s="5">
        <v>4.3299999999999996E-3</v>
      </c>
      <c r="L21" s="8">
        <v>0.155</v>
      </c>
      <c r="M21" s="3" t="s">
        <v>106</v>
      </c>
      <c r="N21" s="12" t="s">
        <v>140</v>
      </c>
      <c r="O21" s="3"/>
      <c r="P21" s="3" t="str">
        <f>HYPERLINK("http://www.paremo.ru/upload/images/goods/0e032337-6c94-432d-82ee-4d07eea522eb_01.jpg", "Фото 1")</f>
        <v>Фото 1</v>
      </c>
      <c r="Q21" s="3" t="str">
        <f>HYPERLINK("http://www.paremo.ru/upload/images/goods/0e032337-6c94-432d-82ee-4d07eea522eb_02.jpg", "Фото 2")</f>
        <v>Фото 2</v>
      </c>
      <c r="R21" s="3" t="str">
        <f>HYPERLINK("http://www.paremo.ru/upload/images/goods/0e032337-6c94-432d-82ee-4d07eea522eb_03.jpg", "Фото 3")</f>
        <v>Фото 3</v>
      </c>
      <c r="S21" s="3" t="str">
        <f>HYPERLINK("http://www.paremo.ru/upload/images/goods/0e032337-6c94-432d-82ee-4d07eea522eb_04.jpg", "Фото 4")</f>
        <v>Фото 4</v>
      </c>
      <c r="T21" s="3" t="str">
        <f>HYPERLINK("http://www.paremo.ru/upload/images/goods/0e032337-6c94-432d-82ee-4d07eea522eb_05.jpg", "Фото 5")</f>
        <v>Фото 5</v>
      </c>
      <c r="U21" s="3" t="str">
        <f>HYPERLINK("http://www.paremo.ru/upload/images/goods/0e032337-6c94-432d-82ee-4d07eea522eb_06.jpg", "Фото 6")</f>
        <v>Фото 6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7"/>
      <c r="BD21" s="3" t="s">
        <v>57</v>
      </c>
      <c r="BE21" s="4">
        <v>9503004100</v>
      </c>
    </row>
    <row r="22" spans="1:57" ht="99.95" customHeight="1" x14ac:dyDescent="0.2">
      <c r="A22" s="3" t="s">
        <v>114</v>
      </c>
      <c r="B22" s="3" t="s">
        <v>115</v>
      </c>
      <c r="C22" s="3" t="s">
        <v>59</v>
      </c>
      <c r="D22" s="3" t="s">
        <v>60</v>
      </c>
      <c r="E22" s="12" t="s">
        <v>141</v>
      </c>
      <c r="F22" s="7">
        <v>694704116305</v>
      </c>
      <c r="G22" s="3" t="s">
        <v>142</v>
      </c>
      <c r="H22" s="3" t="s">
        <v>143</v>
      </c>
      <c r="I22" s="3" t="s">
        <v>76</v>
      </c>
      <c r="J22" s="3" t="s">
        <v>143</v>
      </c>
      <c r="K22" s="5">
        <v>7.3400000000000002E-3</v>
      </c>
      <c r="L22" s="9">
        <v>0.23</v>
      </c>
      <c r="M22" s="3" t="s">
        <v>106</v>
      </c>
      <c r="N22" s="12" t="s">
        <v>144</v>
      </c>
      <c r="O22" s="3"/>
      <c r="P22" s="3" t="str">
        <f>HYPERLINK("http://www.paremo.ru/upload/images/goods/e970d385-8fcb-4011-9c65-e7edcd3f77b7_01.jpg", "Фото 1")</f>
        <v>Фото 1</v>
      </c>
      <c r="Q22" s="3" t="str">
        <f>HYPERLINK("http://www.paremo.ru/upload/images/goods/e970d385-8fcb-4011-9c65-e7edcd3f77b7_02.jpg", "Фото 2")</f>
        <v>Фото 2</v>
      </c>
      <c r="R22" s="3" t="str">
        <f>HYPERLINK("http://www.paremo.ru/upload/images/goods/e970d385-8fcb-4011-9c65-e7edcd3f77b7_03.jpg", "Фото 3")</f>
        <v>Фото 3</v>
      </c>
      <c r="S22" s="3" t="str">
        <f>HYPERLINK("http://www.paremo.ru/upload/images/goods/e970d385-8fcb-4011-9c65-e7edcd3f77b7_04.jpg", "Фото 4")</f>
        <v>Фото 4</v>
      </c>
      <c r="T22" s="3" t="str">
        <f>HYPERLINK("http://www.paremo.ru/upload/images/goods/e970d385-8fcb-4011-9c65-e7edcd3f77b7_05.jpg", "Фото 5")</f>
        <v>Фото 5</v>
      </c>
      <c r="U22" s="3" t="str">
        <f>HYPERLINK("http://www.paremo.ru/upload/images/goods/e970d385-8fcb-4011-9c65-e7edcd3f77b7_06.jpg", "Фото 6")</f>
        <v>Фото 6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17"/>
      <c r="BD22" s="3" t="s">
        <v>57</v>
      </c>
      <c r="BE22" s="4">
        <v>9503004100</v>
      </c>
    </row>
    <row r="23" spans="1:57" ht="99.95" customHeight="1" x14ac:dyDescent="0.2">
      <c r="A23" s="3" t="s">
        <v>114</v>
      </c>
      <c r="B23" s="3" t="s">
        <v>115</v>
      </c>
      <c r="C23" s="3" t="s">
        <v>59</v>
      </c>
      <c r="D23" s="3" t="s">
        <v>60</v>
      </c>
      <c r="E23" s="12" t="s">
        <v>145</v>
      </c>
      <c r="F23" s="7">
        <v>694704116312</v>
      </c>
      <c r="G23" s="3" t="s">
        <v>146</v>
      </c>
      <c r="H23" s="3" t="s">
        <v>147</v>
      </c>
      <c r="I23" s="3" t="s">
        <v>76</v>
      </c>
      <c r="J23" s="3" t="s">
        <v>147</v>
      </c>
      <c r="K23" s="5">
        <v>6.7200000000000003E-3</v>
      </c>
      <c r="L23" s="9">
        <v>0.15</v>
      </c>
      <c r="M23" s="3" t="s">
        <v>106</v>
      </c>
      <c r="N23" s="12" t="s">
        <v>148</v>
      </c>
      <c r="O23" s="3"/>
      <c r="P23" s="3" t="str">
        <f>HYPERLINK("http://www.paremo.ru/upload/images/goods/fb5597a6-0dcc-4ede-a183-f30625194c91_01.jpg", "Фото 1")</f>
        <v>Фото 1</v>
      </c>
      <c r="Q23" s="3" t="str">
        <f>HYPERLINK("http://www.paremo.ru/upload/images/goods/fb5597a6-0dcc-4ede-a183-f30625194c91_02.jpg", "Фото 2")</f>
        <v>Фото 2</v>
      </c>
      <c r="R23" s="3" t="str">
        <f>HYPERLINK("http://www.paremo.ru/upload/images/goods/fb5597a6-0dcc-4ede-a183-f30625194c91_03.jpg", "Фото 3")</f>
        <v>Фото 3</v>
      </c>
      <c r="S23" s="3" t="str">
        <f>HYPERLINK("http://www.paremo.ru/upload/images/goods/fb5597a6-0dcc-4ede-a183-f30625194c91_04.jpg", "Фото 4")</f>
        <v>Фото 4</v>
      </c>
      <c r="T23" s="3" t="str">
        <f>HYPERLINK("http://www.paremo.ru/upload/images/goods/fb5597a6-0dcc-4ede-a183-f30625194c91_05.jpg", "Фото 5")</f>
        <v>Фото 5</v>
      </c>
      <c r="U23" s="3" t="str">
        <f>HYPERLINK("http://www.paremo.ru/upload/images/goods/fb5597a6-0dcc-4ede-a183-f30625194c91_06.jpg", "Фото 6")</f>
        <v>Фото 6</v>
      </c>
      <c r="V23" s="3" t="str">
        <f>HYPERLINK("http://www.paremo.ru/upload/images/goods/fb5597a6-0dcc-4ede-a183-f30625194c91_07.jpg", "Фото 7")</f>
        <v>Фото 7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17"/>
      <c r="BD23" s="3" t="s">
        <v>57</v>
      </c>
      <c r="BE23" s="4">
        <v>9503004100</v>
      </c>
    </row>
    <row r="24" spans="1:57" ht="99.95" customHeight="1" x14ac:dyDescent="0.2">
      <c r="A24" s="3" t="s">
        <v>114</v>
      </c>
      <c r="B24" s="3" t="s">
        <v>115</v>
      </c>
      <c r="C24" s="3" t="s">
        <v>59</v>
      </c>
      <c r="D24" s="3" t="s">
        <v>60</v>
      </c>
      <c r="E24" s="12" t="s">
        <v>149</v>
      </c>
      <c r="F24" s="7">
        <v>694704116329</v>
      </c>
      <c r="G24" s="3" t="s">
        <v>150</v>
      </c>
      <c r="H24" s="3" t="s">
        <v>151</v>
      </c>
      <c r="I24" s="3" t="s">
        <v>76</v>
      </c>
      <c r="J24" s="3" t="s">
        <v>151</v>
      </c>
      <c r="K24" s="5">
        <v>6.1199999999999996E-3</v>
      </c>
      <c r="L24" s="9">
        <v>0.13</v>
      </c>
      <c r="M24" s="3" t="s">
        <v>106</v>
      </c>
      <c r="N24" s="12" t="s">
        <v>152</v>
      </c>
      <c r="O24" s="3"/>
      <c r="P24" s="3" t="str">
        <f>HYPERLINK("http://www.paremo.ru/upload/images/goods/8981f236-8264-49a0-9862-e685e4a5ce7b_01.jpg", "Фото 1")</f>
        <v>Фото 1</v>
      </c>
      <c r="Q24" s="3" t="str">
        <f>HYPERLINK("http://www.paremo.ru/upload/images/goods/8981f236-8264-49a0-9862-e685e4a5ce7b_02.jpg", "Фото 2")</f>
        <v>Фото 2</v>
      </c>
      <c r="R24" s="3" t="str">
        <f>HYPERLINK("http://www.paremo.ru/upload/images/goods/8981f236-8264-49a0-9862-e685e4a5ce7b_03.jpg", "Фото 3")</f>
        <v>Фото 3</v>
      </c>
      <c r="S24" s="3" t="str">
        <f>HYPERLINK("http://www.paremo.ru/upload/images/goods/8981f236-8264-49a0-9862-e685e4a5ce7b_04.jpg", "Фото 4")</f>
        <v>Фото 4</v>
      </c>
      <c r="T24" s="3" t="str">
        <f>HYPERLINK("http://www.paremo.ru/upload/images/goods/8981f236-8264-49a0-9862-e685e4a5ce7b_05.jpg", "Фото 5")</f>
        <v>Фото 5</v>
      </c>
      <c r="U24" s="3" t="str">
        <f>HYPERLINK("http://www.paremo.ru/upload/images/goods/8981f236-8264-49a0-9862-e685e4a5ce7b_06.jpg", "Фото 6")</f>
        <v>Фото 6</v>
      </c>
      <c r="V24" s="3" t="str">
        <f>HYPERLINK("http://www.paremo.ru/upload/images/goods/8981f236-8264-49a0-9862-e685e4a5ce7b_07.jpg", "Фото 7")</f>
        <v>Фото 7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17"/>
      <c r="BD24" s="3" t="s">
        <v>57</v>
      </c>
      <c r="BE24" s="4">
        <v>9503004100</v>
      </c>
    </row>
    <row r="25" spans="1:57" ht="99.95" customHeight="1" x14ac:dyDescent="0.2">
      <c r="A25" s="3" t="s">
        <v>114</v>
      </c>
      <c r="B25" s="3" t="s">
        <v>115</v>
      </c>
      <c r="C25" s="3" t="s">
        <v>59</v>
      </c>
      <c r="D25" s="3" t="s">
        <v>60</v>
      </c>
      <c r="E25" s="12" t="s">
        <v>153</v>
      </c>
      <c r="F25" s="7">
        <v>694704116336</v>
      </c>
      <c r="G25" s="3" t="s">
        <v>154</v>
      </c>
      <c r="H25" s="3" t="s">
        <v>151</v>
      </c>
      <c r="I25" s="3" t="s">
        <v>76</v>
      </c>
      <c r="J25" s="3" t="s">
        <v>151</v>
      </c>
      <c r="K25" s="5">
        <v>6.1199999999999996E-3</v>
      </c>
      <c r="L25" s="9">
        <v>0.13</v>
      </c>
      <c r="M25" s="3" t="s">
        <v>106</v>
      </c>
      <c r="N25" s="12" t="s">
        <v>155</v>
      </c>
      <c r="O25" s="3"/>
      <c r="P25" s="3" t="str">
        <f>HYPERLINK("http://www.paremo.ru/upload/images/goods/521d339b-a6a5-4008-b57c-873794e95ab5_01.jpg", "Фото 1")</f>
        <v>Фото 1</v>
      </c>
      <c r="Q25" s="3" t="str">
        <f>HYPERLINK("http://www.paremo.ru/upload/images/goods/521d339b-a6a5-4008-b57c-873794e95ab5_02.jpg", "Фото 2")</f>
        <v>Фото 2</v>
      </c>
      <c r="R25" s="3" t="str">
        <f>HYPERLINK("http://www.paremo.ru/upload/images/goods/521d339b-a6a5-4008-b57c-873794e95ab5_03.jpg", "Фото 3")</f>
        <v>Фото 3</v>
      </c>
      <c r="S25" s="3" t="str">
        <f>HYPERLINK("http://www.paremo.ru/upload/images/goods/521d339b-a6a5-4008-b57c-873794e95ab5_04.jpg", "Фото 4")</f>
        <v>Фото 4</v>
      </c>
      <c r="T25" s="3" t="str">
        <f>HYPERLINK("http://www.paremo.ru/upload/images/goods/521d339b-a6a5-4008-b57c-873794e95ab5_05.jpg", "Фото 5")</f>
        <v>Фото 5</v>
      </c>
      <c r="U25" s="3" t="str">
        <f>HYPERLINK("http://www.paremo.ru/upload/images/goods/521d339b-a6a5-4008-b57c-873794e95ab5_06.jpg", "Фото 6")</f>
        <v>Фото 6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17"/>
      <c r="BD25" s="3" t="s">
        <v>57</v>
      </c>
      <c r="BE25" s="4">
        <v>9503004100</v>
      </c>
    </row>
    <row r="26" spans="1:57" ht="99.95" customHeight="1" x14ac:dyDescent="0.2">
      <c r="A26" s="3" t="s">
        <v>114</v>
      </c>
      <c r="B26" s="3" t="s">
        <v>115</v>
      </c>
      <c r="C26" s="3" t="s">
        <v>59</v>
      </c>
      <c r="D26" s="3" t="s">
        <v>60</v>
      </c>
      <c r="E26" s="12" t="s">
        <v>156</v>
      </c>
      <c r="F26" s="7">
        <v>694704116343</v>
      </c>
      <c r="G26" s="3" t="s">
        <v>157</v>
      </c>
      <c r="H26" s="3" t="s">
        <v>151</v>
      </c>
      <c r="I26" s="3" t="s">
        <v>76</v>
      </c>
      <c r="J26" s="3" t="s">
        <v>151</v>
      </c>
      <c r="K26" s="5">
        <v>6.1199999999999996E-3</v>
      </c>
      <c r="L26" s="9">
        <v>0.13</v>
      </c>
      <c r="M26" s="3" t="s">
        <v>116</v>
      </c>
      <c r="N26" s="12" t="s">
        <v>158</v>
      </c>
      <c r="O26" s="3"/>
      <c r="P26" s="3" t="str">
        <f>HYPERLINK("http://www.paremo.ru/upload/images/goods/7de912fb-22fc-460b-9067-3abea72b28c5_01.jpg", "Фото 1")</f>
        <v>Фото 1</v>
      </c>
      <c r="Q26" s="3" t="str">
        <f>HYPERLINK("http://www.paremo.ru/upload/images/goods/7de912fb-22fc-460b-9067-3abea72b28c5_02.jpg", "Фото 2")</f>
        <v>Фото 2</v>
      </c>
      <c r="R26" s="3" t="str">
        <f>HYPERLINK("http://www.paremo.ru/upload/images/goods/7de912fb-22fc-460b-9067-3abea72b28c5_03.jpg", "Фото 3")</f>
        <v>Фото 3</v>
      </c>
      <c r="S26" s="3" t="str">
        <f>HYPERLINK("http://www.paremo.ru/upload/images/goods/7de912fb-22fc-460b-9067-3abea72b28c5_04.jpg", "Фото 4")</f>
        <v>Фото 4</v>
      </c>
      <c r="T26" s="3" t="str">
        <f>HYPERLINK("http://www.paremo.ru/upload/images/goods/7de912fb-22fc-460b-9067-3abea72b28c5_05.jpg", "Фото 5")</f>
        <v>Фото 5</v>
      </c>
      <c r="U26" s="3" t="str">
        <f>HYPERLINK("http://www.paremo.ru/upload/images/goods/7de912fb-22fc-460b-9067-3abea72b28c5_06.jpg", "Фото 6")</f>
        <v>Фото 6</v>
      </c>
      <c r="V26" s="3" t="str">
        <f>HYPERLINK("http://www.paremo.ru/upload/images/goods/7de912fb-22fc-460b-9067-3abea72b28c5_07.jpg", "Фото 7")</f>
        <v>Фото 7</v>
      </c>
      <c r="W26" s="3" t="str">
        <f>HYPERLINK("http://www.paremo.ru/upload/images/goods/7de912fb-22fc-460b-9067-3abea72b28c5_08.jpg", "Фото 8")</f>
        <v>Фото 8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17"/>
      <c r="BD26" s="3" t="s">
        <v>57</v>
      </c>
      <c r="BE26" s="4">
        <v>9503004100</v>
      </c>
    </row>
    <row r="27" spans="1:57" ht="99.95" customHeight="1" x14ac:dyDescent="0.2">
      <c r="A27" s="3" t="s">
        <v>159</v>
      </c>
      <c r="B27" s="3" t="s">
        <v>160</v>
      </c>
      <c r="C27" s="3" t="s">
        <v>59</v>
      </c>
      <c r="D27" s="3" t="s">
        <v>60</v>
      </c>
      <c r="E27" s="12" t="s">
        <v>166</v>
      </c>
      <c r="F27" s="7">
        <v>694704116527</v>
      </c>
      <c r="G27" s="3" t="s">
        <v>167</v>
      </c>
      <c r="H27" s="3" t="s">
        <v>168</v>
      </c>
      <c r="I27" s="3" t="s">
        <v>76</v>
      </c>
      <c r="J27" s="3" t="s">
        <v>168</v>
      </c>
      <c r="K27" s="5">
        <v>2.8500000000000001E-3</v>
      </c>
      <c r="L27" s="6">
        <v>0.5</v>
      </c>
      <c r="M27" s="3" t="s">
        <v>163</v>
      </c>
      <c r="N27" s="12" t="s">
        <v>169</v>
      </c>
      <c r="O27" s="3"/>
      <c r="P27" s="3" t="str">
        <f>HYPERLINK("http://www.paremo.ru/upload/images/goods/f39fe070-d866-4259-9df9-f0778d83a73b_01.jpg", "Фото 1")</f>
        <v>Фото 1</v>
      </c>
      <c r="Q27" s="3" t="str">
        <f>HYPERLINK("http://www.paremo.ru/upload/images/goods/f39fe070-d866-4259-9df9-f0778d83a73b_02.jpg", "Фото 2")</f>
        <v>Фото 2</v>
      </c>
      <c r="R27" s="3" t="str">
        <f>HYPERLINK("http://www.paremo.ru/upload/images/goods/f39fe070-d866-4259-9df9-f0778d83a73b_03.jpg", "Фото 3")</f>
        <v>Фото 3</v>
      </c>
      <c r="S27" s="3" t="str">
        <f>HYPERLINK("http://www.paremo.ru/upload/images/goods/f39fe070-d866-4259-9df9-f0778d83a73b_04.jpg", "Фото 4")</f>
        <v>Фото 4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17"/>
      <c r="BD27" s="3" t="s">
        <v>57</v>
      </c>
      <c r="BE27" s="4">
        <v>9503006900</v>
      </c>
    </row>
    <row r="28" spans="1:57" ht="99.95" customHeight="1" x14ac:dyDescent="0.2">
      <c r="A28" s="3" t="s">
        <v>159</v>
      </c>
      <c r="B28" s="3" t="s">
        <v>160</v>
      </c>
      <c r="C28" s="3" t="s">
        <v>59</v>
      </c>
      <c r="D28" s="3" t="s">
        <v>60</v>
      </c>
      <c r="E28" s="12" t="s">
        <v>170</v>
      </c>
      <c r="F28" s="7">
        <v>694704116534</v>
      </c>
      <c r="G28" s="3" t="s">
        <v>171</v>
      </c>
      <c r="H28" s="3" t="s">
        <v>168</v>
      </c>
      <c r="I28" s="3" t="s">
        <v>76</v>
      </c>
      <c r="J28" s="3" t="s">
        <v>168</v>
      </c>
      <c r="K28" s="5">
        <v>2.8500000000000001E-3</v>
      </c>
      <c r="L28" s="6">
        <v>0.5</v>
      </c>
      <c r="M28" s="3" t="s">
        <v>163</v>
      </c>
      <c r="N28" s="12" t="s">
        <v>172</v>
      </c>
      <c r="O28" s="3"/>
      <c r="P28" s="3" t="str">
        <f>HYPERLINK("http://www.paremo.ru/upload/images/goods/8289a4d0-2180-4cfd-a1c3-d21a3d5bcf0a_01.jpg", "Фото 1")</f>
        <v>Фото 1</v>
      </c>
      <c r="Q28" s="3" t="str">
        <f>HYPERLINK("http://www.paremo.ru/upload/images/goods/8289a4d0-2180-4cfd-a1c3-d21a3d5bcf0a_02.jpg", "Фото 2")</f>
        <v>Фото 2</v>
      </c>
      <c r="R28" s="3" t="str">
        <f>HYPERLINK("http://www.paremo.ru/upload/images/goods/8289a4d0-2180-4cfd-a1c3-d21a3d5bcf0a_03.jpg", "Фото 3")</f>
        <v>Фото 3</v>
      </c>
      <c r="S28" s="3" t="str">
        <f>HYPERLINK("http://www.paremo.ru/upload/images/goods/8289a4d0-2180-4cfd-a1c3-d21a3d5bcf0a_04.jpg", "Фото 4")</f>
        <v>Фото 4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17"/>
      <c r="BD28" s="3" t="s">
        <v>57</v>
      </c>
      <c r="BE28" s="4">
        <v>9503006900</v>
      </c>
    </row>
    <row r="29" spans="1:57" ht="99.95" customHeight="1" x14ac:dyDescent="0.2">
      <c r="A29" s="3" t="s">
        <v>159</v>
      </c>
      <c r="B29" s="3" t="s">
        <v>160</v>
      </c>
      <c r="C29" s="3" t="s">
        <v>59</v>
      </c>
      <c r="D29" s="3" t="s">
        <v>60</v>
      </c>
      <c r="E29" s="12" t="s">
        <v>173</v>
      </c>
      <c r="F29" s="7">
        <v>694704116619</v>
      </c>
      <c r="G29" s="3" t="s">
        <v>174</v>
      </c>
      <c r="H29" s="3" t="s">
        <v>168</v>
      </c>
      <c r="I29" s="3" t="s">
        <v>76</v>
      </c>
      <c r="J29" s="3" t="s">
        <v>168</v>
      </c>
      <c r="K29" s="5">
        <v>2.8500000000000001E-3</v>
      </c>
      <c r="L29" s="6">
        <v>0.5</v>
      </c>
      <c r="M29" s="3" t="s">
        <v>163</v>
      </c>
      <c r="N29" s="12" t="s">
        <v>175</v>
      </c>
      <c r="O29" s="3"/>
      <c r="P29" s="3" t="str">
        <f>HYPERLINK("http://www.paremo.ru/upload/images/goods/7289e447-fceb-494b-b92a-c9632eb57c71_01.jpg", "Фото 1")</f>
        <v>Фото 1</v>
      </c>
      <c r="Q29" s="3" t="str">
        <f>HYPERLINK("http://www.paremo.ru/upload/images/goods/7289e447-fceb-494b-b92a-c9632eb57c71_02.jpg", "Фото 2")</f>
        <v>Фото 2</v>
      </c>
      <c r="R29" s="3" t="str">
        <f>HYPERLINK("http://www.paremo.ru/upload/images/goods/7289e447-fceb-494b-b92a-c9632eb57c71_03.jpg", "Фото 3")</f>
        <v>Фото 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17"/>
      <c r="BD29" s="3" t="s">
        <v>57</v>
      </c>
      <c r="BE29" s="4">
        <v>9503006900</v>
      </c>
    </row>
    <row r="30" spans="1:57" ht="99.95" customHeight="1" x14ac:dyDescent="0.2">
      <c r="A30" s="3" t="s">
        <v>159</v>
      </c>
      <c r="B30" s="3" t="s">
        <v>160</v>
      </c>
      <c r="C30" s="3" t="s">
        <v>59</v>
      </c>
      <c r="D30" s="3" t="s">
        <v>60</v>
      </c>
      <c r="E30" s="12" t="s">
        <v>176</v>
      </c>
      <c r="F30" s="7">
        <v>694704116626</v>
      </c>
      <c r="G30" s="3" t="s">
        <v>177</v>
      </c>
      <c r="H30" s="3" t="s">
        <v>168</v>
      </c>
      <c r="I30" s="3" t="s">
        <v>76</v>
      </c>
      <c r="J30" s="3" t="s">
        <v>168</v>
      </c>
      <c r="K30" s="5">
        <v>2.8500000000000001E-3</v>
      </c>
      <c r="L30" s="6">
        <v>0.5</v>
      </c>
      <c r="M30" s="3" t="s">
        <v>163</v>
      </c>
      <c r="N30" s="12" t="s">
        <v>178</v>
      </c>
      <c r="O30" s="3"/>
      <c r="P30" s="3" t="str">
        <f>HYPERLINK("http://www.paremo.ru/upload/images/goods/f968dee4-ff2c-4f60-8159-39b19c606e59_01.jpg", "Фото 1")</f>
        <v>Фото 1</v>
      </c>
      <c r="Q30" s="3" t="str">
        <f>HYPERLINK("http://www.paremo.ru/upload/images/goods/f968dee4-ff2c-4f60-8159-39b19c606e59_02.jpg", "Фото 2")</f>
        <v>Фото 2</v>
      </c>
      <c r="R30" s="3" t="str">
        <f>HYPERLINK("http://www.paremo.ru/upload/images/goods/f968dee4-ff2c-4f60-8159-39b19c606e59_03.jpg", "Фото 3")</f>
        <v>Фото 3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17"/>
      <c r="BD30" s="3" t="s">
        <v>57</v>
      </c>
      <c r="BE30" s="4">
        <v>9503006900</v>
      </c>
    </row>
    <row r="31" spans="1:57" ht="99.95" customHeight="1" x14ac:dyDescent="0.2">
      <c r="A31" s="3" t="s">
        <v>159</v>
      </c>
      <c r="B31" s="3" t="s">
        <v>160</v>
      </c>
      <c r="C31" s="3" t="s">
        <v>59</v>
      </c>
      <c r="D31" s="3" t="s">
        <v>60</v>
      </c>
      <c r="E31" s="12" t="s">
        <v>179</v>
      </c>
      <c r="F31" s="7">
        <v>694704116718</v>
      </c>
      <c r="G31" s="3" t="s">
        <v>180</v>
      </c>
      <c r="H31" s="3" t="s">
        <v>168</v>
      </c>
      <c r="I31" s="3" t="s">
        <v>76</v>
      </c>
      <c r="J31" s="3" t="s">
        <v>168</v>
      </c>
      <c r="K31" s="5">
        <v>2.8500000000000001E-3</v>
      </c>
      <c r="L31" s="6">
        <v>0.5</v>
      </c>
      <c r="M31" s="3" t="s">
        <v>163</v>
      </c>
      <c r="N31" s="12" t="s">
        <v>181</v>
      </c>
      <c r="O31" s="3"/>
      <c r="P31" s="3" t="str">
        <f>HYPERLINK("http://www.paremo.ru/upload/images/goods/66ed5056-868c-4064-baaa-ffc9ec368442_01.jpg", "Фото 1")</f>
        <v>Фото 1</v>
      </c>
      <c r="Q31" s="3" t="str">
        <f>HYPERLINK("http://www.paremo.ru/upload/images/goods/66ed5056-868c-4064-baaa-ffc9ec368442_02.jpg", "Фото 2")</f>
        <v>Фото 2</v>
      </c>
      <c r="R31" s="3" t="str">
        <f>HYPERLINK("http://www.paremo.ru/upload/images/goods/66ed5056-868c-4064-baaa-ffc9ec368442_03.jpg", "Фото 3")</f>
        <v>Фото 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17"/>
      <c r="BD31" s="3" t="s">
        <v>57</v>
      </c>
      <c r="BE31" s="4">
        <v>9503006900</v>
      </c>
    </row>
    <row r="32" spans="1:57" ht="99.95" customHeight="1" x14ac:dyDescent="0.2">
      <c r="A32" s="3" t="s">
        <v>159</v>
      </c>
      <c r="B32" s="3" t="s">
        <v>160</v>
      </c>
      <c r="C32" s="3" t="s">
        <v>59</v>
      </c>
      <c r="D32" s="3" t="s">
        <v>60</v>
      </c>
      <c r="E32" s="12" t="s">
        <v>182</v>
      </c>
      <c r="F32" s="7">
        <v>694704116817</v>
      </c>
      <c r="G32" s="3" t="s">
        <v>183</v>
      </c>
      <c r="H32" s="3" t="s">
        <v>184</v>
      </c>
      <c r="I32" s="3" t="s">
        <v>76</v>
      </c>
      <c r="J32" s="3" t="s">
        <v>184</v>
      </c>
      <c r="K32" s="5">
        <v>5.2700000000000004E-3</v>
      </c>
      <c r="L32" s="9">
        <v>0.97</v>
      </c>
      <c r="M32" s="3" t="s">
        <v>163</v>
      </c>
      <c r="N32" s="12" t="s">
        <v>185</v>
      </c>
      <c r="O32" s="3"/>
      <c r="P32" s="3" t="str">
        <f>HYPERLINK("http://www.paremo.ru/upload/images/goods/d66425e9-34c4-457e-80bb-37f9b33c553c_01.jpg", "Фото 1")</f>
        <v>Фото 1</v>
      </c>
      <c r="Q32" s="3" t="str">
        <f>HYPERLINK("http://www.paremo.ru/upload/images/goods/d66425e9-34c4-457e-80bb-37f9b33c553c_02.jpg", "Фото 2")</f>
        <v>Фото 2</v>
      </c>
      <c r="R32" s="3" t="str">
        <f>HYPERLINK("http://www.paremo.ru/upload/images/goods/d66425e9-34c4-457e-80bb-37f9b33c553c_03.jpg", "Фото 3")</f>
        <v>Фото 3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17"/>
      <c r="BD32" s="3" t="s">
        <v>57</v>
      </c>
      <c r="BE32" s="4">
        <v>9503006900</v>
      </c>
    </row>
    <row r="33" spans="1:57" ht="99.95" customHeight="1" x14ac:dyDescent="0.2">
      <c r="A33" s="3" t="s">
        <v>159</v>
      </c>
      <c r="B33" s="3" t="s">
        <v>160</v>
      </c>
      <c r="C33" s="3" t="s">
        <v>59</v>
      </c>
      <c r="D33" s="3" t="s">
        <v>60</v>
      </c>
      <c r="E33" s="12" t="s">
        <v>186</v>
      </c>
      <c r="F33" s="7">
        <v>694704116824</v>
      </c>
      <c r="G33" s="3" t="s">
        <v>187</v>
      </c>
      <c r="H33" s="3" t="s">
        <v>184</v>
      </c>
      <c r="I33" s="3" t="s">
        <v>76</v>
      </c>
      <c r="J33" s="3" t="s">
        <v>184</v>
      </c>
      <c r="K33" s="5">
        <v>5.2700000000000004E-3</v>
      </c>
      <c r="L33" s="9">
        <v>0.97</v>
      </c>
      <c r="M33" s="3" t="s">
        <v>163</v>
      </c>
      <c r="N33" s="12" t="s">
        <v>188</v>
      </c>
      <c r="O33" s="3"/>
      <c r="P33" s="3" t="str">
        <f>HYPERLINK("http://www.paremo.ru/upload/images/goods/846a8847-71dc-40db-8da0-9963ee4f8b07_01.jpg", "Фото 1")</f>
        <v>Фото 1</v>
      </c>
      <c r="Q33" s="3" t="str">
        <f>HYPERLINK("http://www.paremo.ru/upload/images/goods/846a8847-71dc-40db-8da0-9963ee4f8b07_02.jpg", "Фото 2")</f>
        <v>Фото 2</v>
      </c>
      <c r="R33" s="3" t="str">
        <f>HYPERLINK("http://www.paremo.ru/upload/images/goods/846a8847-71dc-40db-8da0-9963ee4f8b07_03.jpg", "Фото 3")</f>
        <v>Фото 3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17"/>
      <c r="BD33" s="3" t="s">
        <v>57</v>
      </c>
      <c r="BE33" s="4">
        <v>9503006900</v>
      </c>
    </row>
    <row r="34" spans="1:57" ht="99.95" customHeight="1" x14ac:dyDescent="0.2">
      <c r="A34" s="3" t="s">
        <v>159</v>
      </c>
      <c r="B34" s="3" t="s">
        <v>160</v>
      </c>
      <c r="C34" s="3" t="s">
        <v>59</v>
      </c>
      <c r="D34" s="3" t="s">
        <v>60</v>
      </c>
      <c r="E34" s="12" t="s">
        <v>189</v>
      </c>
      <c r="F34" s="7">
        <v>694704116831</v>
      </c>
      <c r="G34" s="3" t="s">
        <v>187</v>
      </c>
      <c r="H34" s="3" t="s">
        <v>184</v>
      </c>
      <c r="I34" s="3" t="s">
        <v>76</v>
      </c>
      <c r="J34" s="3" t="s">
        <v>184</v>
      </c>
      <c r="K34" s="5">
        <v>5.2700000000000004E-3</v>
      </c>
      <c r="L34" s="9">
        <v>0.97</v>
      </c>
      <c r="M34" s="3" t="s">
        <v>163</v>
      </c>
      <c r="N34" s="12" t="s">
        <v>190</v>
      </c>
      <c r="O34" s="3"/>
      <c r="P34" s="3" t="str">
        <f>HYPERLINK("http://www.paremo.ru/upload/images/goods/cf71c3e5-7f02-4ab5-b80b-570334d07c09_01.jpg", "Фото 1")</f>
        <v>Фото 1</v>
      </c>
      <c r="Q34" s="3" t="str">
        <f>HYPERLINK("http://www.paremo.ru/upload/images/goods/cf71c3e5-7f02-4ab5-b80b-570334d07c09_02.jpg", "Фото 2")</f>
        <v>Фото 2</v>
      </c>
      <c r="R34" s="3" t="str">
        <f>HYPERLINK("http://www.paremo.ru/upload/images/goods/cf71c3e5-7f02-4ab5-b80b-570334d07c09_03.jpg", "Фото 3")</f>
        <v>Фото 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17"/>
      <c r="BD34" s="3" t="s">
        <v>57</v>
      </c>
      <c r="BE34" s="4">
        <v>9503006900</v>
      </c>
    </row>
    <row r="35" spans="1:57" ht="99.95" customHeight="1" x14ac:dyDescent="0.2">
      <c r="A35" s="3" t="s">
        <v>159</v>
      </c>
      <c r="B35" s="3" t="s">
        <v>160</v>
      </c>
      <c r="C35" s="3" t="s">
        <v>59</v>
      </c>
      <c r="D35" s="3" t="s">
        <v>60</v>
      </c>
      <c r="E35" s="12" t="s">
        <v>191</v>
      </c>
      <c r="F35" s="7">
        <v>694704116848</v>
      </c>
      <c r="G35" s="3" t="s">
        <v>192</v>
      </c>
      <c r="H35" s="3" t="s">
        <v>184</v>
      </c>
      <c r="I35" s="3" t="s">
        <v>76</v>
      </c>
      <c r="J35" s="3" t="s">
        <v>184</v>
      </c>
      <c r="K35" s="5">
        <v>5.2700000000000004E-3</v>
      </c>
      <c r="L35" s="9">
        <v>0.97</v>
      </c>
      <c r="M35" s="3" t="s">
        <v>163</v>
      </c>
      <c r="N35" s="12" t="s">
        <v>193</v>
      </c>
      <c r="O35" s="3"/>
      <c r="P35" s="3" t="str">
        <f>HYPERLINK("http://www.paremo.ru/upload/images/goods/998ff324-e70b-48be-91ab-78cf78aecda6_01.jpg", "Фото 1")</f>
        <v>Фото 1</v>
      </c>
      <c r="Q35" s="3" t="str">
        <f>HYPERLINK("http://www.paremo.ru/upload/images/goods/998ff324-e70b-48be-91ab-78cf78aecda6_02.jpg", "Фото 2")</f>
        <v>Фото 2</v>
      </c>
      <c r="R35" s="3" t="str">
        <f>HYPERLINK("http://www.paremo.ru/upload/images/goods/998ff324-e70b-48be-91ab-78cf78aecda6_03.jpg", "Фото 3")</f>
        <v>Фото 3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17"/>
      <c r="BD35" s="3" t="s">
        <v>57</v>
      </c>
      <c r="BE35" s="4">
        <v>9503006900</v>
      </c>
    </row>
    <row r="36" spans="1:57" ht="99.95" customHeight="1" x14ac:dyDescent="0.2">
      <c r="A36" s="3" t="s">
        <v>196</v>
      </c>
      <c r="B36" s="3" t="s">
        <v>197</v>
      </c>
      <c r="C36" s="3" t="s">
        <v>59</v>
      </c>
      <c r="D36" s="3" t="s">
        <v>60</v>
      </c>
      <c r="E36" s="12" t="s">
        <v>200</v>
      </c>
      <c r="F36" s="7">
        <v>694704110266</v>
      </c>
      <c r="G36" s="3" t="s">
        <v>201</v>
      </c>
      <c r="H36" s="3" t="s">
        <v>198</v>
      </c>
      <c r="I36" s="3" t="s">
        <v>76</v>
      </c>
      <c r="J36" s="3" t="s">
        <v>198</v>
      </c>
      <c r="K36" s="8">
        <v>1E-3</v>
      </c>
      <c r="L36" s="9">
        <v>0.25</v>
      </c>
      <c r="M36" s="3" t="s">
        <v>164</v>
      </c>
      <c r="N36" s="12" t="s">
        <v>202</v>
      </c>
      <c r="O36" s="3"/>
      <c r="P36" s="3" t="str">
        <f>HYPERLINK("http://www.paremo.ru/upload/images/goods/1bc7da82-35be-476c-9089-6cdc5651461e_01.jpg", "Фото 1")</f>
        <v>Фото 1</v>
      </c>
      <c r="Q36" s="3" t="str">
        <f>HYPERLINK("http://www.paremo.ru/upload/images/goods/1bc7da82-35be-476c-9089-6cdc5651461e_02.jpg", "Фото 2")</f>
        <v>Фото 2</v>
      </c>
      <c r="R36" s="3" t="str">
        <f>HYPERLINK("http://www.paremo.ru/upload/images/goods/1bc7da82-35be-476c-9089-6cdc5651461e_03.jpg", "Фото 3")</f>
        <v>Фото 3</v>
      </c>
      <c r="S36" s="3" t="str">
        <f>HYPERLINK("http://www.paremo.ru/upload/images/goods/1bc7da82-35be-476c-9089-6cdc5651461e_04.jpg", "Фото 4")</f>
        <v>Фото 4</v>
      </c>
      <c r="T36" s="3" t="str">
        <f>HYPERLINK("http://www.paremo.ru/upload/images/goods/1bc7da82-35be-476c-9089-6cdc5651461e_05.jpg", "Фото 5")</f>
        <v>Фото 5</v>
      </c>
      <c r="U36" s="3" t="str">
        <f>HYPERLINK("http://www.paremo.ru/upload/images/goods/1bc7da82-35be-476c-9089-6cdc5651461e_06.jpg", "Фото 6")</f>
        <v>Фото 6</v>
      </c>
      <c r="V36" s="3" t="str">
        <f>HYPERLINK("http://www.paremo.ru/upload/images/goods/1bc7da82-35be-476c-9089-6cdc5651461e_07.jpg", "Фото 7")</f>
        <v>Фото 7</v>
      </c>
      <c r="W36" s="3" t="str">
        <f>HYPERLINK("http://www.paremo.ru/upload/images/goods/1bc7da82-35be-476c-9089-6cdc5651461e_08.jpg", "Фото 8")</f>
        <v>Фото 8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17" t="s">
        <v>203</v>
      </c>
      <c r="BD36" s="3" t="s">
        <v>57</v>
      </c>
      <c r="BE36" s="4">
        <v>4903000000</v>
      </c>
    </row>
    <row r="37" spans="1:57" ht="99.95" customHeight="1" x14ac:dyDescent="0.2">
      <c r="A37" s="3" t="s">
        <v>196</v>
      </c>
      <c r="B37" s="3" t="s">
        <v>197</v>
      </c>
      <c r="C37" s="3" t="s">
        <v>59</v>
      </c>
      <c r="D37" s="3" t="s">
        <v>60</v>
      </c>
      <c r="E37" s="12" t="s">
        <v>204</v>
      </c>
      <c r="F37" s="7">
        <v>694704111010</v>
      </c>
      <c r="G37" s="3" t="s">
        <v>205</v>
      </c>
      <c r="H37" s="3" t="s">
        <v>206</v>
      </c>
      <c r="I37" s="3" t="s">
        <v>64</v>
      </c>
      <c r="J37" s="3" t="s">
        <v>206</v>
      </c>
      <c r="K37" s="8">
        <v>2E-3</v>
      </c>
      <c r="L37" s="9">
        <v>0.65</v>
      </c>
      <c r="M37" s="3" t="s">
        <v>207</v>
      </c>
      <c r="N37" s="12" t="s">
        <v>208</v>
      </c>
      <c r="O37" s="3"/>
      <c r="P37" s="3" t="str">
        <f>HYPERLINK("http://www.paremo.ru/upload/images/goods/a9bf1684-3516-47c6-8de3-c10b929e497e_01.jpg", "Фото 1")</f>
        <v>Фото 1</v>
      </c>
      <c r="Q37" s="3" t="str">
        <f>HYPERLINK("http://www.paremo.ru/upload/images/goods/a9bf1684-3516-47c6-8de3-c10b929e497e_02.jpg", "Фото 2")</f>
        <v>Фото 2</v>
      </c>
      <c r="R37" s="3" t="str">
        <f>HYPERLINK("http://www.paremo.ru/upload/images/goods/a9bf1684-3516-47c6-8de3-c10b929e497e_03.jpg", "Фото 3")</f>
        <v>Фото 3</v>
      </c>
      <c r="S37" s="3" t="str">
        <f>HYPERLINK("http://www.paremo.ru/upload/images/goods/a9bf1684-3516-47c6-8de3-c10b929e497e_04.jpg", "Фото 4")</f>
        <v>Фото 4</v>
      </c>
      <c r="T37" s="3" t="str">
        <f>HYPERLINK("http://www.paremo.ru/upload/images/goods/a9bf1684-3516-47c6-8de3-c10b929e497e_05.jpg", "Фото 5")</f>
        <v>Фото 5</v>
      </c>
      <c r="U37" s="3" t="str">
        <f>HYPERLINK("http://www.paremo.ru/upload/images/goods/a9bf1684-3516-47c6-8de3-c10b929e497e_06.jpg", "Фото 6")</f>
        <v>Фото 6</v>
      </c>
      <c r="V37" s="3" t="str">
        <f>HYPERLINK("http://www.paremo.ru/upload/images/goods/a9bf1684-3516-47c6-8de3-c10b929e497e_07.jpg", "Фото 7")</f>
        <v>Фото 7</v>
      </c>
      <c r="W37" s="3" t="str">
        <f>HYPERLINK("http://www.paremo.ru/upload/images/goods/a9bf1684-3516-47c6-8de3-c10b929e497e_08.jpg", "Фото 8")</f>
        <v>Фото 8</v>
      </c>
      <c r="X37" s="3" t="str">
        <f>HYPERLINK("http://www.paremo.ru/upload/images/goods/a9bf1684-3516-47c6-8de3-c10b929e497e_09.jpg", "Фото 9")</f>
        <v>Фото 9</v>
      </c>
      <c r="Y37" s="3" t="str">
        <f>HYPERLINK("http://www.paremo.ru/upload/images/goods/a9bf1684-3516-47c6-8de3-c10b929e497e_10.jpg", "Фото 10")</f>
        <v>Фото 10</v>
      </c>
      <c r="Z37" s="3" t="str">
        <f>HYPERLINK("http://www.paremo.ru/upload/images/goods/a9bf1684-3516-47c6-8de3-c10b929e497e_11.jpg", "Фото 11")</f>
        <v>Фото 11</v>
      </c>
      <c r="AA37" s="3" t="str">
        <f>HYPERLINK("http://www.paremo.ru/upload/images/goods/a9bf1684-3516-47c6-8de3-c10b929e497e_12.jpg", "Фото 12")</f>
        <v>Фото 12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 t="s">
        <v>209</v>
      </c>
      <c r="BD37" s="3" t="s">
        <v>57</v>
      </c>
      <c r="BE37" s="4">
        <v>4820109000</v>
      </c>
    </row>
    <row r="38" spans="1:57" ht="99.95" customHeight="1" x14ac:dyDescent="0.2">
      <c r="A38" s="3" t="s">
        <v>196</v>
      </c>
      <c r="B38" s="3" t="s">
        <v>197</v>
      </c>
      <c r="C38" s="3" t="s">
        <v>59</v>
      </c>
      <c r="D38" s="3" t="s">
        <v>60</v>
      </c>
      <c r="E38" s="12" t="s">
        <v>210</v>
      </c>
      <c r="F38" s="7">
        <v>694704111034</v>
      </c>
      <c r="G38" s="3" t="s">
        <v>211</v>
      </c>
      <c r="H38" s="3" t="s">
        <v>206</v>
      </c>
      <c r="I38" s="3" t="s">
        <v>64</v>
      </c>
      <c r="J38" s="3" t="s">
        <v>206</v>
      </c>
      <c r="K38" s="8">
        <v>2E-3</v>
      </c>
      <c r="L38" s="9">
        <v>0.65</v>
      </c>
      <c r="M38" s="3" t="s">
        <v>207</v>
      </c>
      <c r="N38" s="12" t="s">
        <v>212</v>
      </c>
      <c r="O38" s="3"/>
      <c r="P38" s="3" t="str">
        <f>HYPERLINK("http://www.paremo.ru/upload/images/goods/e3986b26-27e9-4b07-837a-f4e895866484_01.jpg", "Фото 1")</f>
        <v>Фото 1</v>
      </c>
      <c r="Q38" s="3" t="str">
        <f>HYPERLINK("http://www.paremo.ru/upload/images/goods/e3986b26-27e9-4b07-837a-f4e895866484_02.jpg", "Фото 2")</f>
        <v>Фото 2</v>
      </c>
      <c r="R38" s="3" t="str">
        <f>HYPERLINK("http://www.paremo.ru/upload/images/goods/e3986b26-27e9-4b07-837a-f4e895866484_03.jpg", "Фото 3")</f>
        <v>Фото 3</v>
      </c>
      <c r="S38" s="3" t="str">
        <f>HYPERLINK("http://www.paremo.ru/upload/images/goods/e3986b26-27e9-4b07-837a-f4e895866484_04.jpg", "Фото 4")</f>
        <v>Фото 4</v>
      </c>
      <c r="T38" s="3" t="str">
        <f>HYPERLINK("http://www.paremo.ru/upload/images/goods/e3986b26-27e9-4b07-837a-f4e895866484_05.jpg", "Фото 5")</f>
        <v>Фото 5</v>
      </c>
      <c r="U38" s="3" t="str">
        <f>HYPERLINK("http://www.paremo.ru/upload/images/goods/e3986b26-27e9-4b07-837a-f4e895866484_06.jpg", "Фото 6")</f>
        <v>Фото 6</v>
      </c>
      <c r="V38" s="3" t="str">
        <f>HYPERLINK("http://www.paremo.ru/upload/images/goods/e3986b26-27e9-4b07-837a-f4e895866484_07.jpg", "Фото 7")</f>
        <v>Фото 7</v>
      </c>
      <c r="W38" s="3" t="str">
        <f>HYPERLINK("http://www.paremo.ru/upload/images/goods/e3986b26-27e9-4b07-837a-f4e895866484_08.jpg", "Фото 8")</f>
        <v>Фото 8</v>
      </c>
      <c r="X38" s="3" t="str">
        <f>HYPERLINK("http://www.paremo.ru/upload/images/goods/e3986b26-27e9-4b07-837a-f4e895866484_09.jpg", "Фото 9")</f>
        <v>Фото 9</v>
      </c>
      <c r="Y38" s="3" t="str">
        <f>HYPERLINK("http://www.paremo.ru/upload/images/goods/e3986b26-27e9-4b07-837a-f4e895866484_10.jpg", "Фото 10")</f>
        <v>Фото 10</v>
      </c>
      <c r="Z38" s="3" t="str">
        <f>HYPERLINK("http://www.paremo.ru/upload/images/goods/e3986b26-27e9-4b07-837a-f4e895866484_11.jpg", "Фото 11")</f>
        <v>Фото 11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 t="s">
        <v>209</v>
      </c>
      <c r="BD38" s="3" t="s">
        <v>57</v>
      </c>
      <c r="BE38" s="4">
        <v>4903000000</v>
      </c>
    </row>
    <row r="39" spans="1:57" ht="99.95" customHeight="1" x14ac:dyDescent="0.2">
      <c r="A39" s="3" t="s">
        <v>196</v>
      </c>
      <c r="B39" s="3" t="s">
        <v>197</v>
      </c>
      <c r="C39" s="3" t="s">
        <v>59</v>
      </c>
      <c r="D39" s="3" t="s">
        <v>60</v>
      </c>
      <c r="E39" s="12" t="s">
        <v>213</v>
      </c>
      <c r="F39" s="7">
        <v>694704111119</v>
      </c>
      <c r="G39" s="3" t="s">
        <v>214</v>
      </c>
      <c r="H39" s="3" t="s">
        <v>199</v>
      </c>
      <c r="I39" s="3" t="s">
        <v>64</v>
      </c>
      <c r="J39" s="3" t="s">
        <v>199</v>
      </c>
      <c r="K39" s="10">
        <v>1.6000000000000001E-3</v>
      </c>
      <c r="L39" s="9">
        <v>0.64</v>
      </c>
      <c r="M39" s="3" t="s">
        <v>164</v>
      </c>
      <c r="N39" s="12" t="s">
        <v>215</v>
      </c>
      <c r="O39" s="3"/>
      <c r="P39" s="3" t="str">
        <f>HYPERLINK("http://www.paremo.ru/upload/images/goods/8d2abd9c-fdbb-4fa4-bbe2-2c8f19981267_01.jpg", "Фото 1")</f>
        <v>Фото 1</v>
      </c>
      <c r="Q39" s="3" t="str">
        <f>HYPERLINK("http://www.paremo.ru/upload/images/goods/8d2abd9c-fdbb-4fa4-bbe2-2c8f19981267_02.jpg", "Фото 2")</f>
        <v>Фото 2</v>
      </c>
      <c r="R39" s="3" t="str">
        <f>HYPERLINK("http://www.paremo.ru/upload/images/goods/8d2abd9c-fdbb-4fa4-bbe2-2c8f19981267_03.jpg", "Фото 3")</f>
        <v>Фото 3</v>
      </c>
      <c r="S39" s="3" t="str">
        <f>HYPERLINK("http://www.paremo.ru/upload/images/goods/8d2abd9c-fdbb-4fa4-bbe2-2c8f19981267_04.jpg", "Фото 4")</f>
        <v>Фото 4</v>
      </c>
      <c r="T39" s="3" t="str">
        <f>HYPERLINK("http://www.paremo.ru/upload/images/goods/8d2abd9c-fdbb-4fa4-bbe2-2c8f19981267_05.jpg", "Фото 5")</f>
        <v>Фото 5</v>
      </c>
      <c r="U39" s="3" t="str">
        <f>HYPERLINK("http://www.paremo.ru/upload/images/goods/8d2abd9c-fdbb-4fa4-bbe2-2c8f19981267_06.jpg", "Фото 6")</f>
        <v>Фото 6</v>
      </c>
      <c r="V39" s="3" t="str">
        <f>HYPERLINK("http://www.paremo.ru/upload/images/goods/8d2abd9c-fdbb-4fa4-bbe2-2c8f19981267_07.jpg", "Фото 7")</f>
        <v>Фото 7</v>
      </c>
      <c r="W39" s="3" t="str">
        <f>HYPERLINK("http://www.paremo.ru/upload/images/goods/8d2abd9c-fdbb-4fa4-bbe2-2c8f19981267_08.jpg", "Фото 8")</f>
        <v>Фото 8</v>
      </c>
      <c r="X39" s="3" t="str">
        <f>HYPERLINK("http://www.paremo.ru/upload/images/goods/8d2abd9c-fdbb-4fa4-bbe2-2c8f19981267_09.jpg", "Фото 9")</f>
        <v>Фото 9</v>
      </c>
      <c r="Y39" s="3" t="str">
        <f>HYPERLINK("http://www.paremo.ru/upload/images/goods/8d2abd9c-fdbb-4fa4-bbe2-2c8f19981267_10.jpg", "Фото 10")</f>
        <v>Фото 10</v>
      </c>
      <c r="Z39" s="3" t="str">
        <f>HYPERLINK("http://www.paremo.ru/upload/images/goods/8d2abd9c-fdbb-4fa4-bbe2-2c8f19981267_11.jpg", "Фото 11")</f>
        <v>Фото 11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 t="s">
        <v>216</v>
      </c>
      <c r="BD39" s="3" t="s">
        <v>57</v>
      </c>
      <c r="BE39" s="4">
        <v>4903000000</v>
      </c>
    </row>
    <row r="40" spans="1:57" ht="99.95" customHeight="1" x14ac:dyDescent="0.2">
      <c r="A40" s="3" t="s">
        <v>196</v>
      </c>
      <c r="B40" s="3" t="s">
        <v>197</v>
      </c>
      <c r="C40" s="3" t="s">
        <v>59</v>
      </c>
      <c r="D40" s="3" t="s">
        <v>60</v>
      </c>
      <c r="E40" s="12" t="s">
        <v>217</v>
      </c>
      <c r="F40" s="7">
        <v>694704111195</v>
      </c>
      <c r="G40" s="3" t="s">
        <v>218</v>
      </c>
      <c r="H40" s="3" t="s">
        <v>219</v>
      </c>
      <c r="I40" s="3" t="s">
        <v>76</v>
      </c>
      <c r="J40" s="3" t="s">
        <v>219</v>
      </c>
      <c r="K40" s="5">
        <v>2.8400000000000001E-3</v>
      </c>
      <c r="L40" s="9">
        <v>0.51</v>
      </c>
      <c r="M40" s="3" t="s">
        <v>194</v>
      </c>
      <c r="N40" s="12" t="s">
        <v>220</v>
      </c>
      <c r="O40" s="3"/>
      <c r="P40" s="3" t="str">
        <f>HYPERLINK("http://www.paremo.ru/upload/images/goods/d935e4a7-c1fd-4d64-8069-e17e6f9f643f_01.jpg", "Фото 1")</f>
        <v>Фото 1</v>
      </c>
      <c r="Q40" s="3" t="str">
        <f>HYPERLINK("http://www.paremo.ru/upload/images/goods/d935e4a7-c1fd-4d64-8069-e17e6f9f643f_02.jpg", "Фото 2")</f>
        <v>Фото 2</v>
      </c>
      <c r="R40" s="3" t="str">
        <f>HYPERLINK("http://www.paremo.ru/upload/images/goods/d935e4a7-c1fd-4d64-8069-e17e6f9f643f_03.jpg", "Фото 3")</f>
        <v>Фото 3</v>
      </c>
      <c r="S40" s="3" t="str">
        <f>HYPERLINK("http://www.paremo.ru/upload/images/goods/d935e4a7-c1fd-4d64-8069-e17e6f9f643f_04.jpg", "Фото 4")</f>
        <v>Фото 4</v>
      </c>
      <c r="T40" s="3" t="str">
        <f>HYPERLINK("http://www.paremo.ru/upload/images/goods/d935e4a7-c1fd-4d64-8069-e17e6f9f643f_05.jpg", "Фото 5")</f>
        <v>Фото 5</v>
      </c>
      <c r="U40" s="3" t="str">
        <f>HYPERLINK("http://www.paremo.ru/upload/images/goods/d935e4a7-c1fd-4d64-8069-e17e6f9f643f_06.jpg", "Фото 6")</f>
        <v>Фото 6</v>
      </c>
      <c r="V40" s="3" t="str">
        <f>HYPERLINK("http://www.paremo.ru/upload/images/goods/d935e4a7-c1fd-4d64-8069-e17e6f9f643f_07.jpg", "Фото 7")</f>
        <v>Фото 7</v>
      </c>
      <c r="W40" s="3" t="str">
        <f>HYPERLINK("http://www.paremo.ru/upload/images/goods/d935e4a7-c1fd-4d64-8069-e17e6f9f643f_08.jpg", "Фото 8")</f>
        <v>Фото 8</v>
      </c>
      <c r="X40" s="3" t="str">
        <f>HYPERLINK("http://www.paremo.ru/upload/images/goods/d935e4a7-c1fd-4d64-8069-e17e6f9f643f_09.jpg", "Фото 9")</f>
        <v>Фото 9</v>
      </c>
      <c r="Y40" s="3" t="str">
        <f>HYPERLINK("http://www.paremo.ru/upload/images/goods/d935e4a7-c1fd-4d64-8069-e17e6f9f643f_10.jpg", "Фото 10")</f>
        <v>Фото 10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 t="s">
        <v>57</v>
      </c>
      <c r="BE40" s="4">
        <v>4820109000</v>
      </c>
    </row>
    <row r="41" spans="1:57" ht="99.95" customHeight="1" x14ac:dyDescent="0.2">
      <c r="A41" s="3" t="s">
        <v>196</v>
      </c>
      <c r="B41" s="3" t="s">
        <v>197</v>
      </c>
      <c r="C41" s="3" t="s">
        <v>59</v>
      </c>
      <c r="D41" s="3" t="s">
        <v>60</v>
      </c>
      <c r="E41" s="12" t="s">
        <v>221</v>
      </c>
      <c r="F41" s="7">
        <v>694704111218</v>
      </c>
      <c r="G41" s="3" t="s">
        <v>222</v>
      </c>
      <c r="H41" s="3" t="s">
        <v>223</v>
      </c>
      <c r="I41" s="3" t="s">
        <v>64</v>
      </c>
      <c r="J41" s="3" t="s">
        <v>223</v>
      </c>
      <c r="K41" s="5">
        <v>1.47E-3</v>
      </c>
      <c r="L41" s="8">
        <v>0.49299999999999999</v>
      </c>
      <c r="M41" s="3" t="s">
        <v>164</v>
      </c>
      <c r="N41" s="12" t="s">
        <v>224</v>
      </c>
      <c r="O41" s="3"/>
      <c r="P41" s="3" t="str">
        <f>HYPERLINK("http://www.paremo.ru/upload/images/goods/2859997d-4584-4b4f-ab3e-b605f0418470_01.jpg", "Фото 1")</f>
        <v>Фото 1</v>
      </c>
      <c r="Q41" s="3" t="str">
        <f>HYPERLINK("http://www.paremo.ru/upload/images/goods/2859997d-4584-4b4f-ab3e-b605f0418470_02.jpg", "Фото 2")</f>
        <v>Фото 2</v>
      </c>
      <c r="R41" s="3" t="str">
        <f>HYPERLINK("http://www.paremo.ru/upload/images/goods/2859997d-4584-4b4f-ab3e-b605f0418470_03.jpg", "Фото 3")</f>
        <v>Фото 3</v>
      </c>
      <c r="S41" s="3" t="str">
        <f>HYPERLINK("http://www.paremo.ru/upload/images/goods/2859997d-4584-4b4f-ab3e-b605f0418470_04.jpg", "Фото 4")</f>
        <v>Фото 4</v>
      </c>
      <c r="T41" s="3" t="str">
        <f>HYPERLINK("http://www.paremo.ru/upload/images/goods/2859997d-4584-4b4f-ab3e-b605f0418470_05.jpg", "Фото 5")</f>
        <v>Фото 5</v>
      </c>
      <c r="U41" s="3" t="str">
        <f>HYPERLINK("http://www.paremo.ru/upload/images/goods/2859997d-4584-4b4f-ab3e-b605f0418470_06.jpg", "Фото 6")</f>
        <v>Фото 6</v>
      </c>
      <c r="V41" s="3" t="str">
        <f>HYPERLINK("http://www.paremo.ru/upload/images/goods/2859997d-4584-4b4f-ab3e-b605f0418470_07.jpg", "Фото 7")</f>
        <v>Фото 7</v>
      </c>
      <c r="W41" s="3" t="str">
        <f>HYPERLINK("http://www.paremo.ru/upload/images/goods/2859997d-4584-4b4f-ab3e-b605f0418470_08.jpg", "Фото 8")</f>
        <v>Фото 8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 t="s">
        <v>225</v>
      </c>
      <c r="BD41" s="3" t="s">
        <v>57</v>
      </c>
      <c r="BE41" s="4">
        <v>4903000000</v>
      </c>
    </row>
    <row r="42" spans="1:57" ht="99.95" customHeight="1" x14ac:dyDescent="0.2">
      <c r="A42" s="3" t="s">
        <v>196</v>
      </c>
      <c r="B42" s="3" t="s">
        <v>197</v>
      </c>
      <c r="C42" s="3" t="s">
        <v>59</v>
      </c>
      <c r="D42" s="3" t="s">
        <v>60</v>
      </c>
      <c r="E42" s="12" t="s">
        <v>226</v>
      </c>
      <c r="F42" s="7">
        <v>694704111225</v>
      </c>
      <c r="G42" s="3" t="s">
        <v>227</v>
      </c>
      <c r="H42" s="3" t="s">
        <v>223</v>
      </c>
      <c r="I42" s="3" t="s">
        <v>64</v>
      </c>
      <c r="J42" s="3" t="s">
        <v>223</v>
      </c>
      <c r="K42" s="5">
        <v>1.47E-3</v>
      </c>
      <c r="L42" s="8">
        <v>0.49299999999999999</v>
      </c>
      <c r="M42" s="3" t="s">
        <v>228</v>
      </c>
      <c r="N42" s="12" t="s">
        <v>229</v>
      </c>
      <c r="O42" s="3"/>
      <c r="P42" s="3" t="str">
        <f>HYPERLINK("http://www.paremo.ru/upload/images/goods/8fd3751f-cd17-4787-9118-9ea699d20000_01.jpg", "Фото 1")</f>
        <v>Фото 1</v>
      </c>
      <c r="Q42" s="3" t="str">
        <f>HYPERLINK("http://www.paremo.ru/upload/images/goods/8fd3751f-cd17-4787-9118-9ea699d20000_02.jpg", "Фото 2")</f>
        <v>Фото 2</v>
      </c>
      <c r="R42" s="3" t="str">
        <f>HYPERLINK("http://www.paremo.ru/upload/images/goods/8fd3751f-cd17-4787-9118-9ea699d20000_03.jpg", "Фото 3")</f>
        <v>Фото 3</v>
      </c>
      <c r="S42" s="3" t="str">
        <f>HYPERLINK("http://www.paremo.ru/upload/images/goods/8fd3751f-cd17-4787-9118-9ea699d20000_04.jpg", "Фото 4")</f>
        <v>Фото 4</v>
      </c>
      <c r="T42" s="3" t="str">
        <f>HYPERLINK("http://www.paremo.ru/upload/images/goods/8fd3751f-cd17-4787-9118-9ea699d20000_05.jpg", "Фото 5")</f>
        <v>Фото 5</v>
      </c>
      <c r="U42" s="3" t="str">
        <f>HYPERLINK("http://www.paremo.ru/upload/images/goods/8fd3751f-cd17-4787-9118-9ea699d20000_06.jpg", "Фото 6")</f>
        <v>Фото 6</v>
      </c>
      <c r="V42" s="3" t="str">
        <f>HYPERLINK("http://www.paremo.ru/upload/images/goods/8fd3751f-cd17-4787-9118-9ea699d20000_07.jpg", "Фото 7")</f>
        <v>Фото 7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 t="s">
        <v>230</v>
      </c>
      <c r="BD42" s="3" t="s">
        <v>57</v>
      </c>
      <c r="BE42" s="4">
        <v>4903000000</v>
      </c>
    </row>
    <row r="43" spans="1:57" ht="99.95" customHeight="1" x14ac:dyDescent="0.2">
      <c r="A43" s="3" t="s">
        <v>196</v>
      </c>
      <c r="B43" s="3" t="s">
        <v>197</v>
      </c>
      <c r="C43" s="3" t="s">
        <v>59</v>
      </c>
      <c r="D43" s="3" t="s">
        <v>60</v>
      </c>
      <c r="E43" s="12" t="s">
        <v>231</v>
      </c>
      <c r="F43" s="7">
        <v>694704111324</v>
      </c>
      <c r="G43" s="3" t="s">
        <v>232</v>
      </c>
      <c r="H43" s="3" t="s">
        <v>233</v>
      </c>
      <c r="I43" s="3" t="s">
        <v>76</v>
      </c>
      <c r="J43" s="3" t="s">
        <v>233</v>
      </c>
      <c r="K43" s="5">
        <v>1.98E-3</v>
      </c>
      <c r="L43" s="9">
        <v>0.65</v>
      </c>
      <c r="M43" s="3" t="s">
        <v>234</v>
      </c>
      <c r="N43" s="12" t="s">
        <v>235</v>
      </c>
      <c r="O43" s="3"/>
      <c r="P43" s="3" t="str">
        <f>HYPERLINK("http://www.paremo.ru/upload/images/goods/7e3e4ca9-ae23-4e5c-aad5-f4dd89d18208_01.jpg", "Фото 1")</f>
        <v>Фото 1</v>
      </c>
      <c r="Q43" s="3" t="str">
        <f>HYPERLINK("http://www.paremo.ru/upload/images/goods/7e3e4ca9-ae23-4e5c-aad5-f4dd89d18208_02.jpg", "Фото 2")</f>
        <v>Фото 2</v>
      </c>
      <c r="R43" s="3" t="str">
        <f>HYPERLINK("http://www.paremo.ru/upload/images/goods/7e3e4ca9-ae23-4e5c-aad5-f4dd89d18208_03.jpg", "Фото 3")</f>
        <v>Фото 3</v>
      </c>
      <c r="S43" s="3" t="str">
        <f>HYPERLINK("http://www.paremo.ru/upload/images/goods/7e3e4ca9-ae23-4e5c-aad5-f4dd89d18208_04.jpg", "Фото 4")</f>
        <v>Фото 4</v>
      </c>
      <c r="T43" s="3" t="str">
        <f>HYPERLINK("http://www.paremo.ru/upload/images/goods/7e3e4ca9-ae23-4e5c-aad5-f4dd89d18208_05.jpg", "Фото 5")</f>
        <v>Фото 5</v>
      </c>
      <c r="U43" s="3" t="str">
        <f>HYPERLINK("http://www.paremo.ru/upload/images/goods/7e3e4ca9-ae23-4e5c-aad5-f4dd89d18208_06.jpg", "Фото 6")</f>
        <v>Фото 6</v>
      </c>
      <c r="V43" s="3" t="str">
        <f>HYPERLINK("http://www.paremo.ru/upload/images/goods/7e3e4ca9-ae23-4e5c-aad5-f4dd89d18208_07.jpg", "Фото 7")</f>
        <v>Фото 7</v>
      </c>
      <c r="W43" s="3" t="str">
        <f>HYPERLINK("http://www.paremo.ru/upload/images/goods/7e3e4ca9-ae23-4e5c-aad5-f4dd89d18208_08.jpg", "Фото 8")</f>
        <v>Фото 8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 t="s">
        <v>57</v>
      </c>
      <c r="BE43" s="4">
        <v>4903000000</v>
      </c>
    </row>
    <row r="44" spans="1:57" ht="99.95" customHeight="1" x14ac:dyDescent="0.2">
      <c r="A44" s="3" t="s">
        <v>196</v>
      </c>
      <c r="B44" s="3" t="s">
        <v>197</v>
      </c>
      <c r="C44" s="3" t="s">
        <v>59</v>
      </c>
      <c r="D44" s="3" t="s">
        <v>60</v>
      </c>
      <c r="E44" s="12" t="s">
        <v>236</v>
      </c>
      <c r="F44" s="7">
        <v>694704111331</v>
      </c>
      <c r="G44" s="3" t="s">
        <v>237</v>
      </c>
      <c r="H44" s="3" t="s">
        <v>238</v>
      </c>
      <c r="I44" s="3" t="s">
        <v>64</v>
      </c>
      <c r="J44" s="3" t="s">
        <v>238</v>
      </c>
      <c r="K44" s="5">
        <v>1.8600000000000001E-3</v>
      </c>
      <c r="L44" s="9">
        <v>0.61</v>
      </c>
      <c r="M44" s="3" t="s">
        <v>207</v>
      </c>
      <c r="N44" s="12" t="s">
        <v>239</v>
      </c>
      <c r="O44" s="3"/>
      <c r="P44" s="3" t="str">
        <f>HYPERLINK("http://www.paremo.ru/upload/images/goods/f30200dc-006b-4c6f-a3b4-aa28f76735a0_01.jpg", "Фото 1")</f>
        <v>Фото 1</v>
      </c>
      <c r="Q44" s="3" t="str">
        <f>HYPERLINK("http://www.paremo.ru/upload/images/goods/f30200dc-006b-4c6f-a3b4-aa28f76735a0_02.jpg", "Фото 2")</f>
        <v>Фото 2</v>
      </c>
      <c r="R44" s="3" t="str">
        <f>HYPERLINK("http://www.paremo.ru/upload/images/goods/f30200dc-006b-4c6f-a3b4-aa28f76735a0_03.jpg", "Фото 3")</f>
        <v>Фото 3</v>
      </c>
      <c r="S44" s="3" t="str">
        <f>HYPERLINK("http://www.paremo.ru/upload/images/goods/f30200dc-006b-4c6f-a3b4-aa28f76735a0_04.jpg", "Фото 4")</f>
        <v>Фото 4</v>
      </c>
      <c r="T44" s="3" t="str">
        <f>HYPERLINK("http://www.paremo.ru/upload/images/goods/f30200dc-006b-4c6f-a3b4-aa28f76735a0_05.jpg", "Фото 5")</f>
        <v>Фото 5</v>
      </c>
      <c r="U44" s="3" t="str">
        <f>HYPERLINK("http://www.paremo.ru/upload/images/goods/f30200dc-006b-4c6f-a3b4-aa28f76735a0_06.jpg", "Фото 6")</f>
        <v>Фото 6</v>
      </c>
      <c r="V44" s="3" t="str">
        <f>HYPERLINK("http://www.paremo.ru/upload/images/goods/f30200dc-006b-4c6f-a3b4-aa28f76735a0_07.jpg", "Фото 7")</f>
        <v>Фото 7</v>
      </c>
      <c r="W44" s="3" t="str">
        <f>HYPERLINK("http://www.paremo.ru/upload/images/goods/f30200dc-006b-4c6f-a3b4-aa28f76735a0_08.jpg", "Фото 8")</f>
        <v>Фото 8</v>
      </c>
      <c r="X44" s="3" t="str">
        <f>HYPERLINK("http://www.paremo.ru/upload/images/goods/f30200dc-006b-4c6f-a3b4-aa28f76735a0_09.jpg", "Фото 9")</f>
        <v>Фото 9</v>
      </c>
      <c r="Y44" s="3" t="str">
        <f>HYPERLINK("http://www.paremo.ru/upload/images/goods/f30200dc-006b-4c6f-a3b4-aa28f76735a0_10.jpg", "Фото 10")</f>
        <v>Фото 10</v>
      </c>
      <c r="Z44" s="3" t="str">
        <f>HYPERLINK("http://www.paremo.ru/upload/images/goods/f30200dc-006b-4c6f-a3b4-aa28f76735a0_11.jpg", "Фото 11")</f>
        <v>Фото 11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 t="s">
        <v>240</v>
      </c>
      <c r="BD44" s="3" t="s">
        <v>57</v>
      </c>
      <c r="BE44" s="4">
        <v>4903000000</v>
      </c>
    </row>
    <row r="45" spans="1:57" ht="99.95" customHeight="1" x14ac:dyDescent="0.2">
      <c r="A45" s="3" t="s">
        <v>196</v>
      </c>
      <c r="B45" s="3" t="s">
        <v>197</v>
      </c>
      <c r="C45" s="3" t="s">
        <v>59</v>
      </c>
      <c r="D45" s="3" t="s">
        <v>60</v>
      </c>
      <c r="E45" s="12" t="s">
        <v>241</v>
      </c>
      <c r="F45" s="7">
        <v>694704111362</v>
      </c>
      <c r="G45" s="3" t="s">
        <v>242</v>
      </c>
      <c r="H45" s="3" t="s">
        <v>199</v>
      </c>
      <c r="I45" s="3" t="s">
        <v>64</v>
      </c>
      <c r="J45" s="3" t="s">
        <v>199</v>
      </c>
      <c r="K45" s="10">
        <v>1.6000000000000001E-3</v>
      </c>
      <c r="L45" s="9">
        <v>0.64</v>
      </c>
      <c r="M45" s="3" t="s">
        <v>164</v>
      </c>
      <c r="N45" s="12" t="s">
        <v>243</v>
      </c>
      <c r="O45" s="3"/>
      <c r="P45" s="3" t="str">
        <f>HYPERLINK("http://www.paremo.ru/upload/images/goods/56a6bb7a-02f7-4fe4-9419-67e31bc1c287_01.jpg", "Фото 1")</f>
        <v>Фото 1</v>
      </c>
      <c r="Q45" s="3" t="str">
        <f>HYPERLINK("http://www.paremo.ru/upload/images/goods/56a6bb7a-02f7-4fe4-9419-67e31bc1c287_02.jpg", "Фото 2")</f>
        <v>Фото 2</v>
      </c>
      <c r="R45" s="3" t="str">
        <f>HYPERLINK("http://www.paremo.ru/upload/images/goods/56a6bb7a-02f7-4fe4-9419-67e31bc1c287_03.jpg", "Фото 3")</f>
        <v>Фото 3</v>
      </c>
      <c r="S45" s="3" t="str">
        <f>HYPERLINK("http://www.paremo.ru/upload/images/goods/56a6bb7a-02f7-4fe4-9419-67e31bc1c287_04.jpg", "Фото 4")</f>
        <v>Фото 4</v>
      </c>
      <c r="T45" s="3" t="str">
        <f>HYPERLINK("http://www.paremo.ru/upload/images/goods/56a6bb7a-02f7-4fe4-9419-67e31bc1c287_05.jpg", "Фото 5")</f>
        <v>Фото 5</v>
      </c>
      <c r="U45" s="3" t="str">
        <f>HYPERLINK("http://www.paremo.ru/upload/images/goods/56a6bb7a-02f7-4fe4-9419-67e31bc1c287_06.jpg", "Фото 6")</f>
        <v>Фото 6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 t="s">
        <v>244</v>
      </c>
      <c r="BD45" s="3" t="s">
        <v>57</v>
      </c>
      <c r="BE45" s="4">
        <v>4820109000</v>
      </c>
    </row>
    <row r="46" spans="1:57" ht="99.95" customHeight="1" x14ac:dyDescent="0.2">
      <c r="A46" s="3" t="s">
        <v>196</v>
      </c>
      <c r="B46" s="3" t="s">
        <v>197</v>
      </c>
      <c r="C46" s="3" t="s">
        <v>59</v>
      </c>
      <c r="D46" s="3" t="s">
        <v>60</v>
      </c>
      <c r="E46" s="12" t="s">
        <v>245</v>
      </c>
      <c r="F46" s="7">
        <v>694704111386</v>
      </c>
      <c r="G46" s="3" t="s">
        <v>246</v>
      </c>
      <c r="H46" s="3" t="s">
        <v>247</v>
      </c>
      <c r="I46" s="3" t="s">
        <v>76</v>
      </c>
      <c r="J46" s="3" t="s">
        <v>247</v>
      </c>
      <c r="K46" s="8">
        <v>1E-3</v>
      </c>
      <c r="L46" s="9">
        <v>0.51</v>
      </c>
      <c r="M46" s="3" t="s">
        <v>163</v>
      </c>
      <c r="N46" s="12" t="s">
        <v>248</v>
      </c>
      <c r="O46" s="3"/>
      <c r="P46" s="3" t="str">
        <f>HYPERLINK("http://www.paremo.ru/upload/images/goods/84b555db-2e70-4517-a4ae-bb646f8a1a8a_01.jpg", "Фото 1")</f>
        <v>Фото 1</v>
      </c>
      <c r="Q46" s="3" t="str">
        <f>HYPERLINK("http://www.paremo.ru/upload/images/goods/84b555db-2e70-4517-a4ae-bb646f8a1a8a_02.jpg", "Фото 2")</f>
        <v>Фото 2</v>
      </c>
      <c r="R46" s="3" t="str">
        <f>HYPERLINK("http://www.paremo.ru/upload/images/goods/84b555db-2e70-4517-a4ae-bb646f8a1a8a_03.jpg", "Фото 3")</f>
        <v>Фото 3</v>
      </c>
      <c r="S46" s="3" t="str">
        <f>HYPERLINK("http://www.paremo.ru/upload/images/goods/84b555db-2e70-4517-a4ae-bb646f8a1a8a_04.jpg", "Фото 4")</f>
        <v>Фото 4</v>
      </c>
      <c r="T46" s="3" t="str">
        <f>HYPERLINK("http://www.paremo.ru/upload/images/goods/84b555db-2e70-4517-a4ae-bb646f8a1a8a_05.jpg", "Фото 5")</f>
        <v>Фото 5</v>
      </c>
      <c r="U46" s="3" t="str">
        <f>HYPERLINK("http://www.paremo.ru/upload/images/goods/84b555db-2e70-4517-a4ae-bb646f8a1a8a_06.jpg", "Фото 6")</f>
        <v>Фото 6</v>
      </c>
      <c r="V46" s="3" t="str">
        <f>HYPERLINK("http://www.paremo.ru/upload/images/goods/84b555db-2e70-4517-a4ae-bb646f8a1a8a_07.jpg", "Фото 7")</f>
        <v>Фото 7</v>
      </c>
      <c r="W46" s="3" t="str">
        <f>HYPERLINK("http://www.paremo.ru/upload/images/goods/84b555db-2e70-4517-a4ae-bb646f8a1a8a_08.jpg", "Фото 8")</f>
        <v>Фото 8</v>
      </c>
      <c r="X46" s="3" t="str">
        <f>HYPERLINK("http://www.paremo.ru/upload/images/goods/84b555db-2e70-4517-a4ae-bb646f8a1a8a_09.jpg", "Фото 9")</f>
        <v>Фото 9</v>
      </c>
      <c r="Y46" s="3" t="str">
        <f>HYPERLINK("http://www.paremo.ru/upload/images/goods/84b555db-2e70-4517-a4ae-bb646f8a1a8a_10.jpg", "Фото 10")</f>
        <v>Фото 10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 t="s">
        <v>57</v>
      </c>
      <c r="BE46" s="4">
        <v>4820109000</v>
      </c>
    </row>
    <row r="47" spans="1:57" ht="99.95" customHeight="1" x14ac:dyDescent="0.2">
      <c r="A47" s="3" t="s">
        <v>196</v>
      </c>
      <c r="B47" s="3" t="s">
        <v>197</v>
      </c>
      <c r="C47" s="3" t="s">
        <v>59</v>
      </c>
      <c r="D47" s="3" t="s">
        <v>60</v>
      </c>
      <c r="E47" s="12" t="s">
        <v>249</v>
      </c>
      <c r="F47" s="7">
        <v>694704113717</v>
      </c>
      <c r="G47" s="3" t="s">
        <v>250</v>
      </c>
      <c r="H47" s="3" t="s">
        <v>251</v>
      </c>
      <c r="I47" s="3" t="s">
        <v>64</v>
      </c>
      <c r="J47" s="3" t="s">
        <v>251</v>
      </c>
      <c r="K47" s="5">
        <v>2.1700000000000001E-3</v>
      </c>
      <c r="L47" s="9">
        <v>0.91</v>
      </c>
      <c r="M47" s="3" t="s">
        <v>164</v>
      </c>
      <c r="N47" s="12" t="s">
        <v>252</v>
      </c>
      <c r="O47" s="3"/>
      <c r="P47" s="3" t="str">
        <f>HYPERLINK("http://www.paremo.ru/upload/images/goods/cda90510-f29d-4e54-89ad-bb95739da600_01.jpg", "Фото 1")</f>
        <v>Фото 1</v>
      </c>
      <c r="Q47" s="3" t="str">
        <f>HYPERLINK("http://www.paremo.ru/upload/images/goods/cda90510-f29d-4e54-89ad-bb95739da600_02.jpg", "Фото 2")</f>
        <v>Фото 2</v>
      </c>
      <c r="R47" s="3" t="str">
        <f>HYPERLINK("http://www.paremo.ru/upload/images/goods/cda90510-f29d-4e54-89ad-bb95739da600_03.jpg", "Фото 3")</f>
        <v>Фото 3</v>
      </c>
      <c r="S47" s="3" t="str">
        <f>HYPERLINK("http://www.paremo.ru/upload/images/goods/cda90510-f29d-4e54-89ad-bb95739da600_04.jpg", "Фото 4")</f>
        <v>Фото 4</v>
      </c>
      <c r="T47" s="3" t="str">
        <f>HYPERLINK("http://www.paremo.ru/upload/images/goods/cda90510-f29d-4e54-89ad-bb95739da600_05.jpg", "Фото 5")</f>
        <v>Фото 5</v>
      </c>
      <c r="U47" s="3" t="str">
        <f>HYPERLINK("http://www.paremo.ru/upload/images/goods/cda90510-f29d-4e54-89ad-bb95739da600_06.jpg", "Фото 6")</f>
        <v>Фото 6</v>
      </c>
      <c r="V47" s="3" t="str">
        <f>HYPERLINK("http://www.paremo.ru/upload/images/goods/cda90510-f29d-4e54-89ad-bb95739da600_07.jpg", "Фото 7")</f>
        <v>Фото 7</v>
      </c>
      <c r="W47" s="3" t="str">
        <f>HYPERLINK("http://www.paremo.ru/upload/images/goods/cda90510-f29d-4e54-89ad-bb95739da600_08.jpg", "Фото 8")</f>
        <v>Фото 8</v>
      </c>
      <c r="X47" s="3" t="str">
        <f>HYPERLINK("http://www.paremo.ru/upload/images/goods/cda90510-f29d-4e54-89ad-bb95739da600_09.jpg", "Фото 9")</f>
        <v>Фото 9</v>
      </c>
      <c r="Y47" s="3" t="str">
        <f>HYPERLINK("http://www.paremo.ru/upload/images/goods/cda90510-f29d-4e54-89ad-bb95739da600_10.jpg", "Фото 10")</f>
        <v>Фото 10</v>
      </c>
      <c r="Z47" s="3" t="str">
        <f>HYPERLINK("http://www.paremo.ru/upload/images/goods/cda90510-f29d-4e54-89ad-bb95739da600_11.jpg", "Фото 11")</f>
        <v>Фото 11</v>
      </c>
      <c r="AA47" s="3" t="str">
        <f>HYPERLINK("http://www.paremo.ru/upload/images/goods/cda90510-f29d-4e54-89ad-bb95739da600_12.jpg", "Фото 12")</f>
        <v>Фото 12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 t="s">
        <v>253</v>
      </c>
      <c r="BD47" s="3" t="s">
        <v>57</v>
      </c>
      <c r="BE47" s="4">
        <v>4903000000</v>
      </c>
    </row>
    <row r="48" spans="1:57" ht="99.95" customHeight="1" x14ac:dyDescent="0.2">
      <c r="A48" s="3" t="s">
        <v>196</v>
      </c>
      <c r="B48" s="3" t="s">
        <v>197</v>
      </c>
      <c r="C48" s="3" t="s">
        <v>59</v>
      </c>
      <c r="D48" s="3" t="s">
        <v>60</v>
      </c>
      <c r="E48" s="12" t="s">
        <v>254</v>
      </c>
      <c r="F48" s="7">
        <v>694704113724</v>
      </c>
      <c r="G48" s="3" t="s">
        <v>255</v>
      </c>
      <c r="H48" s="3" t="s">
        <v>251</v>
      </c>
      <c r="I48" s="3" t="s">
        <v>64</v>
      </c>
      <c r="J48" s="3" t="s">
        <v>251</v>
      </c>
      <c r="K48" s="5">
        <v>2.1700000000000001E-3</v>
      </c>
      <c r="L48" s="9">
        <v>0.91</v>
      </c>
      <c r="M48" s="3" t="s">
        <v>164</v>
      </c>
      <c r="N48" s="12" t="s">
        <v>256</v>
      </c>
      <c r="O48" s="3"/>
      <c r="P48" s="3" t="str">
        <f>HYPERLINK("http://www.paremo.ru/upload/images/goods/cff9e265-0909-4222-84c5-db967af341c3_01.jpg", "Фото 1")</f>
        <v>Фото 1</v>
      </c>
      <c r="Q48" s="3" t="str">
        <f>HYPERLINK("http://www.paremo.ru/upload/images/goods/cff9e265-0909-4222-84c5-db967af341c3_02.jpg", "Фото 2")</f>
        <v>Фото 2</v>
      </c>
      <c r="R48" s="3" t="str">
        <f>HYPERLINK("http://www.paremo.ru/upload/images/goods/cff9e265-0909-4222-84c5-db967af341c3_03.jpg", "Фото 3")</f>
        <v>Фото 3</v>
      </c>
      <c r="S48" s="3" t="str">
        <f>HYPERLINK("http://www.paremo.ru/upload/images/goods/cff9e265-0909-4222-84c5-db967af341c3_04.jpg", "Фото 4")</f>
        <v>Фото 4</v>
      </c>
      <c r="T48" s="3" t="str">
        <f>HYPERLINK("http://www.paremo.ru/upload/images/goods/cff9e265-0909-4222-84c5-db967af341c3_05.jpg", "Фото 5")</f>
        <v>Фото 5</v>
      </c>
      <c r="U48" s="3" t="str">
        <f>HYPERLINK("http://www.paremo.ru/upload/images/goods/cff9e265-0909-4222-84c5-db967af341c3_06.jpg", "Фото 6")</f>
        <v>Фото 6</v>
      </c>
      <c r="V48" s="3" t="str">
        <f>HYPERLINK("http://www.paremo.ru/upload/images/goods/cff9e265-0909-4222-84c5-db967af341c3_07.jpg", "Фото 7")</f>
        <v>Фото 7</v>
      </c>
      <c r="W48" s="3" t="str">
        <f>HYPERLINK("http://www.paremo.ru/upload/images/goods/cff9e265-0909-4222-84c5-db967af341c3_08.jpg", "Фото 8")</f>
        <v>Фото 8</v>
      </c>
      <c r="X48" s="3" t="str">
        <f>HYPERLINK("http://www.paremo.ru/upload/images/goods/cff9e265-0909-4222-84c5-db967af341c3_09.jpg", "Фото 9")</f>
        <v>Фото 9</v>
      </c>
      <c r="Y48" s="3" t="str">
        <f>HYPERLINK("http://www.paremo.ru/upload/images/goods/cff9e265-0909-4222-84c5-db967af341c3_10.jpg", "Фото 10")</f>
        <v>Фото 10</v>
      </c>
      <c r="Z48" s="3" t="str">
        <f>HYPERLINK("http://www.paremo.ru/upload/images/goods/cff9e265-0909-4222-84c5-db967af341c3_11.jpg", "Фото 11")</f>
        <v>Фото 11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 t="s">
        <v>253</v>
      </c>
      <c r="BD48" s="3" t="s">
        <v>57</v>
      </c>
      <c r="BE48" s="4">
        <v>4903000000</v>
      </c>
    </row>
    <row r="49" spans="1:57" ht="99.95" customHeight="1" x14ac:dyDescent="0.2">
      <c r="A49" s="3" t="s">
        <v>196</v>
      </c>
      <c r="B49" s="3" t="s">
        <v>197</v>
      </c>
      <c r="C49" s="3" t="s">
        <v>59</v>
      </c>
      <c r="D49" s="3" t="s">
        <v>60</v>
      </c>
      <c r="E49" s="12" t="s">
        <v>257</v>
      </c>
      <c r="F49" s="7">
        <v>694704113731</v>
      </c>
      <c r="G49" s="3" t="s">
        <v>258</v>
      </c>
      <c r="H49" s="3" t="s">
        <v>251</v>
      </c>
      <c r="I49" s="3" t="s">
        <v>76</v>
      </c>
      <c r="J49" s="3" t="s">
        <v>251</v>
      </c>
      <c r="K49" s="5">
        <v>2.1700000000000001E-3</v>
      </c>
      <c r="L49" s="9">
        <v>0.91</v>
      </c>
      <c r="M49" s="3" t="s">
        <v>194</v>
      </c>
      <c r="N49" s="12" t="s">
        <v>259</v>
      </c>
      <c r="O49" s="3"/>
      <c r="P49" s="3" t="str">
        <f>HYPERLINK("http://www.paremo.ru/upload/images/goods/b6cf62c9-2cc3-4771-a4e8-c68d77cf317d_01.jpg", "Фото 1")</f>
        <v>Фото 1</v>
      </c>
      <c r="Q49" s="3" t="str">
        <f>HYPERLINK("http://www.paremo.ru/upload/images/goods/b6cf62c9-2cc3-4771-a4e8-c68d77cf317d_02.jpg", "Фото 2")</f>
        <v>Фото 2</v>
      </c>
      <c r="R49" s="3" t="str">
        <f>HYPERLINK("http://www.paremo.ru/upload/images/goods/b6cf62c9-2cc3-4771-a4e8-c68d77cf317d_03.jpg", "Фото 3")</f>
        <v>Фото 3</v>
      </c>
      <c r="S49" s="3" t="str">
        <f>HYPERLINK("http://www.paremo.ru/upload/images/goods/b6cf62c9-2cc3-4771-a4e8-c68d77cf317d_04.jpg", "Фото 4")</f>
        <v>Фото 4</v>
      </c>
      <c r="T49" s="3" t="str">
        <f>HYPERLINK("http://www.paremo.ru/upload/images/goods/b6cf62c9-2cc3-4771-a4e8-c68d77cf317d_05.jpg", "Фото 5")</f>
        <v>Фото 5</v>
      </c>
      <c r="U49" s="3" t="str">
        <f>HYPERLINK("http://www.paremo.ru/upload/images/goods/b6cf62c9-2cc3-4771-a4e8-c68d77cf317d_06.jpg", "Фото 6")</f>
        <v>Фото 6</v>
      </c>
      <c r="V49" s="3" t="str">
        <f>HYPERLINK("http://www.paremo.ru/upload/images/goods/b6cf62c9-2cc3-4771-a4e8-c68d77cf317d_07.jpg", "Фото 7")</f>
        <v>Фото 7</v>
      </c>
      <c r="W49" s="3" t="str">
        <f>HYPERLINK("http://www.paremo.ru/upload/images/goods/b6cf62c9-2cc3-4771-a4e8-c68d77cf317d_08.jpg", "Фото 8")</f>
        <v>Фото 8</v>
      </c>
      <c r="X49" s="3" t="str">
        <f>HYPERLINK("http://www.paremo.ru/upload/images/goods/b6cf62c9-2cc3-4771-a4e8-c68d77cf317d_09.jpg", "Фото 9")</f>
        <v>Фото 9</v>
      </c>
      <c r="Y49" s="3" t="str">
        <f>HYPERLINK("http://www.paremo.ru/upload/images/goods/b6cf62c9-2cc3-4771-a4e8-c68d77cf317d_10.jpg", "Фото 10")</f>
        <v>Фото 10</v>
      </c>
      <c r="Z49" s="3" t="str">
        <f>HYPERLINK("http://www.paremo.ru/upload/images/goods/b6cf62c9-2cc3-4771-a4e8-c68d77cf317d_11.jpg", "Фото 11")</f>
        <v>Фото 11</v>
      </c>
      <c r="AA49" s="3" t="str">
        <f>HYPERLINK("http://www.paremo.ru/upload/images/goods/b6cf62c9-2cc3-4771-a4e8-c68d77cf317d_12.jpg", "Фото 12")</f>
        <v>Фото 12</v>
      </c>
      <c r="AB49" s="3" t="str">
        <f>HYPERLINK("http://www.paremo.ru/upload/images/goods/b6cf62c9-2cc3-4771-a4e8-c68d77cf317d_13.jpg", "Фото 13")</f>
        <v>Фото 13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 t="s">
        <v>57</v>
      </c>
      <c r="BE49" s="4">
        <v>4903000000</v>
      </c>
    </row>
    <row r="50" spans="1:57" ht="99.95" customHeight="1" x14ac:dyDescent="0.2">
      <c r="A50" s="3" t="s">
        <v>196</v>
      </c>
      <c r="B50" s="3" t="s">
        <v>197</v>
      </c>
      <c r="C50" s="3" t="s">
        <v>59</v>
      </c>
      <c r="D50" s="3" t="s">
        <v>60</v>
      </c>
      <c r="E50" s="12" t="s">
        <v>260</v>
      </c>
      <c r="F50" s="7">
        <v>694704114233</v>
      </c>
      <c r="G50" s="3" t="s">
        <v>261</v>
      </c>
      <c r="H50" s="3" t="s">
        <v>262</v>
      </c>
      <c r="I50" s="3" t="s">
        <v>76</v>
      </c>
      <c r="J50" s="3" t="s">
        <v>262</v>
      </c>
      <c r="K50" s="8">
        <v>1E-3</v>
      </c>
      <c r="L50" s="8">
        <v>0.17499999999999999</v>
      </c>
      <c r="M50" s="3" t="s">
        <v>194</v>
      </c>
      <c r="N50" s="12" t="s">
        <v>263</v>
      </c>
      <c r="O50" s="3"/>
      <c r="P50" s="3" t="str">
        <f>HYPERLINK("http://www.paremo.ru/upload/images/goods/687192c1-5a3e-4d3f-86df-196af9e6ad20_01.jpg", "Фото 1")</f>
        <v>Фото 1</v>
      </c>
      <c r="Q50" s="3" t="str">
        <f>HYPERLINK("http://www.paremo.ru/upload/images/goods/687192c1-5a3e-4d3f-86df-196af9e6ad20_02.jpg", "Фото 2")</f>
        <v>Фото 2</v>
      </c>
      <c r="R50" s="3" t="str">
        <f>HYPERLINK("http://www.paremo.ru/upload/images/goods/687192c1-5a3e-4d3f-86df-196af9e6ad20_03.jpg", "Фото 3")</f>
        <v>Фото 3</v>
      </c>
      <c r="S50" s="3" t="str">
        <f>HYPERLINK("http://www.paremo.ru/upload/images/goods/687192c1-5a3e-4d3f-86df-196af9e6ad20_04.jpg", "Фото 4")</f>
        <v>Фото 4</v>
      </c>
      <c r="T50" s="3" t="str">
        <f>HYPERLINK("http://www.paremo.ru/upload/images/goods/687192c1-5a3e-4d3f-86df-196af9e6ad20_05.jpg", "Фото 5")</f>
        <v>Фото 5</v>
      </c>
      <c r="U50" s="3" t="str">
        <f>HYPERLINK("http://www.paremo.ru/upload/images/goods/687192c1-5a3e-4d3f-86df-196af9e6ad20_06.jpg", "Фото 6")</f>
        <v>Фото 6</v>
      </c>
      <c r="V50" s="3" t="str">
        <f>HYPERLINK("http://www.paremo.ru/upload/images/goods/687192c1-5a3e-4d3f-86df-196af9e6ad20_07.jpg", "Фото 7")</f>
        <v>Фото 7</v>
      </c>
      <c r="W50" s="3" t="str">
        <f>HYPERLINK("http://www.paremo.ru/upload/images/goods/687192c1-5a3e-4d3f-86df-196af9e6ad20_08.jpg", "Фото 8")</f>
        <v>Фото 8</v>
      </c>
      <c r="X50" s="3" t="str">
        <f>HYPERLINK("http://www.paremo.ru/upload/images/goods/687192c1-5a3e-4d3f-86df-196af9e6ad20_09.jpg", "Фото 9")</f>
        <v>Фото 9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 t="s">
        <v>57</v>
      </c>
      <c r="BE50" s="4">
        <v>4903000000</v>
      </c>
    </row>
    <row r="51" spans="1:57" ht="99.95" customHeight="1" x14ac:dyDescent="0.2">
      <c r="A51" s="3" t="s">
        <v>196</v>
      </c>
      <c r="B51" s="3" t="s">
        <v>264</v>
      </c>
      <c r="C51" s="3" t="s">
        <v>59</v>
      </c>
      <c r="D51" s="3" t="s">
        <v>60</v>
      </c>
      <c r="E51" s="12" t="s">
        <v>267</v>
      </c>
      <c r="F51" s="7">
        <v>694704110143</v>
      </c>
      <c r="G51" s="3" t="s">
        <v>268</v>
      </c>
      <c r="H51" s="3" t="s">
        <v>269</v>
      </c>
      <c r="I51" s="3" t="s">
        <v>76</v>
      </c>
      <c r="J51" s="3" t="s">
        <v>269</v>
      </c>
      <c r="K51" s="5">
        <v>1.23E-3</v>
      </c>
      <c r="L51" s="9">
        <v>0.21</v>
      </c>
      <c r="M51" s="3" t="s">
        <v>164</v>
      </c>
      <c r="N51" s="12" t="s">
        <v>270</v>
      </c>
      <c r="O51" s="3"/>
      <c r="P51" s="3" t="str">
        <f>HYPERLINK("http://www.paremo.ru/upload/images/goods/e061e39e-eab8-11e1-cb85-5404a6b1dcb9_02.jpg", "Фото 1")</f>
        <v>Фото 1</v>
      </c>
      <c r="Q51" s="3" t="str">
        <f>HYPERLINK("http://www.paremo.ru/upload/images/goods/e061e39e-eab8-11e1-cb85-5404a6b1dcb9_03.jpg", "Фото 2")</f>
        <v>Фото 2</v>
      </c>
      <c r="R51" s="3" t="str">
        <f>HYPERLINK("http://www.paremo.ru/upload/images/goods/e061e39e-eab8-11e1-cb85-5404a6b1dcb9_04.jpg", "Фото 3")</f>
        <v>Фото 3</v>
      </c>
      <c r="S51" s="3" t="str">
        <f>HYPERLINK("http://www.paremo.ru/upload/images/goods/e061e39e-eab8-11e1-cb85-5404a6b1dcb9_05.jpg", "Фото 4")</f>
        <v>Фото 4</v>
      </c>
      <c r="T51" s="3" t="str">
        <f>HYPERLINK("http://www.paremo.ru/upload/images/goods/e061e39e-eab8-11e1-cb85-5404a6b1dcb9_06.jpg", "Фото 5")</f>
        <v>Фото 5</v>
      </c>
      <c r="U51" s="3" t="str">
        <f>HYPERLINK("http://www.paremo.ru/upload/images/goods/e061e39e-eab8-11e1-cb85-5404a6b1dcb9_07.jpg", "Фото 6")</f>
        <v>Фото 6</v>
      </c>
      <c r="V51" s="3" t="str">
        <f>HYPERLINK("http://www.paremo.ru/upload/images/goods/e061e39e-eab8-11e1-cb85-5404a6b1dcb9_08.jpg", "Фото 7")</f>
        <v>Фото 7</v>
      </c>
      <c r="W51" s="3" t="str">
        <f>HYPERLINK("http://www.paremo.ru/upload/images/goods/e061e39e-eab8-11e1-cb85-5404a6b1dcb9_09.jpg", "Фото 8")</f>
        <v>Фото 8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 t="s">
        <v>271</v>
      </c>
      <c r="BD51" s="3" t="s">
        <v>57</v>
      </c>
      <c r="BE51" s="4">
        <v>4911990000</v>
      </c>
    </row>
    <row r="52" spans="1:57" ht="99.95" customHeight="1" x14ac:dyDescent="0.2">
      <c r="A52" s="3" t="s">
        <v>196</v>
      </c>
      <c r="B52" s="3" t="s">
        <v>264</v>
      </c>
      <c r="C52" s="3" t="s">
        <v>59</v>
      </c>
      <c r="D52" s="3" t="s">
        <v>60</v>
      </c>
      <c r="E52" s="12" t="s">
        <v>272</v>
      </c>
      <c r="F52" s="7">
        <v>694704110150</v>
      </c>
      <c r="G52" s="3" t="s">
        <v>273</v>
      </c>
      <c r="H52" s="3" t="s">
        <v>269</v>
      </c>
      <c r="I52" s="3" t="s">
        <v>76</v>
      </c>
      <c r="J52" s="3" t="s">
        <v>269</v>
      </c>
      <c r="K52" s="5">
        <v>1.23E-3</v>
      </c>
      <c r="L52" s="9">
        <v>0.22</v>
      </c>
      <c r="M52" s="3" t="s">
        <v>228</v>
      </c>
      <c r="N52" s="12" t="s">
        <v>274</v>
      </c>
      <c r="O52" s="3"/>
      <c r="P52" s="3" t="str">
        <f>HYPERLINK("http://www.paremo.ru/upload/images/goods/9d42cabc-bee6-4b9d-9672-86abccb19655_01.jpg", "Фото 1")</f>
        <v>Фото 1</v>
      </c>
      <c r="Q52" s="3" t="str">
        <f>HYPERLINK("http://www.paremo.ru/upload/images/goods/9d42cabc-bee6-4b9d-9672-86abccb19655_02.jpg", "Фото 2")</f>
        <v>Фото 2</v>
      </c>
      <c r="R52" s="3" t="str">
        <f>HYPERLINK("http://www.paremo.ru/upload/images/goods/9d42cabc-bee6-4b9d-9672-86abccb19655_03.jpg", "Фото 3")</f>
        <v>Фото 3</v>
      </c>
      <c r="S52" s="3" t="str">
        <f>HYPERLINK("http://www.paremo.ru/upload/images/goods/9d42cabc-bee6-4b9d-9672-86abccb19655_04.jpg", "Фото 4")</f>
        <v>Фото 4</v>
      </c>
      <c r="T52" s="3" t="str">
        <f>HYPERLINK("http://www.paremo.ru/upload/images/goods/9d42cabc-bee6-4b9d-9672-86abccb19655_05.jpg", "Фото 5")</f>
        <v>Фото 5</v>
      </c>
      <c r="U52" s="3" t="str">
        <f>HYPERLINK("http://www.paremo.ru/upload/images/goods/9d42cabc-bee6-4b9d-9672-86abccb19655_06.jpg", "Фото 6")</f>
        <v>Фото 6</v>
      </c>
      <c r="V52" s="3" t="str">
        <f>HYPERLINK("http://www.paremo.ru/upload/images/goods/9d42cabc-bee6-4b9d-9672-86abccb19655_07.jpg", "Фото 7")</f>
        <v>Фото 7</v>
      </c>
      <c r="W52" s="3" t="str">
        <f>HYPERLINK("http://www.paremo.ru/upload/images/goods/9d42cabc-bee6-4b9d-9672-86abccb19655_08.jpg", "Фото 8")</f>
        <v>Фото 8</v>
      </c>
      <c r="X52" s="3" t="str">
        <f>HYPERLINK("http://www.paremo.ru/upload/images/goods/9d42cabc-bee6-4b9d-9672-86abccb19655_09.jpg", "Фото 9")</f>
        <v>Фото 9</v>
      </c>
      <c r="Y52" s="3" t="str">
        <f>HYPERLINK("http://www.paremo.ru/upload/images/goods/9d42cabc-bee6-4b9d-9672-86abccb19655_10.jpg", "Фото 10")</f>
        <v>Фото 10</v>
      </c>
      <c r="Z52" s="3" t="str">
        <f>HYPERLINK("http://www.paremo.ru/upload/images/goods/9d42cabc-bee6-4b9d-9672-86abccb19655_11.jpg", "Фото 11")</f>
        <v>Фото 11</v>
      </c>
      <c r="AA52" s="3" t="str">
        <f>HYPERLINK("http://www.paremo.ru/upload/images/goods/9d42cabc-bee6-4b9d-9672-86abccb19655_12.jpg", "Фото 12")</f>
        <v>Фото 12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 t="s">
        <v>275</v>
      </c>
      <c r="BD52" s="3" t="s">
        <v>57</v>
      </c>
      <c r="BE52" s="4">
        <v>9503007000</v>
      </c>
    </row>
    <row r="53" spans="1:57" ht="99.95" customHeight="1" x14ac:dyDescent="0.2">
      <c r="A53" s="3" t="s">
        <v>196</v>
      </c>
      <c r="B53" s="3" t="s">
        <v>264</v>
      </c>
      <c r="C53" s="3" t="s">
        <v>59</v>
      </c>
      <c r="D53" s="3" t="s">
        <v>60</v>
      </c>
      <c r="E53" s="12" t="s">
        <v>276</v>
      </c>
      <c r="F53" s="7">
        <v>694704110174</v>
      </c>
      <c r="G53" s="3" t="s">
        <v>277</v>
      </c>
      <c r="H53" s="3" t="s">
        <v>269</v>
      </c>
      <c r="I53" s="3" t="s">
        <v>76</v>
      </c>
      <c r="J53" s="3" t="s">
        <v>269</v>
      </c>
      <c r="K53" s="5">
        <v>1.23E-3</v>
      </c>
      <c r="L53" s="9">
        <v>0.22</v>
      </c>
      <c r="M53" s="3" t="s">
        <v>278</v>
      </c>
      <c r="N53" s="12" t="s">
        <v>279</v>
      </c>
      <c r="O53" s="3"/>
      <c r="P53" s="3" t="str">
        <f>HYPERLINK("http://www.paremo.ru/upload/images/goods/27361174-2a75-410f-b817-6035be9ff5f6_01.jpg", "Фото 1")</f>
        <v>Фото 1</v>
      </c>
      <c r="Q53" s="3" t="str">
        <f>HYPERLINK("http://www.paremo.ru/upload/images/goods/27361174-2a75-410f-b817-6035be9ff5f6_02.jpg", "Фото 2")</f>
        <v>Фото 2</v>
      </c>
      <c r="R53" s="3" t="str">
        <f>HYPERLINK("http://www.paremo.ru/upload/images/goods/27361174-2a75-410f-b817-6035be9ff5f6_03.jpg", "Фото 3")</f>
        <v>Фото 3</v>
      </c>
      <c r="S53" s="3" t="str">
        <f>HYPERLINK("http://www.paremo.ru/upload/images/goods/27361174-2a75-410f-b817-6035be9ff5f6_04.jpg", "Фото 4")</f>
        <v>Фото 4</v>
      </c>
      <c r="T53" s="3" t="str">
        <f>HYPERLINK("http://www.paremo.ru/upload/images/goods/27361174-2a75-410f-b817-6035be9ff5f6_05.jpg", "Фото 5")</f>
        <v>Фото 5</v>
      </c>
      <c r="U53" s="3" t="str">
        <f>HYPERLINK("http://www.paremo.ru/upload/images/goods/27361174-2a75-410f-b817-6035be9ff5f6_06.jpg", "Фото 6")</f>
        <v>Фото 6</v>
      </c>
      <c r="V53" s="3" t="str">
        <f>HYPERLINK("http://www.paremo.ru/upload/images/goods/27361174-2a75-410f-b817-6035be9ff5f6_07.jpg", "Фото 7")</f>
        <v>Фото 7</v>
      </c>
      <c r="W53" s="3" t="str">
        <f>HYPERLINK("http://www.paremo.ru/upload/images/goods/27361174-2a75-410f-b817-6035be9ff5f6_08.jpg", "Фото 8")</f>
        <v>Фото 8</v>
      </c>
      <c r="X53" s="3" t="str">
        <f>HYPERLINK("http://www.paremo.ru/upload/images/goods/27361174-2a75-410f-b817-6035be9ff5f6_09.jpg", "Фото 9")</f>
        <v>Фото 9</v>
      </c>
      <c r="Y53" s="3" t="str">
        <f>HYPERLINK("http://www.paremo.ru/upload/images/goods/27361174-2a75-410f-b817-6035be9ff5f6_10.jpg", "Фото 10")</f>
        <v>Фото 10</v>
      </c>
      <c r="Z53" s="3" t="str">
        <f>HYPERLINK("http://www.paremo.ru/upload/images/goods/27361174-2a75-410f-b817-6035be9ff5f6_11.jpg", "Фото 11")</f>
        <v>Фото 11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 t="s">
        <v>280</v>
      </c>
      <c r="BD53" s="3" t="s">
        <v>57</v>
      </c>
      <c r="BE53" s="4">
        <v>9503007000</v>
      </c>
    </row>
    <row r="54" spans="1:57" ht="99.95" customHeight="1" x14ac:dyDescent="0.2">
      <c r="A54" s="3" t="s">
        <v>196</v>
      </c>
      <c r="B54" s="3" t="s">
        <v>264</v>
      </c>
      <c r="C54" s="3" t="s">
        <v>59</v>
      </c>
      <c r="D54" s="3" t="s">
        <v>60</v>
      </c>
      <c r="E54" s="12" t="s">
        <v>281</v>
      </c>
      <c r="F54" s="7">
        <v>694704110228</v>
      </c>
      <c r="G54" s="3" t="s">
        <v>282</v>
      </c>
      <c r="H54" s="3" t="s">
        <v>269</v>
      </c>
      <c r="I54" s="3" t="s">
        <v>76</v>
      </c>
      <c r="J54" s="3" t="s">
        <v>269</v>
      </c>
      <c r="K54" s="5">
        <v>1.23E-3</v>
      </c>
      <c r="L54" s="6">
        <v>0.2</v>
      </c>
      <c r="M54" s="3" t="s">
        <v>228</v>
      </c>
      <c r="N54" s="12" t="s">
        <v>283</v>
      </c>
      <c r="O54" s="3"/>
      <c r="P54" s="3" t="str">
        <f>HYPERLINK("http://www.paremo.ru/upload/images/goods/0289a936-f531-4e0d-b63f-d9d83f4b7bb8_01.jpg", "Фото 1")</f>
        <v>Фото 1</v>
      </c>
      <c r="Q54" s="3" t="str">
        <f>HYPERLINK("http://www.paremo.ru/upload/images/goods/0289a936-f531-4e0d-b63f-d9d83f4b7bb8_02.jpg", "Фото 2")</f>
        <v>Фото 2</v>
      </c>
      <c r="R54" s="3" t="str">
        <f>HYPERLINK("http://www.paremo.ru/upload/images/goods/0289a936-f531-4e0d-b63f-d9d83f4b7bb8_03.jpg", "Фото 3")</f>
        <v>Фото 3</v>
      </c>
      <c r="S54" s="3" t="str">
        <f>HYPERLINK("http://www.paremo.ru/upload/images/goods/0289a936-f531-4e0d-b63f-d9d83f4b7bb8_04.jpg", "Фото 4")</f>
        <v>Фото 4</v>
      </c>
      <c r="T54" s="3" t="str">
        <f>HYPERLINK("http://www.paremo.ru/upload/images/goods/0289a936-f531-4e0d-b63f-d9d83f4b7bb8_05.jpg", "Фото 5")</f>
        <v>Фото 5</v>
      </c>
      <c r="U54" s="3" t="str">
        <f>HYPERLINK("http://www.paremo.ru/upload/images/goods/0289a936-f531-4e0d-b63f-d9d83f4b7bb8_06.jpg", "Фото 6")</f>
        <v>Фото 6</v>
      </c>
      <c r="V54" s="3" t="str">
        <f>HYPERLINK("http://www.paremo.ru/upload/images/goods/0289a936-f531-4e0d-b63f-d9d83f4b7bb8_07.jpg", "Фото 7")</f>
        <v>Фото 7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 t="s">
        <v>284</v>
      </c>
      <c r="BD54" s="3" t="s">
        <v>57</v>
      </c>
      <c r="BE54" s="4">
        <v>7117900000</v>
      </c>
    </row>
    <row r="55" spans="1:57" ht="99.95" customHeight="1" x14ac:dyDescent="0.2">
      <c r="A55" s="3" t="s">
        <v>196</v>
      </c>
      <c r="B55" s="3" t="s">
        <v>264</v>
      </c>
      <c r="C55" s="3" t="s">
        <v>59</v>
      </c>
      <c r="D55" s="3" t="s">
        <v>60</v>
      </c>
      <c r="E55" s="12" t="s">
        <v>285</v>
      </c>
      <c r="F55" s="7">
        <v>694704111041</v>
      </c>
      <c r="G55" s="3" t="s">
        <v>286</v>
      </c>
      <c r="H55" s="3" t="s">
        <v>287</v>
      </c>
      <c r="I55" s="3" t="s">
        <v>76</v>
      </c>
      <c r="J55" s="3" t="s">
        <v>287</v>
      </c>
      <c r="K55" s="10">
        <v>2.8E-3</v>
      </c>
      <c r="L55" s="9">
        <v>0.62</v>
      </c>
      <c r="M55" s="3" t="s">
        <v>163</v>
      </c>
      <c r="N55" s="12" t="s">
        <v>288</v>
      </c>
      <c r="O55" s="3"/>
      <c r="P55" s="3" t="str">
        <f>HYPERLINK("http://www.paremo.ru/upload/images/goods/619e6417-dc24-48cc-8e72-4f3690c0f5a6_01.jpg", "Фото 1")</f>
        <v>Фото 1</v>
      </c>
      <c r="Q55" s="3" t="str">
        <f>HYPERLINK("http://www.paremo.ru/upload/images/goods/619e6417-dc24-48cc-8e72-4f3690c0f5a6_02.jpg", "Фото 2")</f>
        <v>Фото 2</v>
      </c>
      <c r="R55" s="3" t="str">
        <f>HYPERLINK("http://www.paremo.ru/upload/images/goods/619e6417-dc24-48cc-8e72-4f3690c0f5a6_03.jpg", "Фото 3")</f>
        <v>Фото 3</v>
      </c>
      <c r="S55" s="3" t="str">
        <f>HYPERLINK("http://www.paremo.ru/upload/images/goods/619e6417-dc24-48cc-8e72-4f3690c0f5a6_04.jpg", "Фото 4")</f>
        <v>Фото 4</v>
      </c>
      <c r="T55" s="3" t="str">
        <f>HYPERLINK("http://www.paremo.ru/upload/images/goods/619e6417-dc24-48cc-8e72-4f3690c0f5a6_05.jpg", "Фото 5")</f>
        <v>Фото 5</v>
      </c>
      <c r="U55" s="3" t="str">
        <f>HYPERLINK("http://www.paremo.ru/upload/images/goods/619e6417-dc24-48cc-8e72-4f3690c0f5a6_06.jpg", "Фото 6")</f>
        <v>Фото 6</v>
      </c>
      <c r="V55" s="3" t="str">
        <f>HYPERLINK("http://www.paremo.ru/upload/images/goods/619e6417-dc24-48cc-8e72-4f3690c0f5a6_07.jpg", "Фото 7")</f>
        <v>Фото 7</v>
      </c>
      <c r="W55" s="3" t="str">
        <f>HYPERLINK("http://www.paremo.ru/upload/images/goods/619e6417-dc24-48cc-8e72-4f3690c0f5a6_08.jpg", "Фото 8")</f>
        <v>Фото 8</v>
      </c>
      <c r="X55" s="3" t="str">
        <f>HYPERLINK("http://www.paremo.ru/upload/images/goods/619e6417-dc24-48cc-8e72-4f3690c0f5a6_09.jpg", "Фото 9")</f>
        <v>Фото 9</v>
      </c>
      <c r="Y55" s="3" t="str">
        <f>HYPERLINK("http://www.paremo.ru/upload/images/goods/619e6417-dc24-48cc-8e72-4f3690c0f5a6_10.jpg", "Фото 10")</f>
        <v>Фото 10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 t="s">
        <v>57</v>
      </c>
      <c r="BE55" s="4">
        <v>4820105000</v>
      </c>
    </row>
    <row r="56" spans="1:57" ht="99.95" customHeight="1" x14ac:dyDescent="0.2">
      <c r="A56" s="3" t="s">
        <v>196</v>
      </c>
      <c r="B56" s="3" t="s">
        <v>264</v>
      </c>
      <c r="C56" s="3" t="s">
        <v>59</v>
      </c>
      <c r="D56" s="3" t="s">
        <v>60</v>
      </c>
      <c r="E56" s="12" t="s">
        <v>289</v>
      </c>
      <c r="F56" s="7">
        <v>694704111072</v>
      </c>
      <c r="G56" s="3" t="s">
        <v>290</v>
      </c>
      <c r="H56" s="3" t="s">
        <v>291</v>
      </c>
      <c r="I56" s="3" t="s">
        <v>76</v>
      </c>
      <c r="J56" s="3" t="s">
        <v>291</v>
      </c>
      <c r="K56" s="5">
        <v>2.8400000000000001E-3</v>
      </c>
      <c r="L56" s="9">
        <v>0.44</v>
      </c>
      <c r="M56" s="3" t="s">
        <v>228</v>
      </c>
      <c r="N56" s="12" t="s">
        <v>292</v>
      </c>
      <c r="O56" s="3"/>
      <c r="P56" s="3" t="str">
        <f>HYPERLINK("http://www.paremo.ru/upload/images/goods/ea24df00-38e2-4f27-be77-0f3015fa16c2_01.jpg", "Фото 1")</f>
        <v>Фото 1</v>
      </c>
      <c r="Q56" s="3" t="str">
        <f>HYPERLINK("http://www.paremo.ru/upload/images/goods/ea24df00-38e2-4f27-be77-0f3015fa16c2_02.jpg", "Фото 2")</f>
        <v>Фото 2</v>
      </c>
      <c r="R56" s="3" t="str">
        <f>HYPERLINK("http://www.paremo.ru/upload/images/goods/ea24df00-38e2-4f27-be77-0f3015fa16c2_03.jpg", "Фото 3")</f>
        <v>Фото 3</v>
      </c>
      <c r="S56" s="3" t="str">
        <f>HYPERLINK("http://www.paremo.ru/upload/images/goods/ea24df00-38e2-4f27-be77-0f3015fa16c2_04.jpg", "Фото 4")</f>
        <v>Фото 4</v>
      </c>
      <c r="T56" s="3" t="str">
        <f>HYPERLINK("http://www.paremo.ru/upload/images/goods/ea24df00-38e2-4f27-be77-0f3015fa16c2_05.jpg", "Фото 5")</f>
        <v>Фото 5</v>
      </c>
      <c r="U56" s="3" t="str">
        <f>HYPERLINK("http://www.paremo.ru/upload/images/goods/ea24df00-38e2-4f27-be77-0f3015fa16c2_06.jpg", "Фото 6")</f>
        <v>Фото 6</v>
      </c>
      <c r="V56" s="3" t="str">
        <f>HYPERLINK("http://www.paremo.ru/upload/images/goods/ea24df00-38e2-4f27-be77-0f3015fa16c2_07.jpg", "Фото 7")</f>
        <v>Фото 7</v>
      </c>
      <c r="W56" s="3" t="str">
        <f>HYPERLINK("http://www.paremo.ru/upload/images/goods/ea24df00-38e2-4f27-be77-0f3015fa16c2_08.jpg", "Фото 8")</f>
        <v>Фото 8</v>
      </c>
      <c r="X56" s="3" t="str">
        <f>HYPERLINK("http://www.paremo.ru/upload/images/goods/ea24df00-38e2-4f27-be77-0f3015fa16c2_09.jpg", "Фото 9")</f>
        <v>Фото 9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 t="s">
        <v>293</v>
      </c>
      <c r="BD56" s="3" t="s">
        <v>57</v>
      </c>
      <c r="BE56" s="4">
        <v>7117900000</v>
      </c>
    </row>
    <row r="57" spans="1:57" ht="99.95" customHeight="1" x14ac:dyDescent="0.2">
      <c r="A57" s="3" t="s">
        <v>196</v>
      </c>
      <c r="B57" s="3" t="s">
        <v>264</v>
      </c>
      <c r="C57" s="3" t="s">
        <v>59</v>
      </c>
      <c r="D57" s="3" t="s">
        <v>60</v>
      </c>
      <c r="E57" s="12" t="s">
        <v>294</v>
      </c>
      <c r="F57" s="7">
        <v>694704111089</v>
      </c>
      <c r="G57" s="3" t="s">
        <v>295</v>
      </c>
      <c r="H57" s="3" t="s">
        <v>296</v>
      </c>
      <c r="I57" s="3" t="s">
        <v>76</v>
      </c>
      <c r="J57" s="3" t="s">
        <v>296</v>
      </c>
      <c r="K57" s="5">
        <v>2.7599999999999999E-3</v>
      </c>
      <c r="L57" s="9">
        <v>0.59</v>
      </c>
      <c r="M57" s="3" t="s">
        <v>65</v>
      </c>
      <c r="N57" s="12" t="s">
        <v>297</v>
      </c>
      <c r="O57" s="3"/>
      <c r="P57" s="3" t="str">
        <f>HYPERLINK("http://www.paremo.ru/upload/images/goods/040b2ba5-7a8f-481d-8023-0120e94a2818_01.jpg", "Фото 1")</f>
        <v>Фото 1</v>
      </c>
      <c r="Q57" s="3" t="str">
        <f>HYPERLINK("http://www.paremo.ru/upload/images/goods/040b2ba5-7a8f-481d-8023-0120e94a2818_02.jpg", "Фото 2")</f>
        <v>Фото 2</v>
      </c>
      <c r="R57" s="3" t="str">
        <f>HYPERLINK("http://www.paremo.ru/upload/images/goods/040b2ba5-7a8f-481d-8023-0120e94a2818_03.jpg", "Фото 3")</f>
        <v>Фото 3</v>
      </c>
      <c r="S57" s="3" t="str">
        <f>HYPERLINK("http://www.paremo.ru/upload/images/goods/040b2ba5-7a8f-481d-8023-0120e94a2818_04.jpg", "Фото 4")</f>
        <v>Фото 4</v>
      </c>
      <c r="T57" s="3" t="str">
        <f>HYPERLINK("http://www.paremo.ru/upload/images/goods/040b2ba5-7a8f-481d-8023-0120e94a2818_05.jpg", "Фото 5")</f>
        <v>Фото 5</v>
      </c>
      <c r="U57" s="3" t="str">
        <f>HYPERLINK("http://www.paremo.ru/upload/images/goods/040b2ba5-7a8f-481d-8023-0120e94a2818_06.jpg", "Фото 6")</f>
        <v>Фото 6</v>
      </c>
      <c r="V57" s="3" t="str">
        <f>HYPERLINK("http://www.paremo.ru/upload/images/goods/040b2ba5-7a8f-481d-8023-0120e94a2818_07.jpg", "Фото 7")</f>
        <v>Фото 7</v>
      </c>
      <c r="W57" s="3" t="str">
        <f>HYPERLINK("http://www.paremo.ru/upload/images/goods/040b2ba5-7a8f-481d-8023-0120e94a2818_08.jpg", "Фото 8")</f>
        <v>Фото 8</v>
      </c>
      <c r="X57" s="3" t="str">
        <f>HYPERLINK("http://www.paremo.ru/upload/images/goods/040b2ba5-7a8f-481d-8023-0120e94a2818_09.jpg", "Фото 9")</f>
        <v>Фото 9</v>
      </c>
      <c r="Y57" s="3" t="str">
        <f>HYPERLINK("http://www.paremo.ru/upload/images/goods/040b2ba5-7a8f-481d-8023-0120e94a2818_10.jpg", "Фото 10")</f>
        <v>Фото 10</v>
      </c>
      <c r="Z57" s="3" t="str">
        <f>HYPERLINK("http://www.paremo.ru/upload/images/goods/040b2ba5-7a8f-481d-8023-0120e94a2818_11.jpg", "Фото 11")</f>
        <v>Фото 11</v>
      </c>
      <c r="AA57" s="3" t="str">
        <f>HYPERLINK("http://www.paremo.ru/upload/images/goods/040b2ba5-7a8f-481d-8023-0120e94a2818_12.jpg", "Фото 12")</f>
        <v>Фото 12</v>
      </c>
      <c r="AB57" s="3" t="str">
        <f>HYPERLINK("http://www.paremo.ru/upload/images/goods/040b2ba5-7a8f-481d-8023-0120e94a2818_13.jpg", "Фото 13")</f>
        <v>Фото 13</v>
      </c>
      <c r="AC57" s="3" t="str">
        <f>HYPERLINK("http://www.paremo.ru/upload/images/goods/040b2ba5-7a8f-481d-8023-0120e94a2818_14.jpg", "Фото 14")</f>
        <v>Фото 14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 t="s">
        <v>57</v>
      </c>
      <c r="BE57" s="4">
        <v>7117900000</v>
      </c>
    </row>
    <row r="58" spans="1:57" ht="99.95" customHeight="1" x14ac:dyDescent="0.2">
      <c r="A58" s="3" t="s">
        <v>196</v>
      </c>
      <c r="B58" s="3" t="s">
        <v>264</v>
      </c>
      <c r="C58" s="3" t="s">
        <v>59</v>
      </c>
      <c r="D58" s="3" t="s">
        <v>60</v>
      </c>
      <c r="E58" s="12" t="s">
        <v>298</v>
      </c>
      <c r="F58" s="7">
        <v>694704111157</v>
      </c>
      <c r="G58" s="3" t="s">
        <v>299</v>
      </c>
      <c r="H58" s="3" t="s">
        <v>219</v>
      </c>
      <c r="I58" s="3" t="s">
        <v>76</v>
      </c>
      <c r="J58" s="3" t="s">
        <v>219</v>
      </c>
      <c r="K58" s="5">
        <v>2.8400000000000001E-3</v>
      </c>
      <c r="L58" s="9">
        <v>0.62</v>
      </c>
      <c r="M58" s="3" t="s">
        <v>163</v>
      </c>
      <c r="N58" s="12" t="s">
        <v>300</v>
      </c>
      <c r="O58" s="3"/>
      <c r="P58" s="3" t="str">
        <f>HYPERLINK("http://www.paremo.ru/upload/images/goods/5aa0f7ec-a670-4d19-b7c8-f4965de1763b_01.jpg", "Фото 1")</f>
        <v>Фото 1</v>
      </c>
      <c r="Q58" s="3" t="str">
        <f>HYPERLINK("http://www.paremo.ru/upload/images/goods/5aa0f7ec-a670-4d19-b7c8-f4965de1763b_02.jpg", "Фото 2")</f>
        <v>Фото 2</v>
      </c>
      <c r="R58" s="3" t="str">
        <f>HYPERLINK("http://www.paremo.ru/upload/images/goods/5aa0f7ec-a670-4d19-b7c8-f4965de1763b_03.jpg", "Фото 3")</f>
        <v>Фото 3</v>
      </c>
      <c r="S58" s="3" t="str">
        <f>HYPERLINK("http://www.paremo.ru/upload/images/goods/5aa0f7ec-a670-4d19-b7c8-f4965de1763b_04.jpg", "Фото 4")</f>
        <v>Фото 4</v>
      </c>
      <c r="T58" s="3" t="str">
        <f>HYPERLINK("http://www.paremo.ru/upload/images/goods/5aa0f7ec-a670-4d19-b7c8-f4965de1763b_05.jpg", "Фото 5")</f>
        <v>Фото 5</v>
      </c>
      <c r="U58" s="3" t="str">
        <f>HYPERLINK("http://www.paremo.ru/upload/images/goods/5aa0f7ec-a670-4d19-b7c8-f4965de1763b_06.jpg", "Фото 6")</f>
        <v>Фото 6</v>
      </c>
      <c r="V58" s="3" t="str">
        <f>HYPERLINK("http://www.paremo.ru/upload/images/goods/5aa0f7ec-a670-4d19-b7c8-f4965de1763b_07.jpg", "Фото 7")</f>
        <v>Фото 7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 t="s">
        <v>57</v>
      </c>
      <c r="BE58" s="4">
        <v>4820105000</v>
      </c>
    </row>
    <row r="59" spans="1:57" ht="99.95" customHeight="1" x14ac:dyDescent="0.2">
      <c r="A59" s="3" t="s">
        <v>196</v>
      </c>
      <c r="B59" s="3" t="s">
        <v>264</v>
      </c>
      <c r="C59" s="3" t="s">
        <v>59</v>
      </c>
      <c r="D59" s="3" t="s">
        <v>60</v>
      </c>
      <c r="E59" s="12" t="s">
        <v>301</v>
      </c>
      <c r="F59" s="7">
        <v>694704111171</v>
      </c>
      <c r="G59" s="3" t="s">
        <v>302</v>
      </c>
      <c r="H59" s="3" t="s">
        <v>291</v>
      </c>
      <c r="I59" s="3" t="s">
        <v>76</v>
      </c>
      <c r="J59" s="3" t="s">
        <v>291</v>
      </c>
      <c r="K59" s="5">
        <v>2.8400000000000001E-3</v>
      </c>
      <c r="L59" s="9">
        <v>0.39</v>
      </c>
      <c r="M59" s="3" t="s">
        <v>303</v>
      </c>
      <c r="N59" s="12" t="s">
        <v>304</v>
      </c>
      <c r="O59" s="3"/>
      <c r="P59" s="3" t="str">
        <f>HYPERLINK("http://www.paremo.ru/upload/images/goods/4fb7eae0-15e0-4507-8157-67fbf4316311_01.jpg", "Фото 1")</f>
        <v>Фото 1</v>
      </c>
      <c r="Q59" s="3" t="str">
        <f>HYPERLINK("http://www.paremo.ru/upload/images/goods/4fb7eae0-15e0-4507-8157-67fbf4316311_02.jpg", "Фото 2")</f>
        <v>Фото 2</v>
      </c>
      <c r="R59" s="3" t="str">
        <f>HYPERLINK("http://www.paremo.ru/upload/images/goods/4fb7eae0-15e0-4507-8157-67fbf4316311_03.jpg", "Фото 3")</f>
        <v>Фото 3</v>
      </c>
      <c r="S59" s="3" t="str">
        <f>HYPERLINK("http://www.paremo.ru/upload/images/goods/4fb7eae0-15e0-4507-8157-67fbf4316311_04.jpg", "Фото 4")</f>
        <v>Фото 4</v>
      </c>
      <c r="T59" s="3" t="str">
        <f>HYPERLINK("http://www.paremo.ru/upload/images/goods/4fb7eae0-15e0-4507-8157-67fbf4316311_05.jpg", "Фото 5")</f>
        <v>Фото 5</v>
      </c>
      <c r="U59" s="3" t="str">
        <f>HYPERLINK("http://www.paremo.ru/upload/images/goods/4fb7eae0-15e0-4507-8157-67fbf4316311_06.jpg", "Фото 6")</f>
        <v>Фото 6</v>
      </c>
      <c r="V59" s="3" t="str">
        <f>HYPERLINK("http://www.paremo.ru/upload/images/goods/4fb7eae0-15e0-4507-8157-67fbf4316311_07.jpg", "Фото 7")</f>
        <v>Фото 7</v>
      </c>
      <c r="W59" s="3" t="str">
        <f>HYPERLINK("http://www.paremo.ru/upload/images/goods/4fb7eae0-15e0-4507-8157-67fbf4316311_08.jpg", "Фото 8")</f>
        <v>Фото 8</v>
      </c>
      <c r="X59" s="3" t="str">
        <f>HYPERLINK("http://www.paremo.ru/upload/images/goods/4fb7eae0-15e0-4507-8157-67fbf4316311_09.jpg", "Фото 9")</f>
        <v>Фото 9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 t="s">
        <v>305</v>
      </c>
      <c r="BD59" s="3" t="s">
        <v>57</v>
      </c>
      <c r="BE59" s="4">
        <v>7117900000</v>
      </c>
    </row>
    <row r="60" spans="1:57" ht="99.95" customHeight="1" x14ac:dyDescent="0.2">
      <c r="A60" s="3" t="s">
        <v>196</v>
      </c>
      <c r="B60" s="3" t="s">
        <v>264</v>
      </c>
      <c r="C60" s="3" t="s">
        <v>59</v>
      </c>
      <c r="D60" s="3" t="s">
        <v>60</v>
      </c>
      <c r="E60" s="12" t="s">
        <v>306</v>
      </c>
      <c r="F60" s="7">
        <v>694704111188</v>
      </c>
      <c r="G60" s="3" t="s">
        <v>307</v>
      </c>
      <c r="H60" s="3" t="s">
        <v>291</v>
      </c>
      <c r="I60" s="3" t="s">
        <v>76</v>
      </c>
      <c r="J60" s="3" t="s">
        <v>291</v>
      </c>
      <c r="K60" s="5">
        <v>2.8400000000000001E-3</v>
      </c>
      <c r="L60" s="9">
        <v>1.05</v>
      </c>
      <c r="M60" s="3" t="s">
        <v>308</v>
      </c>
      <c r="N60" s="12" t="s">
        <v>309</v>
      </c>
      <c r="O60" s="3"/>
      <c r="P60" s="3" t="str">
        <f>HYPERLINK("http://www.paremo.ru/upload/images/goods/1cbfd96f-ab39-47bd-bd60-615a2c91f5e0_01.jpg", "Фото 1")</f>
        <v>Фото 1</v>
      </c>
      <c r="Q60" s="3" t="str">
        <f>HYPERLINK("http://www.paremo.ru/upload/images/goods/1cbfd96f-ab39-47bd-bd60-615a2c91f5e0_02.jpg", "Фото 2")</f>
        <v>Фото 2</v>
      </c>
      <c r="R60" s="3" t="str">
        <f>HYPERLINK("http://www.paremo.ru/upload/images/goods/1cbfd96f-ab39-47bd-bd60-615a2c91f5e0_03.jpg", "Фото 3")</f>
        <v>Фото 3</v>
      </c>
      <c r="S60" s="3" t="str">
        <f>HYPERLINK("http://www.paremo.ru/upload/images/goods/1cbfd96f-ab39-47bd-bd60-615a2c91f5e0_04.jpg", "Фото 4")</f>
        <v>Фото 4</v>
      </c>
      <c r="T60" s="3" t="str">
        <f>HYPERLINK("http://www.paremo.ru/upload/images/goods/1cbfd96f-ab39-47bd-bd60-615a2c91f5e0_05.jpg", "Фото 5")</f>
        <v>Фото 5</v>
      </c>
      <c r="U60" s="3" t="str">
        <f>HYPERLINK("http://www.paremo.ru/upload/images/goods/1cbfd96f-ab39-47bd-bd60-615a2c91f5e0_06.jpg", "Фото 6")</f>
        <v>Фото 6</v>
      </c>
      <c r="V60" s="3" t="str">
        <f>HYPERLINK("http://www.paremo.ru/upload/images/goods/1cbfd96f-ab39-47bd-bd60-615a2c91f5e0_07.jpg", "Фото 7")</f>
        <v>Фото 7</v>
      </c>
      <c r="W60" s="3" t="str">
        <f>HYPERLINK("http://www.paremo.ru/upload/images/goods/1cbfd96f-ab39-47bd-bd60-615a2c91f5e0_08.jpg", "Фото 8")</f>
        <v>Фото 8</v>
      </c>
      <c r="X60" s="3" t="str">
        <f>HYPERLINK("http://www.paremo.ru/upload/images/goods/1cbfd96f-ab39-47bd-bd60-615a2c91f5e0_09.jpg", "Фото 9")</f>
        <v>Фото 9</v>
      </c>
      <c r="Y60" s="3" t="str">
        <f>HYPERLINK("http://www.paremo.ru/upload/images/goods/1cbfd96f-ab39-47bd-bd60-615a2c91f5e0_10.jpg", "Фото 10")</f>
        <v>Фото 10</v>
      </c>
      <c r="Z60" s="3" t="str">
        <f>HYPERLINK("http://www.paremo.ru/upload/images/goods/1cbfd96f-ab39-47bd-bd60-615a2c91f5e0_11.jpg", "Фото 11")</f>
        <v>Фото 11</v>
      </c>
      <c r="AA60" s="3" t="str">
        <f>HYPERLINK("http://www.paremo.ru/upload/images/goods/1cbfd96f-ab39-47bd-bd60-615a2c91f5e0_12.jpg", "Фото 12")</f>
        <v>Фото 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310</v>
      </c>
      <c r="BD60" s="3" t="s">
        <v>57</v>
      </c>
      <c r="BE60" s="4">
        <v>9503007000</v>
      </c>
    </row>
    <row r="61" spans="1:57" ht="99.95" customHeight="1" x14ac:dyDescent="0.2">
      <c r="A61" s="3" t="s">
        <v>196</v>
      </c>
      <c r="B61" s="3" t="s">
        <v>264</v>
      </c>
      <c r="C61" s="3" t="s">
        <v>59</v>
      </c>
      <c r="D61" s="3" t="s">
        <v>60</v>
      </c>
      <c r="E61" s="12" t="s">
        <v>311</v>
      </c>
      <c r="F61" s="7">
        <v>694704111232</v>
      </c>
      <c r="G61" s="3" t="s">
        <v>312</v>
      </c>
      <c r="H61" s="3" t="s">
        <v>291</v>
      </c>
      <c r="I61" s="3" t="s">
        <v>76</v>
      </c>
      <c r="J61" s="3" t="s">
        <v>291</v>
      </c>
      <c r="K61" s="5">
        <v>2.8400000000000001E-3</v>
      </c>
      <c r="L61" s="9">
        <v>0.42</v>
      </c>
      <c r="M61" s="3" t="s">
        <v>164</v>
      </c>
      <c r="N61" s="12" t="s">
        <v>313</v>
      </c>
      <c r="O61" s="3"/>
      <c r="P61" s="3" t="str">
        <f>HYPERLINK("http://www.paremo.ru/upload/images/goods/06524e02-8519-4ebe-b44e-9d45900158a0_01.jpg", "Фото 1")</f>
        <v>Фото 1</v>
      </c>
      <c r="Q61" s="3" t="str">
        <f>HYPERLINK("http://www.paremo.ru/upload/images/goods/06524e02-8519-4ebe-b44e-9d45900158a0_02.jpg", "Фото 2")</f>
        <v>Фото 2</v>
      </c>
      <c r="R61" s="3" t="str">
        <f>HYPERLINK("http://www.paremo.ru/upload/images/goods/06524e02-8519-4ebe-b44e-9d45900158a0_03.jpg", "Фото 3")</f>
        <v>Фото 3</v>
      </c>
      <c r="S61" s="3" t="str">
        <f>HYPERLINK("http://www.paremo.ru/upload/images/goods/06524e02-8519-4ebe-b44e-9d45900158a0_04.jpg", "Фото 4")</f>
        <v>Фото 4</v>
      </c>
      <c r="T61" s="3" t="str">
        <f>HYPERLINK("http://www.paremo.ru/upload/images/goods/06524e02-8519-4ebe-b44e-9d45900158a0_05.jpg", "Фото 5")</f>
        <v>Фото 5</v>
      </c>
      <c r="U61" s="3" t="str">
        <f>HYPERLINK("http://www.paremo.ru/upload/images/goods/06524e02-8519-4ebe-b44e-9d45900158a0_06.jpg", "Фото 6")</f>
        <v>Фото 6</v>
      </c>
      <c r="V61" s="3" t="str">
        <f>HYPERLINK("http://www.paremo.ru/upload/images/goods/06524e02-8519-4ebe-b44e-9d45900158a0_07.jpg", "Фото 7")</f>
        <v>Фото 7</v>
      </c>
      <c r="W61" s="3" t="str">
        <f>HYPERLINK("http://www.paremo.ru/upload/images/goods/06524e02-8519-4ebe-b44e-9d45900158a0_08.jpg", "Фото 8")</f>
        <v>Фото 8</v>
      </c>
      <c r="X61" s="3" t="str">
        <f>HYPERLINK("http://www.paremo.ru/upload/images/goods/06524e02-8519-4ebe-b44e-9d45900158a0_09.jpg", "Фото 9")</f>
        <v>Фото 9</v>
      </c>
      <c r="Y61" s="3" t="str">
        <f>HYPERLINK("http://www.paremo.ru/upload/images/goods/06524e02-8519-4ebe-b44e-9d45900158a0_10.jpg", "Фото 10")</f>
        <v>Фото 10</v>
      </c>
      <c r="Z61" s="3" t="str">
        <f>HYPERLINK("http://www.paremo.ru/upload/images/goods/06524e02-8519-4ebe-b44e-9d45900158a0_11.jpg", "Фото 11")</f>
        <v>Фото 11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 t="s">
        <v>314</v>
      </c>
      <c r="BD61" s="3" t="s">
        <v>57</v>
      </c>
      <c r="BE61" s="4">
        <v>9503007000</v>
      </c>
    </row>
    <row r="62" spans="1:57" ht="99.95" customHeight="1" x14ac:dyDescent="0.2">
      <c r="A62" s="3" t="s">
        <v>196</v>
      </c>
      <c r="B62" s="3" t="s">
        <v>264</v>
      </c>
      <c r="C62" s="3" t="s">
        <v>59</v>
      </c>
      <c r="D62" s="3" t="s">
        <v>60</v>
      </c>
      <c r="E62" s="12" t="s">
        <v>315</v>
      </c>
      <c r="F62" s="7">
        <v>694704111249</v>
      </c>
      <c r="G62" s="3" t="s">
        <v>316</v>
      </c>
      <c r="H62" s="3" t="s">
        <v>219</v>
      </c>
      <c r="I62" s="3" t="s">
        <v>76</v>
      </c>
      <c r="J62" s="3" t="s">
        <v>219</v>
      </c>
      <c r="K62" s="5">
        <v>2.8400000000000001E-3</v>
      </c>
      <c r="L62" s="8">
        <v>0.41099999999999998</v>
      </c>
      <c r="M62" s="3" t="s">
        <v>194</v>
      </c>
      <c r="N62" s="12" t="s">
        <v>317</v>
      </c>
      <c r="O62" s="3"/>
      <c r="P62" s="3" t="str">
        <f>HYPERLINK("http://www.paremo.ru/upload/images/goods/a4d8547c-852a-49be-9e50-f84591142d56_01.jpg", "Фото 1")</f>
        <v>Фото 1</v>
      </c>
      <c r="Q62" s="3" t="str">
        <f>HYPERLINK("http://www.paremo.ru/upload/images/goods/a4d8547c-852a-49be-9e50-f84591142d56_02.jpg", "Фото 2")</f>
        <v>Фото 2</v>
      </c>
      <c r="R62" s="3" t="str">
        <f>HYPERLINK("http://www.paremo.ru/upload/images/goods/a4d8547c-852a-49be-9e50-f84591142d56_03.jpg", "Фото 3")</f>
        <v>Фото 3</v>
      </c>
      <c r="S62" s="3" t="str">
        <f>HYPERLINK("http://www.paremo.ru/upload/images/goods/a4d8547c-852a-49be-9e50-f84591142d56_04.jpg", "Фото 4")</f>
        <v>Фото 4</v>
      </c>
      <c r="T62" s="3" t="str">
        <f>HYPERLINK("http://www.paremo.ru/upload/images/goods/a4d8547c-852a-49be-9e50-f84591142d56_05.jpg", "Фото 5")</f>
        <v>Фото 5</v>
      </c>
      <c r="U62" s="3" t="str">
        <f>HYPERLINK("http://www.paremo.ru/upload/images/goods/a4d8547c-852a-49be-9e50-f84591142d56_06.jpg", "Фото 6")</f>
        <v>Фото 6</v>
      </c>
      <c r="V62" s="3" t="str">
        <f>HYPERLINK("http://www.paremo.ru/upload/images/goods/a4d8547c-852a-49be-9e50-f84591142d56_07.jpg", "Фото 7")</f>
        <v>Фото 7</v>
      </c>
      <c r="W62" s="3" t="str">
        <f>HYPERLINK("http://www.paremo.ru/upload/images/goods/a4d8547c-852a-49be-9e50-f84591142d56_08.jpg", "Фото 8")</f>
        <v>Фото 8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 t="s">
        <v>57</v>
      </c>
      <c r="BE62" s="4">
        <v>9503007000</v>
      </c>
    </row>
    <row r="63" spans="1:57" ht="99.95" customHeight="1" x14ac:dyDescent="0.2">
      <c r="A63" s="3" t="s">
        <v>196</v>
      </c>
      <c r="B63" s="3" t="s">
        <v>264</v>
      </c>
      <c r="C63" s="3" t="s">
        <v>59</v>
      </c>
      <c r="D63" s="3" t="s">
        <v>60</v>
      </c>
      <c r="E63" s="12" t="s">
        <v>318</v>
      </c>
      <c r="F63" s="7">
        <v>694704111263</v>
      </c>
      <c r="G63" s="3" t="s">
        <v>319</v>
      </c>
      <c r="H63" s="3" t="s">
        <v>219</v>
      </c>
      <c r="I63" s="3" t="s">
        <v>76</v>
      </c>
      <c r="J63" s="3" t="s">
        <v>219</v>
      </c>
      <c r="K63" s="5">
        <v>2.8400000000000001E-3</v>
      </c>
      <c r="L63" s="9">
        <v>0.42</v>
      </c>
      <c r="M63" s="3" t="s">
        <v>194</v>
      </c>
      <c r="N63" s="12" t="s">
        <v>320</v>
      </c>
      <c r="O63" s="3"/>
      <c r="P63" s="3" t="str">
        <f>HYPERLINK("http://www.paremo.ru/upload/images/goods/7debcf70-f83c-41cb-8f72-f8eedef512b8_01.jpg", "Фото 1")</f>
        <v>Фото 1</v>
      </c>
      <c r="Q63" s="3" t="str">
        <f>HYPERLINK("http://www.paremo.ru/upload/images/goods/7debcf70-f83c-41cb-8f72-f8eedef512b8_02.jpg", "Фото 2")</f>
        <v>Фото 2</v>
      </c>
      <c r="R63" s="3" t="str">
        <f>HYPERLINK("http://www.paremo.ru/upload/images/goods/7debcf70-f83c-41cb-8f72-f8eedef512b8_03.jpg", "Фото 3")</f>
        <v>Фото 3</v>
      </c>
      <c r="S63" s="3" t="str">
        <f>HYPERLINK("http://www.paremo.ru/upload/images/goods/7debcf70-f83c-41cb-8f72-f8eedef512b8_04.jpg", "Фото 4")</f>
        <v>Фото 4</v>
      </c>
      <c r="T63" s="3" t="str">
        <f>HYPERLINK("http://www.paremo.ru/upload/images/goods/7debcf70-f83c-41cb-8f72-f8eedef512b8_05.jpg", "Фото 5")</f>
        <v>Фото 5</v>
      </c>
      <c r="U63" s="3" t="str">
        <f>HYPERLINK("http://www.paremo.ru/upload/images/goods/7debcf70-f83c-41cb-8f72-f8eedef512b8_06.jpg", "Фото 6")</f>
        <v>Фото 6</v>
      </c>
      <c r="V63" s="3" t="str">
        <f>HYPERLINK("http://www.paremo.ru/upload/images/goods/7debcf70-f83c-41cb-8f72-f8eedef512b8_07.jpg", "Фото 7")</f>
        <v>Фото 7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 t="s">
        <v>57</v>
      </c>
      <c r="BE63" s="4">
        <v>3926400000</v>
      </c>
    </row>
    <row r="64" spans="1:57" ht="99.95" customHeight="1" x14ac:dyDescent="0.2">
      <c r="A64" s="3" t="s">
        <v>196</v>
      </c>
      <c r="B64" s="3" t="s">
        <v>264</v>
      </c>
      <c r="C64" s="3" t="s">
        <v>59</v>
      </c>
      <c r="D64" s="3" t="s">
        <v>60</v>
      </c>
      <c r="E64" s="12" t="s">
        <v>321</v>
      </c>
      <c r="F64" s="7">
        <v>694704111270</v>
      </c>
      <c r="G64" s="3" t="s">
        <v>322</v>
      </c>
      <c r="H64" s="3" t="s">
        <v>219</v>
      </c>
      <c r="I64" s="3" t="s">
        <v>76</v>
      </c>
      <c r="J64" s="3" t="s">
        <v>219</v>
      </c>
      <c r="K64" s="5">
        <v>2.8400000000000001E-3</v>
      </c>
      <c r="L64" s="9">
        <v>0.39</v>
      </c>
      <c r="M64" s="3" t="s">
        <v>234</v>
      </c>
      <c r="N64" s="12" t="s">
        <v>323</v>
      </c>
      <c r="O64" s="3"/>
      <c r="P64" s="3" t="str">
        <f>HYPERLINK("http://www.paremo.ru/upload/images/goods/6a753cb8-345c-4413-880f-12bf314b6d1e_01.jpg", "Фото 1")</f>
        <v>Фото 1</v>
      </c>
      <c r="Q64" s="3" t="str">
        <f>HYPERLINK("http://www.paremo.ru/upload/images/goods/6a753cb8-345c-4413-880f-12bf314b6d1e_02.jpg", "Фото 2")</f>
        <v>Фото 2</v>
      </c>
      <c r="R64" s="3" t="str">
        <f>HYPERLINK("http://www.paremo.ru/upload/images/goods/6a753cb8-345c-4413-880f-12bf314b6d1e_03.jpg", "Фото 3")</f>
        <v>Фото 3</v>
      </c>
      <c r="S64" s="3" t="str">
        <f>HYPERLINK("http://www.paremo.ru/upload/images/goods/6a753cb8-345c-4413-880f-12bf314b6d1e_04.jpg", "Фото 4")</f>
        <v>Фото 4</v>
      </c>
      <c r="T64" s="3" t="str">
        <f>HYPERLINK("http://www.paremo.ru/upload/images/goods/6a753cb8-345c-4413-880f-12bf314b6d1e_05.jpg", "Фото 5")</f>
        <v>Фото 5</v>
      </c>
      <c r="U64" s="3" t="str">
        <f>HYPERLINK("http://www.paremo.ru/upload/images/goods/6a753cb8-345c-4413-880f-12bf314b6d1e_06.jpg", "Фото 6")</f>
        <v>Фото 6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 t="s">
        <v>57</v>
      </c>
      <c r="BE64" s="4">
        <v>9503007000</v>
      </c>
    </row>
    <row r="65" spans="1:57" ht="99.95" customHeight="1" x14ac:dyDescent="0.2">
      <c r="A65" s="3" t="s">
        <v>196</v>
      </c>
      <c r="B65" s="3" t="s">
        <v>264</v>
      </c>
      <c r="C65" s="3" t="s">
        <v>59</v>
      </c>
      <c r="D65" s="3" t="s">
        <v>60</v>
      </c>
      <c r="E65" s="12" t="s">
        <v>324</v>
      </c>
      <c r="F65" s="7">
        <v>694704111287</v>
      </c>
      <c r="G65" s="3" t="s">
        <v>325</v>
      </c>
      <c r="H65" s="3" t="s">
        <v>326</v>
      </c>
      <c r="I65" s="3" t="s">
        <v>76</v>
      </c>
      <c r="J65" s="3" t="s">
        <v>326</v>
      </c>
      <c r="K65" s="8">
        <v>1E-3</v>
      </c>
      <c r="L65" s="9">
        <v>0.47</v>
      </c>
      <c r="M65" s="3" t="s">
        <v>327</v>
      </c>
      <c r="N65" s="12" t="s">
        <v>328</v>
      </c>
      <c r="O65" s="3"/>
      <c r="P65" s="3" t="str">
        <f>HYPERLINK("http://www.paremo.ru/upload/images/goods/e13797df-a821-4ec2-81e2-465978e5279c_10.jpg", "Фото 1")</f>
        <v>Фото 1</v>
      </c>
      <c r="Q65" s="3" t="str">
        <f>HYPERLINK("http://www.paremo.ru/upload/images/goods/e13797df-a821-4ec2-81e2-465978e5279c_06.jpg", "Фото 2")</f>
        <v>Фото 2</v>
      </c>
      <c r="R65" s="3" t="str">
        <f>HYPERLINK("http://www.paremo.ru/upload/images/goods/e13797df-a821-4ec2-81e2-465978e5279c_07.jpg", "Фото 3")</f>
        <v>Фото 3</v>
      </c>
      <c r="S65" s="3" t="str">
        <f>HYPERLINK("http://www.paremo.ru/upload/images/goods/e13797df-a821-4ec2-81e2-465978e5279c_08.jpg", "Фото 4")</f>
        <v>Фото 4</v>
      </c>
      <c r="T65" s="3" t="str">
        <f>HYPERLINK("http://www.paremo.ru/upload/images/goods/e13797df-a821-4ec2-81e2-465978e5279c_09.jpg", "Фото 5")</f>
        <v>Фото 5</v>
      </c>
      <c r="U65" s="3" t="str">
        <f>HYPERLINK("http://www.paremo.ru/upload/images/goods/e13797df-a821-4ec2-81e2-465978e5279c_11.jpg", "Фото 6")</f>
        <v>Фото 6</v>
      </c>
      <c r="V65" s="3" t="str">
        <f>HYPERLINK("http://www.paremo.ru/upload/images/goods/e13797df-a821-4ec2-81e2-465978e5279c_12.jpg", "Фото 7")</f>
        <v>Фото 7</v>
      </c>
      <c r="W65" s="3" t="str">
        <f>HYPERLINK("http://www.paremo.ru/upload/images/goods/e13797df-a821-4ec2-81e2-465978e5279c_13.jpg", "Фото 8")</f>
        <v>Фото 8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 t="s">
        <v>57</v>
      </c>
      <c r="BE65" s="4">
        <v>4911990000</v>
      </c>
    </row>
    <row r="66" spans="1:57" ht="99.95" customHeight="1" x14ac:dyDescent="0.2">
      <c r="A66" s="3" t="s">
        <v>196</v>
      </c>
      <c r="B66" s="3" t="s">
        <v>264</v>
      </c>
      <c r="C66" s="3" t="s">
        <v>59</v>
      </c>
      <c r="D66" s="3" t="s">
        <v>60</v>
      </c>
      <c r="E66" s="12" t="s">
        <v>329</v>
      </c>
      <c r="F66" s="7">
        <v>694704111294</v>
      </c>
      <c r="G66" s="3" t="s">
        <v>330</v>
      </c>
      <c r="H66" s="3" t="s">
        <v>331</v>
      </c>
      <c r="I66" s="3" t="s">
        <v>76</v>
      </c>
      <c r="J66" s="3" t="s">
        <v>331</v>
      </c>
      <c r="K66" s="8">
        <v>1E-3</v>
      </c>
      <c r="L66" s="9">
        <v>0.43</v>
      </c>
      <c r="M66" s="3" t="s">
        <v>163</v>
      </c>
      <c r="N66" s="12" t="s">
        <v>332</v>
      </c>
      <c r="O66" s="3"/>
      <c r="P66" s="3" t="str">
        <f>HYPERLINK("http://www.paremo.ru/upload/images/goods/d118c7ca-92c6-48c3-89f4-25b3474e908a_11.jpg", "Фото 1")</f>
        <v>Фото 1</v>
      </c>
      <c r="Q66" s="3" t="str">
        <f>HYPERLINK("http://www.paremo.ru/upload/images/goods/d118c7ca-92c6-48c3-89f4-25b3474e908a_05.jpg", "Фото 2")</f>
        <v>Фото 2</v>
      </c>
      <c r="R66" s="3" t="str">
        <f>HYPERLINK("http://www.paremo.ru/upload/images/goods/d118c7ca-92c6-48c3-89f4-25b3474e908a_06.jpg", "Фото 3")</f>
        <v>Фото 3</v>
      </c>
      <c r="S66" s="3" t="str">
        <f>HYPERLINK("http://www.paremo.ru/upload/images/goods/d118c7ca-92c6-48c3-89f4-25b3474e908a_07.jpg", "Фото 4")</f>
        <v>Фото 4</v>
      </c>
      <c r="T66" s="3" t="str">
        <f>HYPERLINK("http://www.paremo.ru/upload/images/goods/d118c7ca-92c6-48c3-89f4-25b3474e908a_09.jpg", "Фото 5")</f>
        <v>Фото 5</v>
      </c>
      <c r="U66" s="3" t="str">
        <f>HYPERLINK("http://www.paremo.ru/upload/images/goods/d118c7ca-92c6-48c3-89f4-25b3474e908a_10.jpg", "Фото 6")</f>
        <v>Фото 6</v>
      </c>
      <c r="V66" s="3" t="str">
        <f>HYPERLINK("http://www.paremo.ru/upload/images/goods/d118c7ca-92c6-48c3-89f4-25b3474e908a_12.jpg", "Фото 7")</f>
        <v>Фото 7</v>
      </c>
      <c r="W66" s="3" t="str">
        <f>HYPERLINK("http://www.paremo.ru/upload/images/goods/d118c7ca-92c6-48c3-89f4-25b3474e908a_13.jpg", "Фото 8")</f>
        <v>Фото 8</v>
      </c>
      <c r="X66" s="3" t="str">
        <f>HYPERLINK("http://www.paremo.ru/upload/images/goods/d118c7ca-92c6-48c3-89f4-25b3474e908a_14.jpg", "Фото 9")</f>
        <v>Фото 9</v>
      </c>
      <c r="Y66" s="3" t="str">
        <f>HYPERLINK("http://www.paremo.ru/upload/images/goods/d118c7ca-92c6-48c3-89f4-25b3474e908a_15.jpg", "Фото 10")</f>
        <v>Фото 10</v>
      </c>
      <c r="Z66" s="3" t="str">
        <f>HYPERLINK("http://www.paremo.ru/upload/images/goods/d118c7ca-92c6-48c3-89f4-25b3474e908a_16.jpg", "Фото 11")</f>
        <v>Фото 11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 t="s">
        <v>57</v>
      </c>
      <c r="BE66" s="4">
        <v>4911990000</v>
      </c>
    </row>
    <row r="67" spans="1:57" ht="99.95" customHeight="1" x14ac:dyDescent="0.2">
      <c r="A67" s="3" t="s">
        <v>196</v>
      </c>
      <c r="B67" s="3" t="s">
        <v>264</v>
      </c>
      <c r="C67" s="3" t="s">
        <v>59</v>
      </c>
      <c r="D67" s="3" t="s">
        <v>60</v>
      </c>
      <c r="E67" s="12" t="s">
        <v>333</v>
      </c>
      <c r="F67" s="7">
        <v>694704111300</v>
      </c>
      <c r="G67" s="3" t="s">
        <v>334</v>
      </c>
      <c r="H67" s="3" t="s">
        <v>195</v>
      </c>
      <c r="I67" s="3" t="s">
        <v>76</v>
      </c>
      <c r="J67" s="3" t="s">
        <v>195</v>
      </c>
      <c r="K67" s="10">
        <v>3.7000000000000002E-3</v>
      </c>
      <c r="L67" s="8">
        <v>0.315</v>
      </c>
      <c r="M67" s="3" t="s">
        <v>335</v>
      </c>
      <c r="N67" s="12" t="s">
        <v>336</v>
      </c>
      <c r="O67" s="3"/>
      <c r="P67" s="3" t="str">
        <f>HYPERLINK("http://www.paremo.ru/upload/images/goods/20654c8c-220d-40e7-b4ff-421de0ad4a5b_01.jpg", "Фото 1")</f>
        <v>Фото 1</v>
      </c>
      <c r="Q67" s="3" t="str">
        <f>HYPERLINK("http://www.paremo.ru/upload/images/goods/20654c8c-220d-40e7-b4ff-421de0ad4a5b_02.jpg", "Фото 2")</f>
        <v>Фото 2</v>
      </c>
      <c r="R67" s="3" t="str">
        <f>HYPERLINK("http://www.paremo.ru/upload/images/goods/20654c8c-220d-40e7-b4ff-421de0ad4a5b_03.jpg", "Фото 3")</f>
        <v>Фото 3</v>
      </c>
      <c r="S67" s="3" t="str">
        <f>HYPERLINK("http://www.paremo.ru/upload/images/goods/20654c8c-220d-40e7-b4ff-421de0ad4a5b_04.jpg", "Фото 4")</f>
        <v>Фото 4</v>
      </c>
      <c r="T67" s="3" t="str">
        <f>HYPERLINK("http://www.paremo.ru/upload/images/goods/20654c8c-220d-40e7-b4ff-421de0ad4a5b_05.jpg", "Фото 5")</f>
        <v>Фото 5</v>
      </c>
      <c r="U67" s="3" t="str">
        <f>HYPERLINK("http://www.paremo.ru/upload/images/goods/20654c8c-220d-40e7-b4ff-421de0ad4a5b_06.jpg", "Фото 6")</f>
        <v>Фото 6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 t="s">
        <v>57</v>
      </c>
      <c r="BE67" s="4">
        <v>9503007000</v>
      </c>
    </row>
    <row r="68" spans="1:57" ht="99.95" customHeight="1" x14ac:dyDescent="0.2">
      <c r="A68" s="3" t="s">
        <v>196</v>
      </c>
      <c r="B68" s="3" t="s">
        <v>264</v>
      </c>
      <c r="C68" s="3" t="s">
        <v>59</v>
      </c>
      <c r="D68" s="3" t="s">
        <v>60</v>
      </c>
      <c r="E68" s="12" t="s">
        <v>337</v>
      </c>
      <c r="F68" s="7">
        <v>694704111317</v>
      </c>
      <c r="G68" s="3" t="s">
        <v>338</v>
      </c>
      <c r="H68" s="3" t="s">
        <v>339</v>
      </c>
      <c r="I68" s="3" t="s">
        <v>76</v>
      </c>
      <c r="J68" s="3" t="s">
        <v>339</v>
      </c>
      <c r="K68" s="5">
        <v>1.8500000000000001E-3</v>
      </c>
      <c r="L68" s="8">
        <v>0.218</v>
      </c>
      <c r="M68" s="3" t="s">
        <v>335</v>
      </c>
      <c r="N68" s="12" t="s">
        <v>340</v>
      </c>
      <c r="O68" s="3"/>
      <c r="P68" s="3" t="str">
        <f>HYPERLINK("http://www.paremo.ru/upload/images/goods/d5b9bb23-a056-4ccd-96a8-9e80c6eecffd_01.jpg", "Фото 1")</f>
        <v>Фото 1</v>
      </c>
      <c r="Q68" s="3" t="str">
        <f>HYPERLINK("http://www.paremo.ru/upload/images/goods/d5b9bb23-a056-4ccd-96a8-9e80c6eecffd_02.jpg", "Фото 2")</f>
        <v>Фото 2</v>
      </c>
      <c r="R68" s="3" t="str">
        <f>HYPERLINK("http://www.paremo.ru/upload/images/goods/d5b9bb23-a056-4ccd-96a8-9e80c6eecffd_03.jpg", "Фото 3")</f>
        <v>Фото 3</v>
      </c>
      <c r="S68" s="3" t="str">
        <f>HYPERLINK("http://www.paremo.ru/upload/images/goods/d5b9bb23-a056-4ccd-96a8-9e80c6eecffd_04.jpg", "Фото 4")</f>
        <v>Фото 4</v>
      </c>
      <c r="T68" s="3" t="str">
        <f>HYPERLINK("http://www.paremo.ru/upload/images/goods/d5b9bb23-a056-4ccd-96a8-9e80c6eecffd_05.jpg", "Фото 5")</f>
        <v>Фото 5</v>
      </c>
      <c r="U68" s="3" t="str">
        <f>HYPERLINK("http://www.paremo.ru/upload/images/goods/d5b9bb23-a056-4ccd-96a8-9e80c6eecffd_06.jpg", "Фото 6")</f>
        <v>Фото 6</v>
      </c>
      <c r="V68" s="3" t="str">
        <f>HYPERLINK("http://www.paremo.ru/upload/images/goods/d5b9bb23-a056-4ccd-96a8-9e80c6eecffd_07.jpg", "Фото 7")</f>
        <v>Фото 7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 t="s">
        <v>57</v>
      </c>
      <c r="BE68" s="4">
        <v>9503007000</v>
      </c>
    </row>
    <row r="69" spans="1:57" ht="99.95" customHeight="1" x14ac:dyDescent="0.2">
      <c r="A69" s="3" t="s">
        <v>196</v>
      </c>
      <c r="B69" s="3" t="s">
        <v>264</v>
      </c>
      <c r="C69" s="3" t="s">
        <v>59</v>
      </c>
      <c r="D69" s="3" t="s">
        <v>60</v>
      </c>
      <c r="E69" s="12" t="s">
        <v>341</v>
      </c>
      <c r="F69" s="7">
        <v>694704111348</v>
      </c>
      <c r="G69" s="3" t="s">
        <v>342</v>
      </c>
      <c r="H69" s="3" t="s">
        <v>343</v>
      </c>
      <c r="I69" s="3" t="s">
        <v>76</v>
      </c>
      <c r="J69" s="3" t="s">
        <v>343</v>
      </c>
      <c r="K69" s="5">
        <v>2.7699999999999999E-3</v>
      </c>
      <c r="L69" s="6">
        <v>0.5</v>
      </c>
      <c r="M69" s="3" t="s">
        <v>194</v>
      </c>
      <c r="N69" s="12" t="s">
        <v>344</v>
      </c>
      <c r="O69" s="3"/>
      <c r="P69" s="3" t="str">
        <f>HYPERLINK("http://www.paremo.ru/upload/images/goods/64bacd0a-01d7-41ac-aa5e-e326ba256346_01.jpg", "Фото 1")</f>
        <v>Фото 1</v>
      </c>
      <c r="Q69" s="3" t="str">
        <f>HYPERLINK("http://www.paremo.ru/upload/images/goods/64bacd0a-01d7-41ac-aa5e-e326ba256346_02.jpg", "Фото 2")</f>
        <v>Фото 2</v>
      </c>
      <c r="R69" s="3" t="str">
        <f>HYPERLINK("http://www.paremo.ru/upload/images/goods/64bacd0a-01d7-41ac-aa5e-e326ba256346_03.jpg", "Фото 3")</f>
        <v>Фото 3</v>
      </c>
      <c r="S69" s="3" t="str">
        <f>HYPERLINK("http://www.paremo.ru/upload/images/goods/64bacd0a-01d7-41ac-aa5e-e326ba256346_04.jpg", "Фото 4")</f>
        <v>Фото 4</v>
      </c>
      <c r="T69" s="3" t="str">
        <f>HYPERLINK("http://www.paremo.ru/upload/images/goods/64bacd0a-01d7-41ac-aa5e-e326ba256346_05.jpg", "Фото 5")</f>
        <v>Фото 5</v>
      </c>
      <c r="U69" s="3" t="str">
        <f>HYPERLINK("http://www.paremo.ru/upload/images/goods/64bacd0a-01d7-41ac-aa5e-e326ba256346_06.jpg", "Фото 6")</f>
        <v>Фото 6</v>
      </c>
      <c r="V69" s="3" t="str">
        <f>HYPERLINK("http://www.paremo.ru/upload/images/goods/64bacd0a-01d7-41ac-aa5e-e326ba256346_07.jpg", "Фото 7")</f>
        <v>Фото 7</v>
      </c>
      <c r="W69" s="3" t="str">
        <f>HYPERLINK("http://www.paremo.ru/upload/images/goods/64bacd0a-01d7-41ac-aa5e-e326ba256346_08.jpg", "Фото 8")</f>
        <v>Фото 8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 t="s">
        <v>57</v>
      </c>
      <c r="BE69" s="4">
        <v>7117900000</v>
      </c>
    </row>
    <row r="70" spans="1:57" ht="99.95" customHeight="1" x14ac:dyDescent="0.2">
      <c r="A70" s="3" t="s">
        <v>196</v>
      </c>
      <c r="B70" s="3" t="s">
        <v>264</v>
      </c>
      <c r="C70" s="3" t="s">
        <v>59</v>
      </c>
      <c r="D70" s="3" t="s">
        <v>60</v>
      </c>
      <c r="E70" s="12" t="s">
        <v>345</v>
      </c>
      <c r="F70" s="7">
        <v>694704111355</v>
      </c>
      <c r="G70" s="3" t="s">
        <v>346</v>
      </c>
      <c r="H70" s="3" t="s">
        <v>291</v>
      </c>
      <c r="I70" s="3" t="s">
        <v>64</v>
      </c>
      <c r="J70" s="3" t="s">
        <v>291</v>
      </c>
      <c r="K70" s="5">
        <v>2.8400000000000001E-3</v>
      </c>
      <c r="L70" s="8">
        <v>0.66200000000000003</v>
      </c>
      <c r="M70" s="3" t="s">
        <v>228</v>
      </c>
      <c r="N70" s="12" t="s">
        <v>347</v>
      </c>
      <c r="O70" s="3"/>
      <c r="P70" s="3" t="str">
        <f>HYPERLINK("http://www.paremo.ru/upload/images/goods/a3afa685-896f-40d6-9f5e-eb7cef661593_01.jpg", "Фото 1")</f>
        <v>Фото 1</v>
      </c>
      <c r="Q70" s="3" t="str">
        <f>HYPERLINK("http://www.paremo.ru/upload/images/goods/a3afa685-896f-40d6-9f5e-eb7cef661593_02.jpg", "Фото 2")</f>
        <v>Фото 2</v>
      </c>
      <c r="R70" s="3" t="str">
        <f>HYPERLINK("http://www.paremo.ru/upload/images/goods/a3afa685-896f-40d6-9f5e-eb7cef661593_03.jpg", "Фото 3")</f>
        <v>Фото 3</v>
      </c>
      <c r="S70" s="3" t="str">
        <f>HYPERLINK("http://www.paremo.ru/upload/images/goods/a3afa685-896f-40d6-9f5e-eb7cef661593_04.jpg", "Фото 4")</f>
        <v>Фото 4</v>
      </c>
      <c r="T70" s="3" t="str">
        <f>HYPERLINK("http://www.paremo.ru/upload/images/goods/a3afa685-896f-40d6-9f5e-eb7cef661593_05.jpg", "Фото 5")</f>
        <v>Фото 5</v>
      </c>
      <c r="U70" s="3" t="str">
        <f>HYPERLINK("http://www.paremo.ru/upload/images/goods/a3afa685-896f-40d6-9f5e-eb7cef661593_06.jpg", "Фото 6")</f>
        <v>Фото 6</v>
      </c>
      <c r="V70" s="3" t="str">
        <f>HYPERLINK("http://www.paremo.ru/upload/images/goods/a3afa685-896f-40d6-9f5e-eb7cef661593_07.jpg", "Фото 7")</f>
        <v>Фото 7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 t="s">
        <v>57</v>
      </c>
      <c r="BE70" s="4">
        <v>4820109000</v>
      </c>
    </row>
    <row r="71" spans="1:57" ht="99.95" customHeight="1" x14ac:dyDescent="0.2">
      <c r="A71" s="3" t="s">
        <v>196</v>
      </c>
      <c r="B71" s="3" t="s">
        <v>264</v>
      </c>
      <c r="C71" s="3" t="s">
        <v>59</v>
      </c>
      <c r="D71" s="3" t="s">
        <v>60</v>
      </c>
      <c r="E71" s="12" t="s">
        <v>348</v>
      </c>
      <c r="F71" s="7">
        <v>694704111393</v>
      </c>
      <c r="G71" s="3" t="s">
        <v>349</v>
      </c>
      <c r="H71" s="3" t="s">
        <v>296</v>
      </c>
      <c r="I71" s="3" t="s">
        <v>76</v>
      </c>
      <c r="J71" s="3" t="s">
        <v>296</v>
      </c>
      <c r="K71" s="5">
        <v>2.7599999999999999E-3</v>
      </c>
      <c r="L71" s="9">
        <v>0.45</v>
      </c>
      <c r="M71" s="3" t="s">
        <v>106</v>
      </c>
      <c r="N71" s="12" t="s">
        <v>350</v>
      </c>
      <c r="O71" s="3"/>
      <c r="P71" s="3" t="str">
        <f>HYPERLINK("http://www.paremo.ru/upload/images/goods/9eaffe01-1d9a-4cc3-8cd0-7e03b7dc8b6c_01.jpg", "Фото 1")</f>
        <v>Фото 1</v>
      </c>
      <c r="Q71" s="3" t="str">
        <f>HYPERLINK("http://www.paremo.ru/upload/images/goods/9eaffe01-1d9a-4cc3-8cd0-7e03b7dc8b6c_02.jpg", "Фото 2")</f>
        <v>Фото 2</v>
      </c>
      <c r="R71" s="3" t="str">
        <f>HYPERLINK("http://www.paremo.ru/upload/images/goods/9eaffe01-1d9a-4cc3-8cd0-7e03b7dc8b6c_03.jpg", "Фото 3")</f>
        <v>Фото 3</v>
      </c>
      <c r="S71" s="3" t="str">
        <f>HYPERLINK("http://www.paremo.ru/upload/images/goods/9eaffe01-1d9a-4cc3-8cd0-7e03b7dc8b6c_04.jpg", "Фото 4")</f>
        <v>Фото 4</v>
      </c>
      <c r="T71" s="3" t="str">
        <f>HYPERLINK("http://www.paremo.ru/upload/images/goods/9eaffe01-1d9a-4cc3-8cd0-7e03b7dc8b6c_05.jpg", "Фото 5")</f>
        <v>Фото 5</v>
      </c>
      <c r="U71" s="3" t="str">
        <f>HYPERLINK("http://www.paremo.ru/upload/images/goods/9eaffe01-1d9a-4cc3-8cd0-7e03b7dc8b6c_06.jpg", "Фото 6")</f>
        <v>Фото 6</v>
      </c>
      <c r="V71" s="3" t="str">
        <f>HYPERLINK("http://www.paremo.ru/upload/images/goods/9eaffe01-1d9a-4cc3-8cd0-7e03b7dc8b6c_07.jpg", "Фото 7")</f>
        <v>Фото 7</v>
      </c>
      <c r="W71" s="3" t="str">
        <f>HYPERLINK("http://www.paremo.ru/upload/images/goods/9eaffe01-1d9a-4cc3-8cd0-7e03b7dc8b6c_08.jpg", "Фото 8")</f>
        <v>Фото 8</v>
      </c>
      <c r="X71" s="3" t="str">
        <f>HYPERLINK("http://www.paremo.ru/upload/images/goods/9eaffe01-1d9a-4cc3-8cd0-7e03b7dc8b6c_09.jpg", "Фото 9")</f>
        <v>Фото 9</v>
      </c>
      <c r="Y71" s="3" t="str">
        <f>HYPERLINK("http://www.paremo.ru/upload/images/goods/9eaffe01-1d9a-4cc3-8cd0-7e03b7dc8b6c_10.jpg", "Фото 10")</f>
        <v>Фото 10</v>
      </c>
      <c r="Z71" s="3" t="str">
        <f>HYPERLINK("http://www.paremo.ru/upload/images/goods/9eaffe01-1d9a-4cc3-8cd0-7e03b7dc8b6c_11.jpg", "Фото 11")</f>
        <v>Фото 11</v>
      </c>
      <c r="AA71" s="3" t="str">
        <f>HYPERLINK("http://www.paremo.ru/upload/images/goods/9eaffe01-1d9a-4cc3-8cd0-7e03b7dc8b6c_12.jpg", "Фото 12")</f>
        <v>Фото 12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 t="s">
        <v>57</v>
      </c>
      <c r="BE71" s="4">
        <v>9503007000</v>
      </c>
    </row>
    <row r="72" spans="1:57" ht="99.95" customHeight="1" x14ac:dyDescent="0.2">
      <c r="A72" s="3" t="s">
        <v>196</v>
      </c>
      <c r="B72" s="3" t="s">
        <v>264</v>
      </c>
      <c r="C72" s="3" t="s">
        <v>59</v>
      </c>
      <c r="D72" s="3" t="s">
        <v>60</v>
      </c>
      <c r="E72" s="12" t="s">
        <v>351</v>
      </c>
      <c r="F72" s="7">
        <v>694704112024</v>
      </c>
      <c r="G72" s="3" t="s">
        <v>352</v>
      </c>
      <c r="H72" s="3" t="s">
        <v>353</v>
      </c>
      <c r="I72" s="3" t="s">
        <v>76</v>
      </c>
      <c r="J72" s="3" t="s">
        <v>353</v>
      </c>
      <c r="K72" s="5">
        <v>1.3729999999999999E-2</v>
      </c>
      <c r="L72" s="9">
        <v>0.84</v>
      </c>
      <c r="M72" s="3" t="s">
        <v>354</v>
      </c>
      <c r="N72" s="12" t="s">
        <v>355</v>
      </c>
      <c r="O72" s="3"/>
      <c r="P72" s="3" t="str">
        <f>HYPERLINK("http://www.paremo.ru/upload/images/goods/aaacbc71-46b3-4f2d-a80c-0cf99d5576e8_01.jpg", "Фото 1")</f>
        <v>Фото 1</v>
      </c>
      <c r="Q72" s="3" t="str">
        <f>HYPERLINK("http://www.paremo.ru/upload/images/goods/aaacbc71-46b3-4f2d-a80c-0cf99d5576e8_02.jpg", "Фото 2")</f>
        <v>Фото 2</v>
      </c>
      <c r="R72" s="3" t="str">
        <f>HYPERLINK("http://www.paremo.ru/upload/images/goods/aaacbc71-46b3-4f2d-a80c-0cf99d5576e8_03.jpg", "Фото 3")</f>
        <v>Фото 3</v>
      </c>
      <c r="S72" s="3" t="str">
        <f>HYPERLINK("http://www.paremo.ru/upload/images/goods/aaacbc71-46b3-4f2d-a80c-0cf99d5576e8_04.jpg", "Фото 4")</f>
        <v>Фото 4</v>
      </c>
      <c r="T72" s="3" t="str">
        <f>HYPERLINK("http://www.paremo.ru/upload/images/goods/aaacbc71-46b3-4f2d-a80c-0cf99d5576e8_05.jpg", "Фото 5")</f>
        <v>Фото 5</v>
      </c>
      <c r="U72" s="3" t="str">
        <f>HYPERLINK("http://www.paremo.ru/upload/images/goods/aaacbc71-46b3-4f2d-a80c-0cf99d5576e8_06.jpg", "Фото 6")</f>
        <v>Фото 6</v>
      </c>
      <c r="V72" s="3" t="str">
        <f>HYPERLINK("http://www.paremo.ru/upload/images/goods/aaacbc71-46b3-4f2d-a80c-0cf99d5576e8_07.jpg", "Фото 7")</f>
        <v>Фото 7</v>
      </c>
      <c r="W72" s="3" t="str">
        <f>HYPERLINK("http://www.paremo.ru/upload/images/goods/aaacbc71-46b3-4f2d-a80c-0cf99d5576e8_08.jpg", "Фото 8")</f>
        <v>Фото 8</v>
      </c>
      <c r="X72" s="3" t="str">
        <f>HYPERLINK("http://www.paremo.ru/upload/images/goods/aaacbc71-46b3-4f2d-a80c-0cf99d5576e8_09.jpg", "Фото 9")</f>
        <v>Фото 9</v>
      </c>
      <c r="Y72" s="3" t="str">
        <f>HYPERLINK("http://www.paremo.ru/upload/images/goods/aaacbc71-46b3-4f2d-a80c-0cf99d5576e8_10.jpg", "Фото 10")</f>
        <v>Фото 10</v>
      </c>
      <c r="Z72" s="3" t="str">
        <f>HYPERLINK("http://www.paremo.ru/upload/images/goods/aaacbc71-46b3-4f2d-a80c-0cf99d5576e8_11.jpg", "Фото 11")</f>
        <v>Фото 11</v>
      </c>
      <c r="AA72" s="3" t="str">
        <f>HYPERLINK("http://www.paremo.ru/upload/images/goods/aaacbc71-46b3-4f2d-a80c-0cf99d5576e8_12.jpg", "Фото 12")</f>
        <v>Фото 12</v>
      </c>
      <c r="AB72" s="3" t="str">
        <f>HYPERLINK("http://www.paremo.ru/upload/images/goods/aaacbc71-46b3-4f2d-a80c-0cf99d5576e8_13.jpg", "Фото 13")</f>
        <v>Фото 13</v>
      </c>
      <c r="AC72" s="3" t="str">
        <f>HYPERLINK("http://www.paremo.ru/upload/images/goods/aaacbc71-46b3-4f2d-a80c-0cf99d5576e8_14.jpg", "Фото 14")</f>
        <v>Фото 14</v>
      </c>
      <c r="AD72" s="3" t="str">
        <f>HYPERLINK("http://www.paremo.ru/upload/images/goods/aaacbc71-46b3-4f2d-a80c-0cf99d5576e8_15.jpg", "Фото 15")</f>
        <v>Фото 15</v>
      </c>
      <c r="AE72" s="3" t="str">
        <f>HYPERLINK("http://www.paremo.ru/upload/images/goods/aaacbc71-46b3-4f2d-a80c-0cf99d5576e8_16.jpg", "Фото 16")</f>
        <v>Фото 16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 t="s">
        <v>57</v>
      </c>
      <c r="BE72" s="4">
        <v>9503007000</v>
      </c>
    </row>
    <row r="73" spans="1:57" ht="99.95" customHeight="1" x14ac:dyDescent="0.2">
      <c r="A73" s="3" t="s">
        <v>196</v>
      </c>
      <c r="B73" s="3" t="s">
        <v>264</v>
      </c>
      <c r="C73" s="3" t="s">
        <v>59</v>
      </c>
      <c r="D73" s="3" t="s">
        <v>60</v>
      </c>
      <c r="E73" s="12" t="s">
        <v>356</v>
      </c>
      <c r="F73" s="7">
        <v>694704112031</v>
      </c>
      <c r="G73" s="3" t="s">
        <v>357</v>
      </c>
      <c r="H73" s="3" t="s">
        <v>353</v>
      </c>
      <c r="I73" s="3" t="s">
        <v>76</v>
      </c>
      <c r="J73" s="3" t="s">
        <v>353</v>
      </c>
      <c r="K73" s="5">
        <v>1.3729999999999999E-2</v>
      </c>
      <c r="L73" s="9">
        <v>0.63</v>
      </c>
      <c r="M73" s="3" t="s">
        <v>164</v>
      </c>
      <c r="N73" s="12" t="s">
        <v>358</v>
      </c>
      <c r="O73" s="3"/>
      <c r="P73" s="3" t="str">
        <f>HYPERLINK("http://www.paremo.ru/upload/images/goods/588c4562-bf87-49d3-81b0-d8aaadc143da_01.jpg", "Фото 1")</f>
        <v>Фото 1</v>
      </c>
      <c r="Q73" s="3" t="str">
        <f>HYPERLINK("http://www.paremo.ru/upload/images/goods/588c4562-bf87-49d3-81b0-d8aaadc143da_02.jpg", "Фото 2")</f>
        <v>Фото 2</v>
      </c>
      <c r="R73" s="3" t="str">
        <f>HYPERLINK("http://www.paremo.ru/upload/images/goods/588c4562-bf87-49d3-81b0-d8aaadc143da_03.jpg", "Фото 3")</f>
        <v>Фото 3</v>
      </c>
      <c r="S73" s="3" t="str">
        <f>HYPERLINK("http://www.paremo.ru/upload/images/goods/588c4562-bf87-49d3-81b0-d8aaadc143da_04.jpg", "Фото 4")</f>
        <v>Фото 4</v>
      </c>
      <c r="T73" s="3" t="str">
        <f>HYPERLINK("http://www.paremo.ru/upload/images/goods/588c4562-bf87-49d3-81b0-d8aaadc143da_05.jpg", "Фото 5")</f>
        <v>Фото 5</v>
      </c>
      <c r="U73" s="3" t="str">
        <f>HYPERLINK("http://www.paremo.ru/upload/images/goods/588c4562-bf87-49d3-81b0-d8aaadc143da_06.jpg", "Фото 6")</f>
        <v>Фото 6</v>
      </c>
      <c r="V73" s="3" t="str">
        <f>HYPERLINK("http://www.paremo.ru/upload/images/goods/588c4562-bf87-49d3-81b0-d8aaadc143da_07.jpg", "Фото 7")</f>
        <v>Фото 7</v>
      </c>
      <c r="W73" s="3" t="str">
        <f>HYPERLINK("http://www.paremo.ru/upload/images/goods/588c4562-bf87-49d3-81b0-d8aaadc143da_08.jpg", "Фото 8")</f>
        <v>Фото 8</v>
      </c>
      <c r="X73" s="3" t="str">
        <f>HYPERLINK("http://www.paremo.ru/upload/images/goods/588c4562-bf87-49d3-81b0-d8aaadc143da_09.jpg", "Фото 9")</f>
        <v>Фото 9</v>
      </c>
      <c r="Y73" s="3" t="str">
        <f>HYPERLINK("http://www.paremo.ru/upload/images/goods/588c4562-bf87-49d3-81b0-d8aaadc143da_10.jpg", "Фото 10")</f>
        <v>Фото 10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 t="s">
        <v>57</v>
      </c>
      <c r="BE73" s="4">
        <v>9503007000</v>
      </c>
    </row>
    <row r="74" spans="1:57" ht="99.95" customHeight="1" x14ac:dyDescent="0.2">
      <c r="A74" s="3" t="s">
        <v>196</v>
      </c>
      <c r="B74" s="3" t="s">
        <v>264</v>
      </c>
      <c r="C74" s="3" t="s">
        <v>59</v>
      </c>
      <c r="D74" s="3" t="s">
        <v>60</v>
      </c>
      <c r="E74" s="12" t="s">
        <v>359</v>
      </c>
      <c r="F74" s="7">
        <v>694704112055</v>
      </c>
      <c r="G74" s="3" t="s">
        <v>360</v>
      </c>
      <c r="H74" s="3" t="s">
        <v>361</v>
      </c>
      <c r="I74" s="3" t="s">
        <v>76</v>
      </c>
      <c r="J74" s="3" t="s">
        <v>361</v>
      </c>
      <c r="K74" s="5">
        <v>9.6600000000000002E-3</v>
      </c>
      <c r="L74" s="9">
        <v>0.86</v>
      </c>
      <c r="M74" s="3" t="s">
        <v>362</v>
      </c>
      <c r="N74" s="12" t="s">
        <v>363</v>
      </c>
      <c r="O74" s="3"/>
      <c r="P74" s="3" t="str">
        <f>HYPERLINK("http://www.paremo.ru/upload/images/goods/1693d21c-8932-49fb-94b0-f8e9a457f887_01.jpg", "Фото 1")</f>
        <v>Фото 1</v>
      </c>
      <c r="Q74" s="3" t="str">
        <f>HYPERLINK("http://www.paremo.ru/upload/images/goods/1693d21c-8932-49fb-94b0-f8e9a457f887_02.jpg", "Фото 2")</f>
        <v>Фото 2</v>
      </c>
      <c r="R74" s="3" t="str">
        <f>HYPERLINK("http://www.paremo.ru/upload/images/goods/1693d21c-8932-49fb-94b0-f8e9a457f887_03.jpg", "Фото 3")</f>
        <v>Фото 3</v>
      </c>
      <c r="S74" s="3" t="str">
        <f>HYPERLINK("http://www.paremo.ru/upload/images/goods/1693d21c-8932-49fb-94b0-f8e9a457f887_04.jpg", "Фото 4")</f>
        <v>Фото 4</v>
      </c>
      <c r="T74" s="3" t="str">
        <f>HYPERLINK("http://www.paremo.ru/upload/images/goods/1693d21c-8932-49fb-94b0-f8e9a457f887_05.jpg", "Фото 5")</f>
        <v>Фото 5</v>
      </c>
      <c r="U74" s="3" t="str">
        <f>HYPERLINK("http://www.paremo.ru/upload/images/goods/1693d21c-8932-49fb-94b0-f8e9a457f887_06.jpg", "Фото 6")</f>
        <v>Фото 6</v>
      </c>
      <c r="V74" s="3" t="str">
        <f>HYPERLINK("http://www.paremo.ru/upload/images/goods/1693d21c-8932-49fb-94b0-f8e9a457f887_07.jpg", "Фото 7")</f>
        <v>Фото 7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 t="s">
        <v>364</v>
      </c>
      <c r="BD74" s="3" t="s">
        <v>57</v>
      </c>
      <c r="BE74" s="4">
        <v>9503007000</v>
      </c>
    </row>
    <row r="75" spans="1:57" ht="99.95" customHeight="1" x14ac:dyDescent="0.2">
      <c r="A75" s="3" t="s">
        <v>196</v>
      </c>
      <c r="B75" s="3" t="s">
        <v>264</v>
      </c>
      <c r="C75" s="3" t="s">
        <v>59</v>
      </c>
      <c r="D75" s="3" t="s">
        <v>60</v>
      </c>
      <c r="E75" s="12" t="s">
        <v>365</v>
      </c>
      <c r="F75" s="7">
        <v>694704112062</v>
      </c>
      <c r="G75" s="3" t="s">
        <v>366</v>
      </c>
      <c r="H75" s="3" t="s">
        <v>367</v>
      </c>
      <c r="I75" s="3" t="s">
        <v>76</v>
      </c>
      <c r="J75" s="3" t="s">
        <v>367</v>
      </c>
      <c r="K75" s="5">
        <v>1.678E-2</v>
      </c>
      <c r="L75" s="9">
        <v>1.55</v>
      </c>
      <c r="M75" s="3" t="s">
        <v>164</v>
      </c>
      <c r="N75" s="12" t="s">
        <v>368</v>
      </c>
      <c r="O75" s="3"/>
      <c r="P75" s="3" t="str">
        <f>HYPERLINK("http://www.paremo.ru/upload/images/goods/b4e80926-db00-4428-a463-3fc9e3bade17_01.jpg", "Фото 1")</f>
        <v>Фото 1</v>
      </c>
      <c r="Q75" s="3" t="str">
        <f>HYPERLINK("http://www.paremo.ru/upload/images/goods/b4e80926-db00-4428-a463-3fc9e3bade17_10.jpg", "Фото 2")</f>
        <v>Фото 2</v>
      </c>
      <c r="R75" s="3" t="str">
        <f>HYPERLINK("http://www.paremo.ru/upload/images/goods/b4e80926-db00-4428-a463-3fc9e3bade17_18.jpg", "Фото 3")</f>
        <v>Фото 3</v>
      </c>
      <c r="S75" s="3" t="str">
        <f>HYPERLINK("http://www.paremo.ru/upload/images/goods/b4e80926-db00-4428-a463-3fc9e3bade17_17.jpg", "Фото 4")</f>
        <v>Фото 4</v>
      </c>
      <c r="T75" s="3" t="str">
        <f>HYPERLINK("http://www.paremo.ru/upload/images/goods/b4e80926-db00-4428-a463-3fc9e3bade17_16.jpg", "Фото 5")</f>
        <v>Фото 5</v>
      </c>
      <c r="U75" s="3" t="str">
        <f>HYPERLINK("http://www.paremo.ru/upload/images/goods/b4e80926-db00-4428-a463-3fc9e3bade17_15.jpg", "Фото 6")</f>
        <v>Фото 6</v>
      </c>
      <c r="V75" s="3" t="str">
        <f>HYPERLINK("http://www.paremo.ru/upload/images/goods/b4e80926-db00-4428-a463-3fc9e3bade17_14.jpg", "Фото 7")</f>
        <v>Фото 7</v>
      </c>
      <c r="W75" s="3" t="str">
        <f>HYPERLINK("http://www.paremo.ru/upload/images/goods/b4e80926-db00-4428-a463-3fc9e3bade17_13.jpg", "Фото 8")</f>
        <v>Фото 8</v>
      </c>
      <c r="X75" s="3" t="str">
        <f>HYPERLINK("http://www.paremo.ru/upload/images/goods/b4e80926-db00-4428-a463-3fc9e3bade17_12.jpg", "Фото 9")</f>
        <v>Фото 9</v>
      </c>
      <c r="Y75" s="3" t="str">
        <f>HYPERLINK("http://www.paremo.ru/upload/images/goods/b4e80926-db00-4428-a463-3fc9e3bade17_11.jpg", "Фото 10")</f>
        <v>Фото 10</v>
      </c>
      <c r="Z75" s="3" t="str">
        <f>HYPERLINK("http://www.paremo.ru/upload/images/goods/b4e80926-db00-4428-a463-3fc9e3bade17_09.jpg", "Фото 11")</f>
        <v>Фото 11</v>
      </c>
      <c r="AA75" s="3" t="str">
        <f>HYPERLINK("http://www.paremo.ru/upload/images/goods/b4e80926-db00-4428-a463-3fc9e3bade17_08.jpg", "Фото 12")</f>
        <v>Фото 12</v>
      </c>
      <c r="AB75" s="3" t="str">
        <f>HYPERLINK("http://www.paremo.ru/upload/images/goods/b4e80926-db00-4428-a463-3fc9e3bade17_07.jpg", "Фото 13")</f>
        <v>Фото 13</v>
      </c>
      <c r="AC75" s="3" t="str">
        <f>HYPERLINK("http://www.paremo.ru/upload/images/goods/b4e80926-db00-4428-a463-3fc9e3bade17_06.jpg", "Фото 14")</f>
        <v>Фото 14</v>
      </c>
      <c r="AD75" s="3" t="str">
        <f>HYPERLINK("http://www.paremo.ru/upload/images/goods/b4e80926-db00-4428-a463-3fc9e3bade17_05.jpg", "Фото 15")</f>
        <v>Фото 15</v>
      </c>
      <c r="AE75" s="3" t="str">
        <f>HYPERLINK("http://www.paremo.ru/upload/images/goods/b4e80926-db00-4428-a463-3fc9e3bade17_04.jpg", "Фото 16")</f>
        <v>Фото 16</v>
      </c>
      <c r="AF75" s="3" t="str">
        <f>HYPERLINK("http://www.paremo.ru/upload/images/goods/b4e80926-db00-4428-a463-3fc9e3bade17_03.jpg", "Фото 17")</f>
        <v>Фото 17</v>
      </c>
      <c r="AG75" s="3" t="str">
        <f>HYPERLINK("http://www.paremo.ru/upload/images/goods/b4e80926-db00-4428-a463-3fc9e3bade17_02.jpg", "Фото 18")</f>
        <v>Фото 18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 t="s">
        <v>57</v>
      </c>
      <c r="BE75" s="4">
        <v>9503007000</v>
      </c>
    </row>
    <row r="76" spans="1:57" ht="99.95" customHeight="1" x14ac:dyDescent="0.2">
      <c r="A76" s="3" t="s">
        <v>196</v>
      </c>
      <c r="B76" s="3" t="s">
        <v>264</v>
      </c>
      <c r="C76" s="3" t="s">
        <v>59</v>
      </c>
      <c r="D76" s="3" t="s">
        <v>60</v>
      </c>
      <c r="E76" s="12" t="s">
        <v>369</v>
      </c>
      <c r="F76" s="7">
        <v>694704112079</v>
      </c>
      <c r="G76" s="3" t="s">
        <v>370</v>
      </c>
      <c r="H76" s="3" t="s">
        <v>361</v>
      </c>
      <c r="I76" s="3" t="s">
        <v>76</v>
      </c>
      <c r="J76" s="3" t="s">
        <v>361</v>
      </c>
      <c r="K76" s="5">
        <v>9.6600000000000002E-3</v>
      </c>
      <c r="L76" s="6">
        <v>0.7</v>
      </c>
      <c r="M76" s="3" t="s">
        <v>278</v>
      </c>
      <c r="N76" s="12" t="s">
        <v>371</v>
      </c>
      <c r="O76" s="3"/>
      <c r="P76" s="3" t="str">
        <f>HYPERLINK("http://www.paremo.ru/upload/images/goods/b0a82156-1876-11e2-4398-5404a6b1dcb9_01.jpg", "Фото 1")</f>
        <v>Фото 1</v>
      </c>
      <c r="Q76" s="3" t="str">
        <f>HYPERLINK("http://www.paremo.ru/upload/images/goods/b0a82156-1876-11e2-4398-5404a6b1dcb9_02.jpg", "Фото 2")</f>
        <v>Фото 2</v>
      </c>
      <c r="R76" s="3" t="str">
        <f>HYPERLINK("http://www.paremo.ru/upload/images/goods/b0a82156-1876-11e2-4398-5404a6b1dcb9_03.jpg", "Фото 3")</f>
        <v>Фото 3</v>
      </c>
      <c r="S76" s="3" t="str">
        <f>HYPERLINK("http://www.paremo.ru/upload/images/goods/b0a82156-1876-11e2-4398-5404a6b1dcb9_04.jpg", "Фото 4")</f>
        <v>Фото 4</v>
      </c>
      <c r="T76" s="3" t="str">
        <f>HYPERLINK("http://www.paremo.ru/upload/images/goods/b0a82156-1876-11e2-4398-5404a6b1dcb9_05.jpg", "Фото 5")</f>
        <v>Фото 5</v>
      </c>
      <c r="U76" s="3" t="str">
        <f>HYPERLINK("http://www.paremo.ru/upload/images/goods/b0a82156-1876-11e2-4398-5404a6b1dcb9_06.jpg", "Фото 6")</f>
        <v>Фото 6</v>
      </c>
      <c r="V76" s="3" t="str">
        <f>HYPERLINK("http://www.paremo.ru/upload/images/goods/b0a82156-1876-11e2-4398-5404a6b1dcb9_07.jpg", "Фото 7")</f>
        <v>Фото 7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 t="s">
        <v>372</v>
      </c>
      <c r="BD76" s="3" t="s">
        <v>57</v>
      </c>
      <c r="BE76" s="4">
        <v>9503007000</v>
      </c>
    </row>
    <row r="77" spans="1:57" ht="99.95" customHeight="1" x14ac:dyDescent="0.2">
      <c r="A77" s="3" t="s">
        <v>196</v>
      </c>
      <c r="B77" s="3" t="s">
        <v>264</v>
      </c>
      <c r="C77" s="3" t="s">
        <v>59</v>
      </c>
      <c r="D77" s="3" t="s">
        <v>60</v>
      </c>
      <c r="E77" s="12" t="s">
        <v>373</v>
      </c>
      <c r="F77" s="7">
        <v>694704112086</v>
      </c>
      <c r="G77" s="3" t="s">
        <v>374</v>
      </c>
      <c r="H77" s="3" t="s">
        <v>375</v>
      </c>
      <c r="I77" s="3" t="s">
        <v>76</v>
      </c>
      <c r="J77" s="3" t="s">
        <v>375</v>
      </c>
      <c r="K77" s="5">
        <v>9.9100000000000004E-3</v>
      </c>
      <c r="L77" s="8">
        <v>0.71499999999999997</v>
      </c>
      <c r="M77" s="3" t="s">
        <v>164</v>
      </c>
      <c r="N77" s="12" t="s">
        <v>376</v>
      </c>
      <c r="O77" s="3"/>
      <c r="P77" s="3" t="str">
        <f>HYPERLINK("http://www.paremo.ru/upload/images/goods/d3f727a6-283c-4fb7-914e-004e983fa1db_01.jpg", "Фото 1")</f>
        <v>Фото 1</v>
      </c>
      <c r="Q77" s="3" t="str">
        <f>HYPERLINK("http://www.paremo.ru/upload/images/goods/d3f727a6-283c-4fb7-914e-004e983fa1db_02.jpg", "Фото 2")</f>
        <v>Фото 2</v>
      </c>
      <c r="R77" s="3" t="str">
        <f>HYPERLINK("http://www.paremo.ru/upload/images/goods/d3f727a6-283c-4fb7-914e-004e983fa1db_03.jpg", "Фото 3")</f>
        <v>Фото 3</v>
      </c>
      <c r="S77" s="3" t="str">
        <f>HYPERLINK("http://www.paremo.ru/upload/images/goods/d3f727a6-283c-4fb7-914e-004e983fa1db_04.jpg", "Фото 4")</f>
        <v>Фото 4</v>
      </c>
      <c r="T77" s="3" t="str">
        <f>HYPERLINK("http://www.paremo.ru/upload/images/goods/d3f727a6-283c-4fb7-914e-004e983fa1db_05.jpg", "Фото 5")</f>
        <v>Фото 5</v>
      </c>
      <c r="U77" s="3" t="str">
        <f>HYPERLINK("http://www.paremo.ru/upload/images/goods/d3f727a6-283c-4fb7-914e-004e983fa1db_06.jpg", "Фото 6")</f>
        <v>Фото 6</v>
      </c>
      <c r="V77" s="3" t="str">
        <f>HYPERLINK("http://www.paremo.ru/upload/images/goods/d3f727a6-283c-4fb7-914e-004e983fa1db_07.jpg", "Фото 7")</f>
        <v>Фото 7</v>
      </c>
      <c r="W77" s="3" t="str">
        <f>HYPERLINK("http://www.paremo.ru/upload/images/goods/d3f727a6-283c-4fb7-914e-004e983fa1db_08.jpg", "Фото 8")</f>
        <v>Фото 8</v>
      </c>
      <c r="X77" s="3" t="str">
        <f>HYPERLINK("http://www.paremo.ru/upload/images/goods/d3f727a6-283c-4fb7-914e-004e983fa1db_09.jpg", "Фото 9")</f>
        <v>Фото 9</v>
      </c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 t="s">
        <v>57</v>
      </c>
      <c r="BE77" s="4">
        <v>7117900000</v>
      </c>
    </row>
    <row r="78" spans="1:57" ht="99.95" customHeight="1" x14ac:dyDescent="0.2">
      <c r="A78" s="3" t="s">
        <v>196</v>
      </c>
      <c r="B78" s="3" t="s">
        <v>264</v>
      </c>
      <c r="C78" s="3" t="s">
        <v>59</v>
      </c>
      <c r="D78" s="3" t="s">
        <v>60</v>
      </c>
      <c r="E78" s="12" t="s">
        <v>377</v>
      </c>
      <c r="F78" s="7">
        <v>694704112093</v>
      </c>
      <c r="G78" s="3" t="s">
        <v>378</v>
      </c>
      <c r="H78" s="3" t="s">
        <v>375</v>
      </c>
      <c r="I78" s="3" t="s">
        <v>76</v>
      </c>
      <c r="J78" s="3" t="s">
        <v>375</v>
      </c>
      <c r="K78" s="5">
        <v>9.9100000000000004E-3</v>
      </c>
      <c r="L78" s="9">
        <v>0.44</v>
      </c>
      <c r="M78" s="3" t="s">
        <v>164</v>
      </c>
      <c r="N78" s="12" t="s">
        <v>379</v>
      </c>
      <c r="O78" s="3"/>
      <c r="P78" s="3" t="str">
        <f>HYPERLINK("http://www.paremo.ru/upload/images/goods/0cc83237-d5b6-4b63-b8eb-9bc41b69cbb0_01.jpg", "Фото 1")</f>
        <v>Фото 1</v>
      </c>
      <c r="Q78" s="3" t="str">
        <f>HYPERLINK("http://www.paremo.ru/upload/images/goods/0cc83237-d5b6-4b63-b8eb-9bc41b69cbb0_02.jpg", "Фото 2")</f>
        <v>Фото 2</v>
      </c>
      <c r="R78" s="3" t="str">
        <f>HYPERLINK("http://www.paremo.ru/upload/images/goods/0cc83237-d5b6-4b63-b8eb-9bc41b69cbb0_03.jpg", "Фото 3")</f>
        <v>Фото 3</v>
      </c>
      <c r="S78" s="3" t="str">
        <f>HYPERLINK("http://www.paremo.ru/upload/images/goods/0cc83237-d5b6-4b63-b8eb-9bc41b69cbb0_04.jpg", "Фото 4")</f>
        <v>Фото 4</v>
      </c>
      <c r="T78" s="3" t="str">
        <f>HYPERLINK("http://www.paremo.ru/upload/images/goods/0cc83237-d5b6-4b63-b8eb-9bc41b69cbb0_05.jpg", "Фото 5")</f>
        <v>Фото 5</v>
      </c>
      <c r="U78" s="3" t="str">
        <f>HYPERLINK("http://www.paremo.ru/upload/images/goods/0cc83237-d5b6-4b63-b8eb-9bc41b69cbb0_06.jpg", "Фото 6")</f>
        <v>Фото 6</v>
      </c>
      <c r="V78" s="3" t="str">
        <f>HYPERLINK("http://www.paremo.ru/upload/images/goods/0cc83237-d5b6-4b63-b8eb-9bc41b69cbb0_07.jpg", "Фото 7")</f>
        <v>Фото 7</v>
      </c>
      <c r="W78" s="3" t="str">
        <f>HYPERLINK("http://www.paremo.ru/upload/images/goods/0cc83237-d5b6-4b63-b8eb-9bc41b69cbb0_08.jpg", "Фото 8")</f>
        <v>Фото 8</v>
      </c>
      <c r="X78" s="3" t="str">
        <f>HYPERLINK("http://www.paremo.ru/upload/images/goods/0cc83237-d5b6-4b63-b8eb-9bc41b69cbb0_09.jpg", "Фото 9")</f>
        <v>Фото 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 t="s">
        <v>57</v>
      </c>
      <c r="BE78" s="4">
        <v>9503007000</v>
      </c>
    </row>
    <row r="79" spans="1:57" ht="99.95" customHeight="1" x14ac:dyDescent="0.2">
      <c r="A79" s="3" t="s">
        <v>196</v>
      </c>
      <c r="B79" s="3" t="s">
        <v>264</v>
      </c>
      <c r="C79" s="3" t="s">
        <v>59</v>
      </c>
      <c r="D79" s="3" t="s">
        <v>60</v>
      </c>
      <c r="E79" s="12" t="s">
        <v>380</v>
      </c>
      <c r="F79" s="7">
        <v>694704112130</v>
      </c>
      <c r="G79" s="3" t="s">
        <v>381</v>
      </c>
      <c r="H79" s="3" t="s">
        <v>382</v>
      </c>
      <c r="I79" s="3" t="s">
        <v>76</v>
      </c>
      <c r="J79" s="3" t="s">
        <v>382</v>
      </c>
      <c r="K79" s="5">
        <v>1.086E-2</v>
      </c>
      <c r="L79" s="4">
        <v>0</v>
      </c>
      <c r="M79" s="3" t="s">
        <v>65</v>
      </c>
      <c r="N79" s="12" t="s">
        <v>383</v>
      </c>
      <c r="O79" s="3"/>
      <c r="P79" s="3" t="str">
        <f>HYPERLINK("http://www.paremo.ru/upload/images/goods/41c36bce-acf1-424b-80ab-e60a0f6cdf1d_01.jpg", "Фото 1")</f>
        <v>Фото 1</v>
      </c>
      <c r="Q79" s="3" t="str">
        <f>HYPERLINK("http://www.paremo.ru/upload/images/goods/41c36bce-acf1-424b-80ab-e60a0f6cdf1d_02.jpg", "Фото 2")</f>
        <v>Фото 2</v>
      </c>
      <c r="R79" s="3" t="str">
        <f>HYPERLINK("http://www.paremo.ru/upload/images/goods/41c36bce-acf1-424b-80ab-e60a0f6cdf1d_03.jpg", "Фото 3")</f>
        <v>Фото 3</v>
      </c>
      <c r="S79" s="3" t="str">
        <f>HYPERLINK("http://www.paremo.ru/upload/images/goods/41c36bce-acf1-424b-80ab-e60a0f6cdf1d_04.jpg", "Фото 4")</f>
        <v>Фото 4</v>
      </c>
      <c r="T79" s="3" t="str">
        <f>HYPERLINK("http://www.paremo.ru/upload/images/goods/41c36bce-acf1-424b-80ab-e60a0f6cdf1d_05.jpg", "Фото 5")</f>
        <v>Фото 5</v>
      </c>
      <c r="U79" s="3" t="str">
        <f>HYPERLINK("http://www.paremo.ru/upload/images/goods/41c36bce-acf1-424b-80ab-e60a0f6cdf1d_06.jpg", "Фото 6")</f>
        <v>Фото 6</v>
      </c>
      <c r="V79" s="3" t="str">
        <f>HYPERLINK("http://www.paremo.ru/upload/images/goods/41c36bce-acf1-424b-80ab-e60a0f6cdf1d_07.jpg", "Фото 7")</f>
        <v>Фото 7</v>
      </c>
      <c r="W79" s="3" t="str">
        <f>HYPERLINK("http://www.paremo.ru/upload/images/goods/41c36bce-acf1-424b-80ab-e60a0f6cdf1d_08.jpg", "Фото 8")</f>
        <v>Фото 8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 t="s">
        <v>57</v>
      </c>
      <c r="BE79" s="4">
        <v>9503007000</v>
      </c>
    </row>
    <row r="80" spans="1:57" ht="99.95" customHeight="1" x14ac:dyDescent="0.2">
      <c r="A80" s="3" t="s">
        <v>196</v>
      </c>
      <c r="B80" s="3" t="s">
        <v>264</v>
      </c>
      <c r="C80" s="3" t="s">
        <v>59</v>
      </c>
      <c r="D80" s="3" t="s">
        <v>60</v>
      </c>
      <c r="E80" s="12" t="s">
        <v>384</v>
      </c>
      <c r="F80" s="7">
        <v>694704113052</v>
      </c>
      <c r="G80" s="3" t="s">
        <v>385</v>
      </c>
      <c r="H80" s="3" t="s">
        <v>265</v>
      </c>
      <c r="I80" s="3" t="s">
        <v>76</v>
      </c>
      <c r="J80" s="3" t="s">
        <v>265</v>
      </c>
      <c r="K80" s="5">
        <v>7.4700000000000001E-3</v>
      </c>
      <c r="L80" s="9">
        <v>0.53</v>
      </c>
      <c r="M80" s="3" t="s">
        <v>164</v>
      </c>
      <c r="N80" s="12" t="s">
        <v>386</v>
      </c>
      <c r="O80" s="3"/>
      <c r="P80" s="3" t="str">
        <f>HYPERLINK("http://www.paremo.ru/upload/images/goods/42f0709f-7e82-4d73-8ef8-ca19b4d04f3c_01.jpg", "Фото 1")</f>
        <v>Фото 1</v>
      </c>
      <c r="Q80" s="3" t="str">
        <f>HYPERLINK("http://www.paremo.ru/upload/images/goods/42f0709f-7e82-4d73-8ef8-ca19b4d04f3c_02.jpg", "Фото 2")</f>
        <v>Фото 2</v>
      </c>
      <c r="R80" s="3" t="str">
        <f>HYPERLINK("http://www.paremo.ru/upload/images/goods/42f0709f-7e82-4d73-8ef8-ca19b4d04f3c_03.jpg", "Фото 3")</f>
        <v>Фото 3</v>
      </c>
      <c r="S80" s="3" t="str">
        <f>HYPERLINK("http://www.paremo.ru/upload/images/goods/42f0709f-7e82-4d73-8ef8-ca19b4d04f3c_04.jpg", "Фото 4")</f>
        <v>Фото 4</v>
      </c>
      <c r="T80" s="3" t="str">
        <f>HYPERLINK("http://www.paremo.ru/upload/images/goods/42f0709f-7e82-4d73-8ef8-ca19b4d04f3c_05.jpg", "Фото 5")</f>
        <v>Фото 5</v>
      </c>
      <c r="U80" s="3" t="str">
        <f>HYPERLINK("http://www.paremo.ru/upload/images/goods/42f0709f-7e82-4d73-8ef8-ca19b4d04f3c_06.jpg", "Фото 6")</f>
        <v>Фото 6</v>
      </c>
      <c r="V80" s="3" t="str">
        <f>HYPERLINK("http://www.paremo.ru/upload/images/goods/42f0709f-7e82-4d73-8ef8-ca19b4d04f3c_07.jpg", "Фото 7")</f>
        <v>Фото 7</v>
      </c>
      <c r="W80" s="3" t="str">
        <f>HYPERLINK("http://www.paremo.ru/upload/images/goods/42f0709f-7e82-4d73-8ef8-ca19b4d04f3c_08.jpg", "Фото 8")</f>
        <v>Фото 8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 t="s">
        <v>387</v>
      </c>
      <c r="BD80" s="3" t="s">
        <v>57</v>
      </c>
      <c r="BE80" s="4">
        <v>9503007000</v>
      </c>
    </row>
    <row r="81" spans="1:57" ht="99.95" customHeight="1" x14ac:dyDescent="0.2">
      <c r="A81" s="3" t="s">
        <v>196</v>
      </c>
      <c r="B81" s="3" t="s">
        <v>264</v>
      </c>
      <c r="C81" s="3" t="s">
        <v>59</v>
      </c>
      <c r="D81" s="3" t="s">
        <v>60</v>
      </c>
      <c r="E81" s="12" t="s">
        <v>388</v>
      </c>
      <c r="F81" s="7">
        <v>694704113069</v>
      </c>
      <c r="G81" s="3" t="s">
        <v>389</v>
      </c>
      <c r="H81" s="3" t="s">
        <v>390</v>
      </c>
      <c r="I81" s="3" t="s">
        <v>76</v>
      </c>
      <c r="J81" s="3" t="s">
        <v>390</v>
      </c>
      <c r="K81" s="5">
        <v>7.6299999999999996E-3</v>
      </c>
      <c r="L81" s="9">
        <v>0.44</v>
      </c>
      <c r="M81" s="3" t="s">
        <v>164</v>
      </c>
      <c r="N81" s="12" t="s">
        <v>391</v>
      </c>
      <c r="O81" s="3"/>
      <c r="P81" s="3" t="str">
        <f>HYPERLINK("http://www.paremo.ru/upload/images/goods/0104e9af-753a-436e-9f90-b87c9bec2721_01.jpg", "Фото 1")</f>
        <v>Фото 1</v>
      </c>
      <c r="Q81" s="3" t="str">
        <f>HYPERLINK("http://www.paremo.ru/upload/images/goods/0104e9af-753a-436e-9f90-b87c9bec2721_02.jpg", "Фото 2")</f>
        <v>Фото 2</v>
      </c>
      <c r="R81" s="3" t="str">
        <f>HYPERLINK("http://www.paremo.ru/upload/images/goods/0104e9af-753a-436e-9f90-b87c9bec2721_03.jpg", "Фото 3")</f>
        <v>Фото 3</v>
      </c>
      <c r="S81" s="3" t="str">
        <f>HYPERLINK("http://www.paremo.ru/upload/images/goods/0104e9af-753a-436e-9f90-b87c9bec2721_04.jpg", "Фото 4")</f>
        <v>Фото 4</v>
      </c>
      <c r="T81" s="3" t="str">
        <f>HYPERLINK("http://www.paremo.ru/upload/images/goods/0104e9af-753a-436e-9f90-b87c9bec2721_05.jpg", "Фото 5")</f>
        <v>Фото 5</v>
      </c>
      <c r="U81" s="3" t="str">
        <f>HYPERLINK("http://www.paremo.ru/upload/images/goods/0104e9af-753a-436e-9f90-b87c9bec2721_06.jpg", "Фото 6")</f>
        <v>Фото 6</v>
      </c>
      <c r="V81" s="3" t="str">
        <f>HYPERLINK("http://www.paremo.ru/upload/images/goods/0104e9af-753a-436e-9f90-b87c9bec2721_07.jpg", "Фото 7")</f>
        <v>Фото 7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 t="s">
        <v>57</v>
      </c>
      <c r="BE81" s="4">
        <v>9503007000</v>
      </c>
    </row>
    <row r="82" spans="1:57" ht="99.95" customHeight="1" x14ac:dyDescent="0.2">
      <c r="A82" s="3" t="s">
        <v>196</v>
      </c>
      <c r="B82" s="3" t="s">
        <v>264</v>
      </c>
      <c r="C82" s="3" t="s">
        <v>59</v>
      </c>
      <c r="D82" s="3" t="s">
        <v>60</v>
      </c>
      <c r="E82" s="12" t="s">
        <v>392</v>
      </c>
      <c r="F82" s="7">
        <v>694704113076</v>
      </c>
      <c r="G82" s="3" t="s">
        <v>393</v>
      </c>
      <c r="H82" s="3" t="s">
        <v>394</v>
      </c>
      <c r="I82" s="3" t="s">
        <v>76</v>
      </c>
      <c r="J82" s="3" t="s">
        <v>394</v>
      </c>
      <c r="K82" s="5">
        <v>4.0600000000000002E-3</v>
      </c>
      <c r="L82" s="9">
        <v>0.41</v>
      </c>
      <c r="M82" s="3" t="s">
        <v>194</v>
      </c>
      <c r="N82" s="12" t="s">
        <v>395</v>
      </c>
      <c r="O82" s="3"/>
      <c r="P82" s="3" t="str">
        <f>HYPERLINK("http://www.paremo.ru/upload/images/goods/86b356e6-4cf9-4bdb-887a-76ab60f0e072_01.jpg", "Фото 1")</f>
        <v>Фото 1</v>
      </c>
      <c r="Q82" s="3" t="str">
        <f>HYPERLINK("http://www.paremo.ru/upload/images/goods/86b356e6-4cf9-4bdb-887a-76ab60f0e072_02.jpg", "Фото 2")</f>
        <v>Фото 2</v>
      </c>
      <c r="R82" s="3" t="str">
        <f>HYPERLINK("http://www.paremo.ru/upload/images/goods/86b356e6-4cf9-4bdb-887a-76ab60f0e072_03.jpg", "Фото 3")</f>
        <v>Фото 3</v>
      </c>
      <c r="S82" s="3" t="str">
        <f>HYPERLINK("http://www.paremo.ru/upload/images/goods/86b356e6-4cf9-4bdb-887a-76ab60f0e072_04.jpg", "Фото 4")</f>
        <v>Фото 4</v>
      </c>
      <c r="T82" s="3" t="str">
        <f>HYPERLINK("http://www.paremo.ru/upload/images/goods/86b356e6-4cf9-4bdb-887a-76ab60f0e072_05.jpg", "Фото 5")</f>
        <v>Фото 5</v>
      </c>
      <c r="U82" s="3" t="str">
        <f>HYPERLINK("http://www.paremo.ru/upload/images/goods/86b356e6-4cf9-4bdb-887a-76ab60f0e072_06.jpg", "Фото 6")</f>
        <v>Фото 6</v>
      </c>
      <c r="V82" s="3" t="str">
        <f>HYPERLINK("http://www.paremo.ru/upload/images/goods/86b356e6-4cf9-4bdb-887a-76ab60f0e072_07.jpg", "Фото 7")</f>
        <v>Фото 7</v>
      </c>
      <c r="W82" s="3" t="str">
        <f>HYPERLINK("http://www.paremo.ru/upload/images/goods/86b356e6-4cf9-4bdb-887a-76ab60f0e072_08.jpg", "Фото 8")</f>
        <v>Фото 8</v>
      </c>
      <c r="X82" s="3" t="str">
        <f>HYPERLINK("http://www.paremo.ru/upload/images/goods/86b356e6-4cf9-4bdb-887a-76ab60f0e072_09.jpg", "Фото 9")</f>
        <v>Фото 9</v>
      </c>
      <c r="Y82" s="3" t="str">
        <f>HYPERLINK("http://www.paremo.ru/upload/images/goods/86b356e6-4cf9-4bdb-887a-76ab60f0e072_10.jpg", "Фото 10")</f>
        <v>Фото 10</v>
      </c>
      <c r="Z82" s="3" t="str">
        <f>HYPERLINK("http://www.paremo.ru/upload/images/goods/86b356e6-4cf9-4bdb-887a-76ab60f0e072_11.jpg", "Фото 11")</f>
        <v>Фото 11</v>
      </c>
      <c r="AA82" s="3" t="str">
        <f>HYPERLINK("http://www.paremo.ru/upload/images/goods/86b356e6-4cf9-4bdb-887a-76ab60f0e072_12.jpg", "Фото 12")</f>
        <v>Фото 12</v>
      </c>
      <c r="AB82" s="3" t="str">
        <f>HYPERLINK("http://www.paremo.ru/upload/images/goods/86b356e6-4cf9-4bdb-887a-76ab60f0e072_13.jpg", "Фото 13")</f>
        <v>Фото 13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 t="s">
        <v>57</v>
      </c>
      <c r="BE82" s="4">
        <v>9503007000</v>
      </c>
    </row>
    <row r="83" spans="1:57" ht="99.95" customHeight="1" x14ac:dyDescent="0.2">
      <c r="A83" s="3" t="s">
        <v>196</v>
      </c>
      <c r="B83" s="3" t="s">
        <v>264</v>
      </c>
      <c r="C83" s="3" t="s">
        <v>59</v>
      </c>
      <c r="D83" s="3" t="s">
        <v>60</v>
      </c>
      <c r="E83" s="12" t="s">
        <v>396</v>
      </c>
      <c r="F83" s="7">
        <v>694704113083</v>
      </c>
      <c r="G83" s="3" t="s">
        <v>397</v>
      </c>
      <c r="H83" s="3" t="s">
        <v>394</v>
      </c>
      <c r="I83" s="3" t="s">
        <v>76</v>
      </c>
      <c r="J83" s="3" t="s">
        <v>394</v>
      </c>
      <c r="K83" s="5">
        <v>4.0600000000000002E-3</v>
      </c>
      <c r="L83" s="9">
        <v>0.42</v>
      </c>
      <c r="M83" s="3" t="s">
        <v>194</v>
      </c>
      <c r="N83" s="12" t="s">
        <v>398</v>
      </c>
      <c r="O83" s="3"/>
      <c r="P83" s="3" t="str">
        <f>HYPERLINK("http://www.paremo.ru/upload/images/goods/bd1f7ecc-ad8c-4810-871b-c5fb00f7a326_01.jpg", "Фото 1")</f>
        <v>Фото 1</v>
      </c>
      <c r="Q83" s="3" t="str">
        <f>HYPERLINK("http://www.paremo.ru/upload/images/goods/bd1f7ecc-ad8c-4810-871b-c5fb00f7a326_02.jpg", "Фото 2")</f>
        <v>Фото 2</v>
      </c>
      <c r="R83" s="3" t="str">
        <f>HYPERLINK("http://www.paremo.ru/upload/images/goods/bd1f7ecc-ad8c-4810-871b-c5fb00f7a326_03.jpg", "Фото 3")</f>
        <v>Фото 3</v>
      </c>
      <c r="S83" s="3" t="str">
        <f>HYPERLINK("http://www.paremo.ru/upload/images/goods/bd1f7ecc-ad8c-4810-871b-c5fb00f7a326_04.jpg", "Фото 4")</f>
        <v>Фото 4</v>
      </c>
      <c r="T83" s="3" t="str">
        <f>HYPERLINK("http://www.paremo.ru/upload/images/goods/bd1f7ecc-ad8c-4810-871b-c5fb00f7a326_05.jpg", "Фото 5")</f>
        <v>Фото 5</v>
      </c>
      <c r="U83" s="3" t="str">
        <f>HYPERLINK("http://www.paremo.ru/upload/images/goods/bd1f7ecc-ad8c-4810-871b-c5fb00f7a326_06.jpg", "Фото 6")</f>
        <v>Фото 6</v>
      </c>
      <c r="V83" s="3" t="str">
        <f>HYPERLINK("http://www.paremo.ru/upload/images/goods/bd1f7ecc-ad8c-4810-871b-c5fb00f7a326_07.jpg", "Фото 7")</f>
        <v>Фото 7</v>
      </c>
      <c r="W83" s="3" t="str">
        <f>HYPERLINK("http://www.paremo.ru/upload/images/goods/bd1f7ecc-ad8c-4810-871b-c5fb00f7a326_08.jpg", "Фото 8")</f>
        <v>Фото 8</v>
      </c>
      <c r="X83" s="3" t="str">
        <f>HYPERLINK("http://www.paremo.ru/upload/images/goods/bd1f7ecc-ad8c-4810-871b-c5fb00f7a326_09.jpg", "Фото 9")</f>
        <v>Фото 9</v>
      </c>
      <c r="Y83" s="3" t="str">
        <f>HYPERLINK("http://www.paremo.ru/upload/images/goods/bd1f7ecc-ad8c-4810-871b-c5fb00f7a326_10.jpg", "Фото 10")</f>
        <v>Фото 10</v>
      </c>
      <c r="Z83" s="3" t="str">
        <f>HYPERLINK("http://www.paremo.ru/upload/images/goods/bd1f7ecc-ad8c-4810-871b-c5fb00f7a326_11.jpg", "Фото 11")</f>
        <v>Фото 11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 t="s">
        <v>57</v>
      </c>
      <c r="BE83" s="4">
        <v>9503007000</v>
      </c>
    </row>
    <row r="84" spans="1:57" ht="99.95" customHeight="1" x14ac:dyDescent="0.2">
      <c r="A84" s="3" t="s">
        <v>196</v>
      </c>
      <c r="B84" s="3" t="s">
        <v>264</v>
      </c>
      <c r="C84" s="3" t="s">
        <v>59</v>
      </c>
      <c r="D84" s="3" t="s">
        <v>60</v>
      </c>
      <c r="E84" s="12" t="s">
        <v>399</v>
      </c>
      <c r="F84" s="7">
        <v>694704113519</v>
      </c>
      <c r="G84" s="3" t="s">
        <v>400</v>
      </c>
      <c r="H84" s="3" t="s">
        <v>266</v>
      </c>
      <c r="I84" s="3" t="s">
        <v>76</v>
      </c>
      <c r="J84" s="3" t="s">
        <v>266</v>
      </c>
      <c r="K84" s="5">
        <v>9.2399999999999999E-3</v>
      </c>
      <c r="L84" s="6">
        <v>1.3</v>
      </c>
      <c r="M84" s="3" t="s">
        <v>164</v>
      </c>
      <c r="N84" s="12" t="s">
        <v>401</v>
      </c>
      <c r="O84" s="3"/>
      <c r="P84" s="3" t="str">
        <f>HYPERLINK("http://www.paremo.ru/upload/images/goods/a2072f3c-519d-46b0-9908-d2ab832ec985_01.jpg", "Фото 1")</f>
        <v>Фото 1</v>
      </c>
      <c r="Q84" s="3" t="str">
        <f>HYPERLINK("http://www.paremo.ru/upload/images/goods/a2072f3c-519d-46b0-9908-d2ab832ec985_02.jpg", "Фото 2")</f>
        <v>Фото 2</v>
      </c>
      <c r="R84" s="3" t="str">
        <f>HYPERLINK("http://www.paremo.ru/upload/images/goods/a2072f3c-519d-46b0-9908-d2ab832ec985_03.jpg", "Фото 3")</f>
        <v>Фото 3</v>
      </c>
      <c r="S84" s="3" t="str">
        <f>HYPERLINK("http://www.paremo.ru/upload/images/goods/a2072f3c-519d-46b0-9908-d2ab832ec985_04.jpg", "Фото 4")</f>
        <v>Фото 4</v>
      </c>
      <c r="T84" s="3" t="str">
        <f>HYPERLINK("http://www.paremo.ru/upload/images/goods/a2072f3c-519d-46b0-9908-d2ab832ec985_05.jpg", "Фото 5")</f>
        <v>Фото 5</v>
      </c>
      <c r="U84" s="3" t="str">
        <f>HYPERLINK("http://www.paremo.ru/upload/images/goods/a2072f3c-519d-46b0-9908-d2ab832ec985_06.jpg", "Фото 6")</f>
        <v>Фото 6</v>
      </c>
      <c r="V84" s="3" t="str">
        <f>HYPERLINK("http://www.paremo.ru/upload/images/goods/a2072f3c-519d-46b0-9908-d2ab832ec985_07.jpg", "Фото 7")</f>
        <v>Фото 7</v>
      </c>
      <c r="W84" s="3" t="str">
        <f>HYPERLINK("http://www.paremo.ru/upload/images/goods/a2072f3c-519d-46b0-9908-d2ab832ec985_08.jpg", "Фото 8")</f>
        <v>Фото 8</v>
      </c>
      <c r="X84" s="3" t="str">
        <f>HYPERLINK("http://www.paremo.ru/upload/images/goods/a2072f3c-519d-46b0-9908-d2ab832ec985_09.jpg", "Фото 9")</f>
        <v>Фото 9</v>
      </c>
      <c r="Y84" s="3" t="str">
        <f>HYPERLINK("http://www.paremo.ru/upload/images/goods/a2072f3c-519d-46b0-9908-d2ab832ec985_10.jpg", "Фото 10")</f>
        <v>Фото 10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 t="s">
        <v>402</v>
      </c>
      <c r="BD84" s="3" t="s">
        <v>57</v>
      </c>
      <c r="BE84" s="4">
        <v>9608500000</v>
      </c>
    </row>
    <row r="85" spans="1:57" ht="99.95" customHeight="1" x14ac:dyDescent="0.2">
      <c r="A85" s="3" t="s">
        <v>196</v>
      </c>
      <c r="B85" s="3" t="s">
        <v>264</v>
      </c>
      <c r="C85" s="3" t="s">
        <v>59</v>
      </c>
      <c r="D85" s="3" t="s">
        <v>60</v>
      </c>
      <c r="E85" s="12" t="s">
        <v>403</v>
      </c>
      <c r="F85" s="7">
        <v>694704113526</v>
      </c>
      <c r="G85" s="3" t="s">
        <v>404</v>
      </c>
      <c r="H85" s="3" t="s">
        <v>266</v>
      </c>
      <c r="I85" s="3" t="s">
        <v>76</v>
      </c>
      <c r="J85" s="3" t="s">
        <v>266</v>
      </c>
      <c r="K85" s="5">
        <v>9.2399999999999999E-3</v>
      </c>
      <c r="L85" s="9">
        <v>1.22</v>
      </c>
      <c r="M85" s="3" t="s">
        <v>194</v>
      </c>
      <c r="N85" s="12" t="s">
        <v>405</v>
      </c>
      <c r="O85" s="3"/>
      <c r="P85" s="3" t="str">
        <f>HYPERLINK("http://www.paremo.ru/upload/images/goods/7145e9cf-d7fc-48be-92a2-c69b6947b119_01.jpg", "Фото 1")</f>
        <v>Фото 1</v>
      </c>
      <c r="Q85" s="3" t="str">
        <f>HYPERLINK("http://www.paremo.ru/upload/images/goods/7145e9cf-d7fc-48be-92a2-c69b6947b119_02.jpg", "Фото 2")</f>
        <v>Фото 2</v>
      </c>
      <c r="R85" s="3" t="str">
        <f>HYPERLINK("http://www.paremo.ru/upload/images/goods/7145e9cf-d7fc-48be-92a2-c69b6947b119_03.jpg", "Фото 3")</f>
        <v>Фото 3</v>
      </c>
      <c r="S85" s="3" t="str">
        <f>HYPERLINK("http://www.paremo.ru/upload/images/goods/7145e9cf-d7fc-48be-92a2-c69b6947b119_04.jpg", "Фото 4")</f>
        <v>Фото 4</v>
      </c>
      <c r="T85" s="3" t="str">
        <f>HYPERLINK("http://www.paremo.ru/upload/images/goods/7145e9cf-d7fc-48be-92a2-c69b6947b119_05.jpg", "Фото 5")</f>
        <v>Фото 5</v>
      </c>
      <c r="U85" s="3" t="str">
        <f>HYPERLINK("http://www.paremo.ru/upload/images/goods/7145e9cf-d7fc-48be-92a2-c69b6947b119_06.jpg", "Фото 6")</f>
        <v>Фото 6</v>
      </c>
      <c r="V85" s="3" t="str">
        <f>HYPERLINK("http://www.paremo.ru/upload/images/goods/7145e9cf-d7fc-48be-92a2-c69b6947b119_07.jpg", "Фото 7")</f>
        <v>Фото 7</v>
      </c>
      <c r="W85" s="3" t="str">
        <f>HYPERLINK("http://www.paremo.ru/upload/images/goods/7145e9cf-d7fc-48be-92a2-c69b6947b119_08.jpg", "Фото 8")</f>
        <v>Фото 8</v>
      </c>
      <c r="X85" s="3" t="str">
        <f>HYPERLINK("http://www.paremo.ru/upload/images/goods/7145e9cf-d7fc-48be-92a2-c69b6947b119_09.jpg", "Фото 9")</f>
        <v>Фото 9</v>
      </c>
      <c r="Y85" s="3" t="str">
        <f>HYPERLINK("http://www.paremo.ru/upload/images/goods/7145e9cf-d7fc-48be-92a2-c69b6947b119_10.jpg", "Фото 10")</f>
        <v>Фото 10</v>
      </c>
      <c r="Z85" s="3" t="str">
        <f>HYPERLINK("http://www.paremo.ru/upload/images/goods/7145e9cf-d7fc-48be-92a2-c69b6947b119_11.jpg", "Фото 11")</f>
        <v>Фото 11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 t="s">
        <v>57</v>
      </c>
      <c r="BE85" s="4">
        <v>9608500000</v>
      </c>
    </row>
    <row r="86" spans="1:57" ht="99.95" customHeight="1" x14ac:dyDescent="0.2">
      <c r="A86" s="3" t="s">
        <v>196</v>
      </c>
      <c r="B86" s="3" t="s">
        <v>264</v>
      </c>
      <c r="C86" s="3" t="s">
        <v>59</v>
      </c>
      <c r="D86" s="3" t="s">
        <v>60</v>
      </c>
      <c r="E86" s="12" t="s">
        <v>406</v>
      </c>
      <c r="F86" s="7">
        <v>694704113816</v>
      </c>
      <c r="G86" s="3" t="s">
        <v>407</v>
      </c>
      <c r="H86" s="3" t="s">
        <v>408</v>
      </c>
      <c r="I86" s="3" t="s">
        <v>76</v>
      </c>
      <c r="J86" s="3" t="s">
        <v>408</v>
      </c>
      <c r="K86" s="5">
        <v>2.9099999999999998E-3</v>
      </c>
      <c r="L86" s="6">
        <v>1.1000000000000001</v>
      </c>
      <c r="M86" s="3" t="s">
        <v>194</v>
      </c>
      <c r="N86" s="12" t="s">
        <v>409</v>
      </c>
      <c r="O86" s="3"/>
      <c r="P86" s="3" t="str">
        <f>HYPERLINK("http://www.paremo.ru/upload/images/goods/988f2532-15f0-41bb-acc5-22f4f6f75564_01.jpg", "Фото 1")</f>
        <v>Фото 1</v>
      </c>
      <c r="Q86" s="3" t="str">
        <f>HYPERLINK("http://www.paremo.ru/upload/images/goods/988f2532-15f0-41bb-acc5-22f4f6f75564_02.jpg", "Фото 2")</f>
        <v>Фото 2</v>
      </c>
      <c r="R86" s="3" t="str">
        <f>HYPERLINK("http://www.paremo.ru/upload/images/goods/988f2532-15f0-41bb-acc5-22f4f6f75564_03.jpg", "Фото 3")</f>
        <v>Фото 3</v>
      </c>
      <c r="S86" s="3" t="str">
        <f>HYPERLINK("http://www.paremo.ru/upload/images/goods/988f2532-15f0-41bb-acc5-22f4f6f75564_04.jpg", "Фото 4")</f>
        <v>Фото 4</v>
      </c>
      <c r="T86" s="3" t="str">
        <f>HYPERLINK("http://www.paremo.ru/upload/images/goods/988f2532-15f0-41bb-acc5-22f4f6f75564_05.jpg", "Фото 5")</f>
        <v>Фото 5</v>
      </c>
      <c r="U86" s="3" t="str">
        <f>HYPERLINK("http://www.paremo.ru/upload/images/goods/988f2532-15f0-41bb-acc5-22f4f6f75564_06.jpg", "Фото 6")</f>
        <v>Фото 6</v>
      </c>
      <c r="V86" s="3" t="str">
        <f>HYPERLINK("http://www.paremo.ru/upload/images/goods/988f2532-15f0-41bb-acc5-22f4f6f75564_07.jpg", "Фото 7")</f>
        <v>Фото 7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 t="s">
        <v>57</v>
      </c>
      <c r="BE86" s="4">
        <v>4820109000</v>
      </c>
    </row>
    <row r="87" spans="1:57" ht="99.95" customHeight="1" x14ac:dyDescent="0.2">
      <c r="A87" s="3" t="s">
        <v>196</v>
      </c>
      <c r="B87" s="3" t="s">
        <v>264</v>
      </c>
      <c r="C87" s="3" t="s">
        <v>59</v>
      </c>
      <c r="D87" s="3" t="s">
        <v>60</v>
      </c>
      <c r="E87" s="12" t="s">
        <v>410</v>
      </c>
      <c r="F87" s="7">
        <v>694704114110</v>
      </c>
      <c r="G87" s="3" t="s">
        <v>411</v>
      </c>
      <c r="H87" s="3" t="s">
        <v>412</v>
      </c>
      <c r="I87" s="3" t="s">
        <v>76</v>
      </c>
      <c r="J87" s="3" t="s">
        <v>412</v>
      </c>
      <c r="K87" s="8">
        <v>1E-3</v>
      </c>
      <c r="L87" s="8">
        <v>4.7E-2</v>
      </c>
      <c r="M87" s="3" t="s">
        <v>163</v>
      </c>
      <c r="N87" s="12" t="s">
        <v>413</v>
      </c>
      <c r="O87" s="3"/>
      <c r="P87" s="3" t="str">
        <f>HYPERLINK("http://www.paremo.ru/upload/images/goods/0e68f437-81cc-468d-ad60-9c4f5ff3a54b_01.jpg", "Фото 1")</f>
        <v>Фото 1</v>
      </c>
      <c r="Q87" s="3" t="str">
        <f>HYPERLINK("http://www.paremo.ru/upload/images/goods/0e68f437-81cc-468d-ad60-9c4f5ff3a54b_02.jpg", "Фото 2")</f>
        <v>Фото 2</v>
      </c>
      <c r="R87" s="3" t="str">
        <f>HYPERLINK("http://www.paremo.ru/upload/images/goods/0e68f437-81cc-468d-ad60-9c4f5ff3a54b_03.jpg", "Фото 3")</f>
        <v>Фото 3</v>
      </c>
      <c r="S87" s="3" t="str">
        <f>HYPERLINK("http://www.paremo.ru/upload/images/goods/0e68f437-81cc-468d-ad60-9c4f5ff3a54b_04.jpg", "Фото 4")</f>
        <v>Фото 4</v>
      </c>
      <c r="T87" s="3" t="str">
        <f>HYPERLINK("http://www.paremo.ru/upload/images/goods/0e68f437-81cc-468d-ad60-9c4f5ff3a54b_05.jpg", "Фото 5")</f>
        <v>Фото 5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 t="s">
        <v>57</v>
      </c>
      <c r="BE87" s="4">
        <v>9503007000</v>
      </c>
    </row>
    <row r="88" spans="1:57" ht="99.95" customHeight="1" x14ac:dyDescent="0.2">
      <c r="A88" s="3" t="s">
        <v>196</v>
      </c>
      <c r="B88" s="3" t="s">
        <v>264</v>
      </c>
      <c r="C88" s="3" t="s">
        <v>59</v>
      </c>
      <c r="D88" s="3" t="s">
        <v>60</v>
      </c>
      <c r="E88" s="12" t="s">
        <v>414</v>
      </c>
      <c r="F88" s="7">
        <v>694704114127</v>
      </c>
      <c r="G88" s="3" t="s">
        <v>415</v>
      </c>
      <c r="H88" s="3" t="s">
        <v>412</v>
      </c>
      <c r="I88" s="3" t="s">
        <v>76</v>
      </c>
      <c r="J88" s="3" t="s">
        <v>412</v>
      </c>
      <c r="K88" s="8">
        <v>1E-3</v>
      </c>
      <c r="L88" s="8">
        <v>4.7E-2</v>
      </c>
      <c r="M88" s="3" t="s">
        <v>163</v>
      </c>
      <c r="N88" s="12" t="s">
        <v>413</v>
      </c>
      <c r="O88" s="3"/>
      <c r="P88" s="3" t="str">
        <f>HYPERLINK("http://www.paremo.ru/upload/images/goods/293a84e5-bd6a-490a-89c0-15c955590d7b_01.jpg", "Фото 1")</f>
        <v>Фото 1</v>
      </c>
      <c r="Q88" s="3" t="str">
        <f>HYPERLINK("http://www.paremo.ru/upload/images/goods/293a84e5-bd6a-490a-89c0-15c955590d7b_02.jpg", "Фото 2")</f>
        <v>Фото 2</v>
      </c>
      <c r="R88" s="3" t="str">
        <f>HYPERLINK("http://www.paremo.ru/upload/images/goods/293a84e5-bd6a-490a-89c0-15c955590d7b_03.jpg", "Фото 3")</f>
        <v>Фото 3</v>
      </c>
      <c r="S88" s="3" t="str">
        <f>HYPERLINK("http://www.paremo.ru/upload/images/goods/293a84e5-bd6a-490a-89c0-15c955590d7b_04.jpg", "Фото 4")</f>
        <v>Фото 4</v>
      </c>
      <c r="T88" s="3" t="str">
        <f>HYPERLINK("http://www.paremo.ru/upload/images/goods/293a84e5-bd6a-490a-89c0-15c955590d7b_05.jpg", "Фото 5")</f>
        <v>Фото 5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 t="s">
        <v>57</v>
      </c>
      <c r="BE88" s="4">
        <v>9503007000</v>
      </c>
    </row>
    <row r="89" spans="1:57" ht="99.95" customHeight="1" x14ac:dyDescent="0.2">
      <c r="A89" s="3" t="s">
        <v>196</v>
      </c>
      <c r="B89" s="3" t="s">
        <v>264</v>
      </c>
      <c r="C89" s="3" t="s">
        <v>59</v>
      </c>
      <c r="D89" s="3" t="s">
        <v>60</v>
      </c>
      <c r="E89" s="12" t="s">
        <v>416</v>
      </c>
      <c r="F89" s="7">
        <v>694704114134</v>
      </c>
      <c r="G89" s="3" t="s">
        <v>417</v>
      </c>
      <c r="H89" s="3" t="s">
        <v>412</v>
      </c>
      <c r="I89" s="3" t="s">
        <v>76</v>
      </c>
      <c r="J89" s="3" t="s">
        <v>412</v>
      </c>
      <c r="K89" s="8">
        <v>1E-3</v>
      </c>
      <c r="L89" s="8">
        <v>4.7E-2</v>
      </c>
      <c r="M89" s="3" t="s">
        <v>163</v>
      </c>
      <c r="N89" s="12" t="s">
        <v>413</v>
      </c>
      <c r="O89" s="3"/>
      <c r="P89" s="3" t="str">
        <f>HYPERLINK("http://www.paremo.ru/upload/images/goods/0ab26b61-e427-4625-8e2c-3f98fc9763aa_01.jpg", "Фото 1")</f>
        <v>Фото 1</v>
      </c>
      <c r="Q89" s="3" t="str">
        <f>HYPERLINK("http://www.paremo.ru/upload/images/goods/0ab26b61-e427-4625-8e2c-3f98fc9763aa_02.jpg", "Фото 2")</f>
        <v>Фото 2</v>
      </c>
      <c r="R89" s="3" t="str">
        <f>HYPERLINK("http://www.paremo.ru/upload/images/goods/0ab26b61-e427-4625-8e2c-3f98fc9763aa_03.jpg", "Фото 3")</f>
        <v>Фото 3</v>
      </c>
      <c r="S89" s="3" t="str">
        <f>HYPERLINK("http://www.paremo.ru/upload/images/goods/0ab26b61-e427-4625-8e2c-3f98fc9763aa_04.jpg", "Фото 4")</f>
        <v>Фото 4</v>
      </c>
      <c r="T89" s="3" t="str">
        <f>HYPERLINK("http://www.paremo.ru/upload/images/goods/0ab26b61-e427-4625-8e2c-3f98fc9763aa_05.jpg", "Фото 5")</f>
        <v>Фото 5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 t="s">
        <v>57</v>
      </c>
      <c r="BE89" s="4">
        <v>9503007000</v>
      </c>
    </row>
    <row r="90" spans="1:57" ht="99.95" customHeight="1" x14ac:dyDescent="0.2">
      <c r="A90" s="3" t="s">
        <v>196</v>
      </c>
      <c r="B90" s="3" t="s">
        <v>264</v>
      </c>
      <c r="C90" s="3" t="s">
        <v>59</v>
      </c>
      <c r="D90" s="3" t="s">
        <v>60</v>
      </c>
      <c r="E90" s="12" t="s">
        <v>418</v>
      </c>
      <c r="F90" s="7">
        <v>694704114158</v>
      </c>
      <c r="G90" s="3" t="s">
        <v>419</v>
      </c>
      <c r="H90" s="3" t="s">
        <v>420</v>
      </c>
      <c r="I90" s="3" t="s">
        <v>76</v>
      </c>
      <c r="J90" s="3" t="s">
        <v>420</v>
      </c>
      <c r="K90" s="5">
        <v>1.65E-3</v>
      </c>
      <c r="L90" s="9">
        <v>0.14000000000000001</v>
      </c>
      <c r="M90" s="3" t="s">
        <v>164</v>
      </c>
      <c r="N90" s="12" t="s">
        <v>421</v>
      </c>
      <c r="O90" s="3"/>
      <c r="P90" s="3" t="str">
        <f>HYPERLINK("http://www.paremo.ru/upload/images/goods/8a97c46e-7533-44be-b354-1aabc4862f82_01.jpg", "Фото 1")</f>
        <v>Фото 1</v>
      </c>
      <c r="Q90" s="3" t="str">
        <f>HYPERLINK("http://www.paremo.ru/upload/images/goods/8a97c46e-7533-44be-b354-1aabc4862f82_02.jpg", "Фото 2")</f>
        <v>Фото 2</v>
      </c>
      <c r="R90" s="3" t="str">
        <f>HYPERLINK("http://www.paremo.ru/upload/images/goods/8a97c46e-7533-44be-b354-1aabc4862f82_03.jpg", "Фото 3")</f>
        <v>Фото 3</v>
      </c>
      <c r="S90" s="3" t="str">
        <f>HYPERLINK("http://www.paremo.ru/upload/images/goods/8a97c46e-7533-44be-b354-1aabc4862f82_04.jpg", "Фото 4")</f>
        <v>Фото 4</v>
      </c>
      <c r="T90" s="3" t="str">
        <f>HYPERLINK("http://www.paremo.ru/upload/images/goods/8a97c46e-7533-44be-b354-1aabc4862f82_05.jpg", "Фото 5")</f>
        <v>Фото 5</v>
      </c>
      <c r="U90" s="3" t="str">
        <f>HYPERLINK("http://www.paremo.ru/upload/images/goods/8a97c46e-7533-44be-b354-1aabc4862f82_06.jpg", "Фото 6")</f>
        <v>Фото 6</v>
      </c>
      <c r="V90" s="3" t="str">
        <f>HYPERLINK("http://www.paremo.ru/upload/images/goods/8a97c46e-7533-44be-b354-1aabc4862f82_07.jpg", "Фото 7")</f>
        <v>Фото 7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 t="s">
        <v>422</v>
      </c>
      <c r="BD90" s="3" t="s">
        <v>57</v>
      </c>
      <c r="BE90" s="4">
        <v>9503007000</v>
      </c>
    </row>
    <row r="91" spans="1:57" ht="99.95" customHeight="1" x14ac:dyDescent="0.2">
      <c r="A91" s="3" t="s">
        <v>196</v>
      </c>
      <c r="B91" s="3" t="s">
        <v>264</v>
      </c>
      <c r="C91" s="3" t="s">
        <v>59</v>
      </c>
      <c r="D91" s="3" t="s">
        <v>60</v>
      </c>
      <c r="E91" s="12" t="s">
        <v>423</v>
      </c>
      <c r="F91" s="7">
        <v>694704114165</v>
      </c>
      <c r="G91" s="3" t="s">
        <v>424</v>
      </c>
      <c r="H91" s="3" t="s">
        <v>420</v>
      </c>
      <c r="I91" s="3" t="s">
        <v>76</v>
      </c>
      <c r="J91" s="3" t="s">
        <v>420</v>
      </c>
      <c r="K91" s="5">
        <v>1.65E-3</v>
      </c>
      <c r="L91" s="9">
        <v>0.14000000000000001</v>
      </c>
      <c r="M91" s="3" t="s">
        <v>164</v>
      </c>
      <c r="N91" s="12" t="s">
        <v>421</v>
      </c>
      <c r="O91" s="3"/>
      <c r="P91" s="3" t="str">
        <f>HYPERLINK("http://www.paremo.ru/upload/images/goods/30c12279-1933-4a5c-a0be-2f2db927b0f5_01.jpg", "Фото 1")</f>
        <v>Фото 1</v>
      </c>
      <c r="Q91" s="3" t="str">
        <f>HYPERLINK("http://www.paremo.ru/upload/images/goods/30c12279-1933-4a5c-a0be-2f2db927b0f5_02.jpg", "Фото 2")</f>
        <v>Фото 2</v>
      </c>
      <c r="R91" s="3" t="str">
        <f>HYPERLINK("http://www.paremo.ru/upload/images/goods/30c12279-1933-4a5c-a0be-2f2db927b0f5_03.jpg", "Фото 3")</f>
        <v>Фото 3</v>
      </c>
      <c r="S91" s="3" t="str">
        <f>HYPERLINK("http://www.paremo.ru/upload/images/goods/30c12279-1933-4a5c-a0be-2f2db927b0f5_04.jpg", "Фото 4")</f>
        <v>Фото 4</v>
      </c>
      <c r="T91" s="3" t="str">
        <f>HYPERLINK("http://www.paremo.ru/upload/images/goods/30c12279-1933-4a5c-a0be-2f2db927b0f5_05.jpg", "Фото 5")</f>
        <v>Фото 5</v>
      </c>
      <c r="U91" s="3" t="str">
        <f>HYPERLINK("http://www.paremo.ru/upload/images/goods/30c12279-1933-4a5c-a0be-2f2db927b0f5_06.jpg", "Фото 6")</f>
        <v>Фото 6</v>
      </c>
      <c r="V91" s="3" t="str">
        <f>HYPERLINK("http://www.paremo.ru/upload/images/goods/30c12279-1933-4a5c-a0be-2f2db927b0f5_07.jpg", "Фото 7")</f>
        <v>Фото 7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 t="s">
        <v>422</v>
      </c>
      <c r="BD91" s="3" t="s">
        <v>57</v>
      </c>
      <c r="BE91" s="4">
        <v>9503007000</v>
      </c>
    </row>
    <row r="92" spans="1:57" ht="99.95" customHeight="1" x14ac:dyDescent="0.2">
      <c r="A92" s="3" t="s">
        <v>196</v>
      </c>
      <c r="B92" s="3" t="s">
        <v>264</v>
      </c>
      <c r="C92" s="3" t="s">
        <v>59</v>
      </c>
      <c r="D92" s="3" t="s">
        <v>60</v>
      </c>
      <c r="E92" s="12" t="s">
        <v>425</v>
      </c>
      <c r="F92" s="7">
        <v>694704114172</v>
      </c>
      <c r="G92" s="3" t="s">
        <v>426</v>
      </c>
      <c r="H92" s="3" t="s">
        <v>420</v>
      </c>
      <c r="I92" s="3" t="s">
        <v>76</v>
      </c>
      <c r="J92" s="3" t="s">
        <v>420</v>
      </c>
      <c r="K92" s="5">
        <v>1.65E-3</v>
      </c>
      <c r="L92" s="9">
        <v>0.14000000000000001</v>
      </c>
      <c r="M92" s="3" t="s">
        <v>164</v>
      </c>
      <c r="N92" s="12" t="s">
        <v>421</v>
      </c>
      <c r="O92" s="3"/>
      <c r="P92" s="3" t="str">
        <f>HYPERLINK("http://www.paremo.ru/upload/images/goods/74d2da82-94c9-472b-826c-19dd9b3f0e9f_01.jpg", "Фото 1")</f>
        <v>Фото 1</v>
      </c>
      <c r="Q92" s="3" t="str">
        <f>HYPERLINK("http://www.paremo.ru/upload/images/goods/74d2da82-94c9-472b-826c-19dd9b3f0e9f_02.jpg", "Фото 2")</f>
        <v>Фото 2</v>
      </c>
      <c r="R92" s="3" t="str">
        <f>HYPERLINK("http://www.paremo.ru/upload/images/goods/74d2da82-94c9-472b-826c-19dd9b3f0e9f_03.jpg", "Фото 3")</f>
        <v>Фото 3</v>
      </c>
      <c r="S92" s="3" t="str">
        <f>HYPERLINK("http://www.paremo.ru/upload/images/goods/74d2da82-94c9-472b-826c-19dd9b3f0e9f_04.jpg", "Фото 4")</f>
        <v>Фото 4</v>
      </c>
      <c r="T92" s="3" t="str">
        <f>HYPERLINK("http://www.paremo.ru/upload/images/goods/74d2da82-94c9-472b-826c-19dd9b3f0e9f_05.jpg", "Фото 5")</f>
        <v>Фото 5</v>
      </c>
      <c r="U92" s="3" t="str">
        <f>HYPERLINK("http://www.paremo.ru/upload/images/goods/74d2da82-94c9-472b-826c-19dd9b3f0e9f_06.jpg", "Фото 6")</f>
        <v>Фото 6</v>
      </c>
      <c r="V92" s="3" t="str">
        <f>HYPERLINK("http://www.paremo.ru/upload/images/goods/74d2da82-94c9-472b-826c-19dd9b3f0e9f_07.jpg", "Фото 7")</f>
        <v>Фото 7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 t="s">
        <v>422</v>
      </c>
      <c r="BD92" s="3" t="s">
        <v>57</v>
      </c>
      <c r="BE92" s="4">
        <v>9503007000</v>
      </c>
    </row>
    <row r="93" spans="1:57" ht="99.95" customHeight="1" x14ac:dyDescent="0.2">
      <c r="A93" s="3" t="s">
        <v>196</v>
      </c>
      <c r="B93" s="3" t="s">
        <v>264</v>
      </c>
      <c r="C93" s="3" t="s">
        <v>59</v>
      </c>
      <c r="D93" s="3" t="s">
        <v>60</v>
      </c>
      <c r="E93" s="12" t="s">
        <v>427</v>
      </c>
      <c r="F93" s="7">
        <v>694704114189</v>
      </c>
      <c r="G93" s="3" t="s">
        <v>428</v>
      </c>
      <c r="H93" s="3" t="s">
        <v>420</v>
      </c>
      <c r="I93" s="3" t="s">
        <v>76</v>
      </c>
      <c r="J93" s="3" t="s">
        <v>420</v>
      </c>
      <c r="K93" s="5">
        <v>1.65E-3</v>
      </c>
      <c r="L93" s="9">
        <v>0.14000000000000001</v>
      </c>
      <c r="M93" s="3" t="s">
        <v>164</v>
      </c>
      <c r="N93" s="12" t="s">
        <v>421</v>
      </c>
      <c r="O93" s="3"/>
      <c r="P93" s="3" t="str">
        <f>HYPERLINK("http://www.paremo.ru/upload/images/goods/d9c4db52-79dd-4233-8515-dce15e7f2b0f_01.jpg", "Фото 1")</f>
        <v>Фото 1</v>
      </c>
      <c r="Q93" s="3" t="str">
        <f>HYPERLINK("http://www.paremo.ru/upload/images/goods/d9c4db52-79dd-4233-8515-dce15e7f2b0f_02.jpg", "Фото 2")</f>
        <v>Фото 2</v>
      </c>
      <c r="R93" s="3" t="str">
        <f>HYPERLINK("http://www.paremo.ru/upload/images/goods/d9c4db52-79dd-4233-8515-dce15e7f2b0f_03.jpg", "Фото 3")</f>
        <v>Фото 3</v>
      </c>
      <c r="S93" s="3" t="str">
        <f>HYPERLINK("http://www.paremo.ru/upload/images/goods/d9c4db52-79dd-4233-8515-dce15e7f2b0f_04.jpg", "Фото 4")</f>
        <v>Фото 4</v>
      </c>
      <c r="T93" s="3" t="str">
        <f>HYPERLINK("http://www.paremo.ru/upload/images/goods/d9c4db52-79dd-4233-8515-dce15e7f2b0f_05.jpg", "Фото 5")</f>
        <v>Фото 5</v>
      </c>
      <c r="U93" s="3" t="str">
        <f>HYPERLINK("http://www.paremo.ru/upload/images/goods/d9c4db52-79dd-4233-8515-dce15e7f2b0f_06.jpg", "Фото 6")</f>
        <v>Фото 6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 t="s">
        <v>422</v>
      </c>
      <c r="BD93" s="3" t="s">
        <v>57</v>
      </c>
      <c r="BE93" s="4">
        <v>9503007000</v>
      </c>
    </row>
    <row r="94" spans="1:57" ht="99.95" customHeight="1" x14ac:dyDescent="0.2">
      <c r="A94" s="3" t="s">
        <v>196</v>
      </c>
      <c r="B94" s="3" t="s">
        <v>264</v>
      </c>
      <c r="C94" s="3" t="s">
        <v>59</v>
      </c>
      <c r="D94" s="3" t="s">
        <v>60</v>
      </c>
      <c r="E94" s="12" t="s">
        <v>429</v>
      </c>
      <c r="F94" s="7">
        <v>694704114196</v>
      </c>
      <c r="G94" s="3" t="s">
        <v>430</v>
      </c>
      <c r="H94" s="3" t="s">
        <v>420</v>
      </c>
      <c r="I94" s="3" t="s">
        <v>76</v>
      </c>
      <c r="J94" s="3" t="s">
        <v>420</v>
      </c>
      <c r="K94" s="5">
        <v>1.65E-3</v>
      </c>
      <c r="L94" s="9">
        <v>0.14000000000000001</v>
      </c>
      <c r="M94" s="3" t="s">
        <v>164</v>
      </c>
      <c r="N94" s="12" t="s">
        <v>421</v>
      </c>
      <c r="O94" s="3"/>
      <c r="P94" s="3" t="str">
        <f>HYPERLINK("http://www.paremo.ru/upload/images/goods/86c259dd-e77f-4fdc-8d9c-4398caa9b1b0_01.jpg", "Фото 1")</f>
        <v>Фото 1</v>
      </c>
      <c r="Q94" s="3" t="str">
        <f>HYPERLINK("http://www.paremo.ru/upload/images/goods/86c259dd-e77f-4fdc-8d9c-4398caa9b1b0_02.jpg", "Фото 2")</f>
        <v>Фото 2</v>
      </c>
      <c r="R94" s="3" t="str">
        <f>HYPERLINK("http://www.paremo.ru/upload/images/goods/86c259dd-e77f-4fdc-8d9c-4398caa9b1b0_03.jpg", "Фото 3")</f>
        <v>Фото 3</v>
      </c>
      <c r="S94" s="3" t="str">
        <f>HYPERLINK("http://www.paremo.ru/upload/images/goods/86c259dd-e77f-4fdc-8d9c-4398caa9b1b0_04.jpg", "Фото 4")</f>
        <v>Фото 4</v>
      </c>
      <c r="T94" s="3" t="str">
        <f>HYPERLINK("http://www.paremo.ru/upload/images/goods/86c259dd-e77f-4fdc-8d9c-4398caa9b1b0_05.jpg", "Фото 5")</f>
        <v>Фото 5</v>
      </c>
      <c r="U94" s="3" t="str">
        <f>HYPERLINK("http://www.paremo.ru/upload/images/goods/86c259dd-e77f-4fdc-8d9c-4398caa9b1b0_06.jpg", "Фото 6")</f>
        <v>Фото 6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 t="s">
        <v>422</v>
      </c>
      <c r="BD94" s="3" t="s">
        <v>57</v>
      </c>
      <c r="BE94" s="4">
        <v>9503007000</v>
      </c>
    </row>
    <row r="95" spans="1:57" ht="99.95" customHeight="1" x14ac:dyDescent="0.2">
      <c r="A95" s="3" t="s">
        <v>196</v>
      </c>
      <c r="B95" s="3" t="s">
        <v>264</v>
      </c>
      <c r="C95" s="3" t="s">
        <v>59</v>
      </c>
      <c r="D95" s="3" t="s">
        <v>60</v>
      </c>
      <c r="E95" s="12" t="s">
        <v>431</v>
      </c>
      <c r="F95" s="7">
        <v>694704114202</v>
      </c>
      <c r="G95" s="3" t="s">
        <v>432</v>
      </c>
      <c r="H95" s="3" t="s">
        <v>420</v>
      </c>
      <c r="I95" s="3" t="s">
        <v>76</v>
      </c>
      <c r="J95" s="3" t="s">
        <v>420</v>
      </c>
      <c r="K95" s="5">
        <v>1.65E-3</v>
      </c>
      <c r="L95" s="9">
        <v>0.14000000000000001</v>
      </c>
      <c r="M95" s="3" t="s">
        <v>164</v>
      </c>
      <c r="N95" s="12" t="s">
        <v>421</v>
      </c>
      <c r="O95" s="3"/>
      <c r="P95" s="3" t="str">
        <f>HYPERLINK("http://www.paremo.ru/upload/images/goods/21a64ea4-bf60-42aa-a35b-35335d800394_01.jpg", "Фото 1")</f>
        <v>Фото 1</v>
      </c>
      <c r="Q95" s="3" t="str">
        <f>HYPERLINK("http://www.paremo.ru/upload/images/goods/21a64ea4-bf60-42aa-a35b-35335d800394_02.jpg", "Фото 2")</f>
        <v>Фото 2</v>
      </c>
      <c r="R95" s="3" t="str">
        <f>HYPERLINK("http://www.paremo.ru/upload/images/goods/21a64ea4-bf60-42aa-a35b-35335d800394_03.jpg", "Фото 3")</f>
        <v>Фото 3</v>
      </c>
      <c r="S95" s="3" t="str">
        <f>HYPERLINK("http://www.paremo.ru/upload/images/goods/21a64ea4-bf60-42aa-a35b-35335d800394_04.jpg", "Фото 4")</f>
        <v>Фото 4</v>
      </c>
      <c r="T95" s="3" t="str">
        <f>HYPERLINK("http://www.paremo.ru/upload/images/goods/21a64ea4-bf60-42aa-a35b-35335d800394_05.jpg", "Фото 5")</f>
        <v>Фото 5</v>
      </c>
      <c r="U95" s="3" t="str">
        <f>HYPERLINK("http://www.paremo.ru/upload/images/goods/21a64ea4-bf60-42aa-a35b-35335d800394_06.jpg", "Фото 6")</f>
        <v>Фото 6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 t="s">
        <v>422</v>
      </c>
      <c r="BD95" s="3" t="s">
        <v>57</v>
      </c>
      <c r="BE95" s="4">
        <v>9503007000</v>
      </c>
    </row>
    <row r="96" spans="1:57" ht="99.95" customHeight="1" x14ac:dyDescent="0.2">
      <c r="A96" s="3" t="s">
        <v>196</v>
      </c>
      <c r="B96" s="3" t="s">
        <v>264</v>
      </c>
      <c r="C96" s="3" t="s">
        <v>59</v>
      </c>
      <c r="D96" s="3" t="s">
        <v>60</v>
      </c>
      <c r="E96" s="12" t="s">
        <v>433</v>
      </c>
      <c r="F96" s="7">
        <v>694704114219</v>
      </c>
      <c r="G96" s="3" t="s">
        <v>434</v>
      </c>
      <c r="H96" s="3" t="s">
        <v>435</v>
      </c>
      <c r="I96" s="3" t="s">
        <v>76</v>
      </c>
      <c r="J96" s="3" t="s">
        <v>435</v>
      </c>
      <c r="K96" s="5">
        <v>1.99E-3</v>
      </c>
      <c r="L96" s="9">
        <v>0.42</v>
      </c>
      <c r="M96" s="3" t="s">
        <v>90</v>
      </c>
      <c r="N96" s="12" t="s">
        <v>436</v>
      </c>
      <c r="O96" s="3"/>
      <c r="P96" s="3" t="str">
        <f>HYPERLINK("http://www.paremo.ru/upload/images/goods/a839a813-3d8b-4e54-a54a-e446c0f25eee_01.jpg", "Фото 1")</f>
        <v>Фото 1</v>
      </c>
      <c r="Q96" s="3" t="str">
        <f>HYPERLINK("http://www.paremo.ru/upload/images/goods/a839a813-3d8b-4e54-a54a-e446c0f25eee_02.jpg", "Фото 2")</f>
        <v>Фото 2</v>
      </c>
      <c r="R96" s="3" t="str">
        <f>HYPERLINK("http://www.paremo.ru/upload/images/goods/a839a813-3d8b-4e54-a54a-e446c0f25eee_03.jpg", "Фото 3")</f>
        <v>Фото 3</v>
      </c>
      <c r="S96" s="3" t="str">
        <f>HYPERLINK("http://www.paremo.ru/upload/images/goods/a839a813-3d8b-4e54-a54a-e446c0f25eee_04.jpg", "Фото 4")</f>
        <v>Фото 4</v>
      </c>
      <c r="T96" s="3" t="str">
        <f>HYPERLINK("http://www.paremo.ru/upload/images/goods/a839a813-3d8b-4e54-a54a-e446c0f25eee_05.jpg", "Фото 5")</f>
        <v>Фото 5</v>
      </c>
      <c r="U96" s="3" t="str">
        <f>HYPERLINK("http://www.paremo.ru/upload/images/goods/a839a813-3d8b-4e54-a54a-e446c0f25eee_06.jpg", "Фото 6")</f>
        <v>Фото 6</v>
      </c>
      <c r="V96" s="3" t="str">
        <f>HYPERLINK("http://www.paremo.ru/upload/images/goods/a839a813-3d8b-4e54-a54a-e446c0f25eee_07.jpg", "Фото 7")</f>
        <v>Фото 7</v>
      </c>
      <c r="W96" s="3" t="str">
        <f>HYPERLINK("http://www.paremo.ru/upload/images/goods/a839a813-3d8b-4e54-a54a-e446c0f25eee_08.jpg", "Фото 8")</f>
        <v>Фото 8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 t="s">
        <v>57</v>
      </c>
      <c r="BE96" s="4">
        <v>3213100000</v>
      </c>
    </row>
    <row r="97" spans="1:57" ht="99.95" customHeight="1" x14ac:dyDescent="0.2">
      <c r="A97" s="3" t="s">
        <v>196</v>
      </c>
      <c r="B97" s="3" t="s">
        <v>264</v>
      </c>
      <c r="C97" s="3" t="s">
        <v>59</v>
      </c>
      <c r="D97" s="3" t="s">
        <v>60</v>
      </c>
      <c r="E97" s="12" t="s">
        <v>437</v>
      </c>
      <c r="F97" s="7">
        <v>694704114226</v>
      </c>
      <c r="G97" s="3" t="s">
        <v>438</v>
      </c>
      <c r="H97" s="3" t="s">
        <v>435</v>
      </c>
      <c r="I97" s="3" t="s">
        <v>76</v>
      </c>
      <c r="J97" s="3" t="s">
        <v>435</v>
      </c>
      <c r="K97" s="5">
        <v>1.99E-3</v>
      </c>
      <c r="L97" s="9">
        <v>0.38</v>
      </c>
      <c r="M97" s="3" t="s">
        <v>109</v>
      </c>
      <c r="N97" s="12" t="s">
        <v>439</v>
      </c>
      <c r="O97" s="3"/>
      <c r="P97" s="3" t="str">
        <f>HYPERLINK("http://www.paremo.ru/upload/images/goods/35827abf-f4fe-4e80-9a7a-ef83dd18a836_01.jpg", "Фото 1")</f>
        <v>Фото 1</v>
      </c>
      <c r="Q97" s="3" t="str">
        <f>HYPERLINK("http://www.paremo.ru/upload/images/goods/35827abf-f4fe-4e80-9a7a-ef83dd18a836_02.jpg", "Фото 2")</f>
        <v>Фото 2</v>
      </c>
      <c r="R97" s="3" t="str">
        <f>HYPERLINK("http://www.paremo.ru/upload/images/goods/35827abf-f4fe-4e80-9a7a-ef83dd18a836_03.jpg", "Фото 3")</f>
        <v>Фото 3</v>
      </c>
      <c r="S97" s="3" t="str">
        <f>HYPERLINK("http://www.paremo.ru/upload/images/goods/35827abf-f4fe-4e80-9a7a-ef83dd18a836_04.jpg", "Фото 4")</f>
        <v>Фото 4</v>
      </c>
      <c r="T97" s="3" t="str">
        <f>HYPERLINK("http://www.paremo.ru/upload/images/goods/35827abf-f4fe-4e80-9a7a-ef83dd18a836_05.jpg", "Фото 5")</f>
        <v>Фото 5</v>
      </c>
      <c r="U97" s="3" t="str">
        <f>HYPERLINK("http://www.paremo.ru/upload/images/goods/35827abf-f4fe-4e80-9a7a-ef83dd18a836_06.jpg", "Фото 6")</f>
        <v>Фото 6</v>
      </c>
      <c r="V97" s="3" t="str">
        <f>HYPERLINK("http://www.paremo.ru/upload/images/goods/35827abf-f4fe-4e80-9a7a-ef83dd18a836_07.jpg", "Фото 7")</f>
        <v>Фото 7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 t="s">
        <v>57</v>
      </c>
      <c r="BE97" s="4">
        <v>3213100000</v>
      </c>
    </row>
    <row r="98" spans="1:57" ht="99.95" customHeight="1" x14ac:dyDescent="0.2">
      <c r="A98" s="3" t="s">
        <v>196</v>
      </c>
      <c r="B98" s="3" t="s">
        <v>264</v>
      </c>
      <c r="C98" s="3" t="s">
        <v>59</v>
      </c>
      <c r="D98" s="3" t="s">
        <v>60</v>
      </c>
      <c r="E98" s="12" t="s">
        <v>440</v>
      </c>
      <c r="F98" s="7">
        <v>694704114240</v>
      </c>
      <c r="G98" s="3" t="s">
        <v>441</v>
      </c>
      <c r="H98" s="3" t="s">
        <v>442</v>
      </c>
      <c r="I98" s="3" t="s">
        <v>76</v>
      </c>
      <c r="J98" s="3" t="s">
        <v>442</v>
      </c>
      <c r="K98" s="8">
        <v>1E-3</v>
      </c>
      <c r="L98" s="9">
        <v>0.13</v>
      </c>
      <c r="M98" s="3" t="s">
        <v>194</v>
      </c>
      <c r="N98" s="12" t="s">
        <v>443</v>
      </c>
      <c r="O98" s="3"/>
      <c r="P98" s="3" t="str">
        <f>HYPERLINK("http://www.paremo.ru/upload/images/goods/7034b04d-e7ce-45f4-b313-7f3227b13c9c_01.jpg", "Фото 1")</f>
        <v>Фото 1</v>
      </c>
      <c r="Q98" s="3" t="str">
        <f>HYPERLINK("http://www.paremo.ru/upload/images/goods/7034b04d-e7ce-45f4-b313-7f3227b13c9c_02.jpg", "Фото 2")</f>
        <v>Фото 2</v>
      </c>
      <c r="R98" s="3" t="str">
        <f>HYPERLINK("http://www.paremo.ru/upload/images/goods/7034b04d-e7ce-45f4-b313-7f3227b13c9c_03.jpg", "Фото 3")</f>
        <v>Фото 3</v>
      </c>
      <c r="S98" s="3" t="str">
        <f>HYPERLINK("http://www.paremo.ru/upload/images/goods/7034b04d-e7ce-45f4-b313-7f3227b13c9c_04.jpg", "Фото 4")</f>
        <v>Фото 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 t="s">
        <v>57</v>
      </c>
      <c r="BE98" s="4">
        <v>4820109000</v>
      </c>
    </row>
    <row r="99" spans="1:57" ht="99.95" customHeight="1" x14ac:dyDescent="0.2">
      <c r="A99" s="3" t="s">
        <v>196</v>
      </c>
      <c r="B99" s="3" t="s">
        <v>264</v>
      </c>
      <c r="C99" s="3" t="s">
        <v>59</v>
      </c>
      <c r="D99" s="3" t="s">
        <v>60</v>
      </c>
      <c r="E99" s="12" t="s">
        <v>444</v>
      </c>
      <c r="F99" s="7">
        <v>694704114301</v>
      </c>
      <c r="G99" s="3" t="s">
        <v>445</v>
      </c>
      <c r="H99" s="3" t="s">
        <v>446</v>
      </c>
      <c r="I99" s="3" t="s">
        <v>76</v>
      </c>
      <c r="J99" s="3" t="s">
        <v>446</v>
      </c>
      <c r="K99" s="5">
        <v>8.6800000000000002E-3</v>
      </c>
      <c r="L99" s="9">
        <v>0.57999999999999996</v>
      </c>
      <c r="M99" s="3" t="s">
        <v>164</v>
      </c>
      <c r="N99" s="12" t="s">
        <v>447</v>
      </c>
      <c r="O99" s="3"/>
      <c r="P99" s="3" t="str">
        <f>HYPERLINK("http://www.paremo.ru/upload/images/goods/2a7dd475-8f55-45cd-9fcf-d343b6ced692_01.jpg", "Фото 1")</f>
        <v>Фото 1</v>
      </c>
      <c r="Q99" s="3" t="str">
        <f>HYPERLINK("http://www.paremo.ru/upload/images/goods/2a7dd475-8f55-45cd-9fcf-d343b6ced692_02.jpg", "Фото 2")</f>
        <v>Фото 2</v>
      </c>
      <c r="R99" s="3" t="str">
        <f>HYPERLINK("http://www.paremo.ru/upload/images/goods/2a7dd475-8f55-45cd-9fcf-d343b6ced692_03.jpg", "Фото 3")</f>
        <v>Фото 3</v>
      </c>
      <c r="S99" s="3" t="str">
        <f>HYPERLINK("http://www.paremo.ru/upload/images/goods/2a7dd475-8f55-45cd-9fcf-d343b6ced692_04.jpg", "Фото 4")</f>
        <v>Фото 4</v>
      </c>
      <c r="T99" s="3" t="str">
        <f>HYPERLINK("http://www.paremo.ru/upload/images/goods/2a7dd475-8f55-45cd-9fcf-d343b6ced692_05.jpg", "Фото 5")</f>
        <v>Фото 5</v>
      </c>
      <c r="U99" s="3" t="str">
        <f>HYPERLINK("http://www.paremo.ru/upload/images/goods/2a7dd475-8f55-45cd-9fcf-d343b6ced692_06.jpg", "Фото 6")</f>
        <v>Фото 6</v>
      </c>
      <c r="V99" s="3" t="str">
        <f>HYPERLINK("http://www.paremo.ru/upload/images/goods/2a7dd475-8f55-45cd-9fcf-d343b6ced692_07.jpg", "Фото 7")</f>
        <v>Фото 7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 t="s">
        <v>57</v>
      </c>
      <c r="BE99" s="4">
        <v>9503007000</v>
      </c>
    </row>
    <row r="100" spans="1:57" ht="99.95" customHeight="1" x14ac:dyDescent="0.2">
      <c r="A100" s="3" t="s">
        <v>196</v>
      </c>
      <c r="B100" s="3" t="s">
        <v>264</v>
      </c>
      <c r="C100" s="3" t="s">
        <v>59</v>
      </c>
      <c r="D100" s="3" t="s">
        <v>60</v>
      </c>
      <c r="E100" s="12" t="s">
        <v>448</v>
      </c>
      <c r="F100" s="7">
        <v>694704114325</v>
      </c>
      <c r="G100" s="3" t="s">
        <v>449</v>
      </c>
      <c r="H100" s="3" t="s">
        <v>450</v>
      </c>
      <c r="I100" s="3" t="s">
        <v>76</v>
      </c>
      <c r="J100" s="3" t="s">
        <v>450</v>
      </c>
      <c r="K100" s="5">
        <v>1.25E-3</v>
      </c>
      <c r="L100" s="9">
        <v>0.23</v>
      </c>
      <c r="M100" s="3" t="s">
        <v>65</v>
      </c>
      <c r="N100" s="12" t="s">
        <v>451</v>
      </c>
      <c r="O100" s="3"/>
      <c r="P100" s="3" t="str">
        <f>HYPERLINK("http://www.paremo.ru/upload/images/goods/ffcdd317-f97c-48e5-9fc8-eb07e057d430_01.jpg", "Фото 1")</f>
        <v>Фото 1</v>
      </c>
      <c r="Q100" s="3" t="str">
        <f>HYPERLINK("http://www.paremo.ru/upload/images/goods/ffcdd317-f97c-48e5-9fc8-eb07e057d430_02.jpg", "Фото 2")</f>
        <v>Фото 2</v>
      </c>
      <c r="R100" s="3" t="str">
        <f>HYPERLINK("http://www.paremo.ru/upload/images/goods/ffcdd317-f97c-48e5-9fc8-eb07e057d430_03.jpg", "Фото 3")</f>
        <v>Фото 3</v>
      </c>
      <c r="S100" s="3" t="str">
        <f>HYPERLINK("http://www.paremo.ru/upload/images/goods/ffcdd317-f97c-48e5-9fc8-eb07e057d430_04.jpg", "Фото 4")</f>
        <v>Фото 4</v>
      </c>
      <c r="T100" s="3" t="str">
        <f>HYPERLINK("http://www.paremo.ru/upload/images/goods/ffcdd317-f97c-48e5-9fc8-eb07e057d430_05.jpg", "Фото 5")</f>
        <v>Фото 5</v>
      </c>
      <c r="U100" s="3" t="str">
        <f>HYPERLINK("http://www.paremo.ru/upload/images/goods/ffcdd317-f97c-48e5-9fc8-eb07e057d430_06.jpg", "Фото 6")</f>
        <v>Фото 6</v>
      </c>
      <c r="V100" s="3" t="str">
        <f>HYPERLINK("http://www.paremo.ru/upload/images/goods/ffcdd317-f97c-48e5-9fc8-eb07e057d430_07.jpg", "Фото 7")</f>
        <v>Фото 7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 t="s">
        <v>57</v>
      </c>
      <c r="BE100" s="4">
        <v>9608500000</v>
      </c>
    </row>
    <row r="101" spans="1:57" ht="99.95" customHeight="1" x14ac:dyDescent="0.2">
      <c r="A101" s="3" t="s">
        <v>196</v>
      </c>
      <c r="B101" s="3" t="s">
        <v>264</v>
      </c>
      <c r="C101" s="3" t="s">
        <v>59</v>
      </c>
      <c r="D101" s="3" t="s">
        <v>60</v>
      </c>
      <c r="E101" s="12" t="s">
        <v>452</v>
      </c>
      <c r="F101" s="7">
        <v>694704114356</v>
      </c>
      <c r="G101" s="3" t="s">
        <v>453</v>
      </c>
      <c r="H101" s="3" t="s">
        <v>454</v>
      </c>
      <c r="I101" s="3" t="s">
        <v>76</v>
      </c>
      <c r="J101" s="3" t="s">
        <v>454</v>
      </c>
      <c r="K101" s="5">
        <v>1.24E-3</v>
      </c>
      <c r="L101" s="9">
        <v>0.16</v>
      </c>
      <c r="M101" s="3" t="s">
        <v>163</v>
      </c>
      <c r="N101" s="12" t="s">
        <v>455</v>
      </c>
      <c r="O101" s="3"/>
      <c r="P101" s="3" t="str">
        <f>HYPERLINK("http://www.paremo.ru/upload/images/goods/1f24a1b8-6b19-4793-8573-dbf072ef6439_01.jpg", "Фото 1")</f>
        <v>Фото 1</v>
      </c>
      <c r="Q101" s="3" t="str">
        <f>HYPERLINK("http://www.paremo.ru/upload/images/goods/1f24a1b8-6b19-4793-8573-dbf072ef6439_02.jpg", "Фото 2")</f>
        <v>Фото 2</v>
      </c>
      <c r="R101" s="3" t="str">
        <f>HYPERLINK("http://www.paremo.ru/upload/images/goods/1f24a1b8-6b19-4793-8573-dbf072ef6439_03.jpg", "Фото 3")</f>
        <v>Фото 3</v>
      </c>
      <c r="S101" s="3" t="str">
        <f>HYPERLINK("http://www.paremo.ru/upload/images/goods/1f24a1b8-6b19-4793-8573-dbf072ef6439_04.jpg", "Фото 4")</f>
        <v>Фото 4</v>
      </c>
      <c r="T101" s="3" t="str">
        <f>HYPERLINK("http://www.paremo.ru/upload/images/goods/1f24a1b8-6b19-4793-8573-dbf072ef6439_05.jpg", "Фото 5")</f>
        <v>Фото 5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 t="s">
        <v>57</v>
      </c>
      <c r="BE101" s="4">
        <v>9503007000</v>
      </c>
    </row>
    <row r="102" spans="1:57" ht="99.95" customHeight="1" x14ac:dyDescent="0.2">
      <c r="A102" s="3" t="s">
        <v>196</v>
      </c>
      <c r="B102" s="3" t="s">
        <v>264</v>
      </c>
      <c r="C102" s="3" t="s">
        <v>59</v>
      </c>
      <c r="D102" s="3" t="s">
        <v>60</v>
      </c>
      <c r="E102" s="12" t="s">
        <v>456</v>
      </c>
      <c r="F102" s="7">
        <v>694704114400</v>
      </c>
      <c r="G102" s="3" t="s">
        <v>457</v>
      </c>
      <c r="H102" s="3" t="s">
        <v>458</v>
      </c>
      <c r="I102" s="3" t="s">
        <v>76</v>
      </c>
      <c r="J102" s="3" t="s">
        <v>458</v>
      </c>
      <c r="K102" s="8">
        <v>1E-3</v>
      </c>
      <c r="L102" s="9">
        <v>0.12</v>
      </c>
      <c r="M102" s="3" t="s">
        <v>459</v>
      </c>
      <c r="N102" s="12" t="s">
        <v>460</v>
      </c>
      <c r="O102" s="3"/>
      <c r="P102" s="3" t="str">
        <f>HYPERLINK("http://www.paremo.ru/upload/images/goods/3627373e-36f1-45fa-834d-f9ab87b9c505_01.jpg", "Фото 1")</f>
        <v>Фото 1</v>
      </c>
      <c r="Q102" s="3" t="str">
        <f>HYPERLINK("http://www.paremo.ru/upload/images/goods/3627373e-36f1-45fa-834d-f9ab87b9c505_02.jpg", "Фото 2")</f>
        <v>Фото 2</v>
      </c>
      <c r="R102" s="3" t="str">
        <f>HYPERLINK("http://www.paremo.ru/upload/images/goods/3627373e-36f1-45fa-834d-f9ab87b9c505_03.jpg", "Фото 3")</f>
        <v>Фото 3</v>
      </c>
      <c r="S102" s="3" t="str">
        <f>HYPERLINK("http://www.paremo.ru/upload/images/goods/3627373e-36f1-45fa-834d-f9ab87b9c505_04.jpg", "Фото 4")</f>
        <v>Фото 4</v>
      </c>
      <c r="T102" s="3" t="str">
        <f>HYPERLINK("http://www.paremo.ru/upload/images/goods/3627373e-36f1-45fa-834d-f9ab87b9c505_05.jpg", "Фото 5")</f>
        <v>Фото 5</v>
      </c>
      <c r="U102" s="3" t="str">
        <f>HYPERLINK("http://www.paremo.ru/upload/images/goods/3627373e-36f1-45fa-834d-f9ab87b9c505_06.jpg", "Фото 6")</f>
        <v>Фото 6</v>
      </c>
      <c r="V102" s="3" t="str">
        <f>HYPERLINK("http://www.paremo.ru/upload/images/goods/3627373e-36f1-45fa-834d-f9ab87b9c505_07.jpg", "Фото 7")</f>
        <v>Фото 7</v>
      </c>
      <c r="W102" s="3" t="str">
        <f>HYPERLINK("http://www.paremo.ru/upload/images/goods/3627373e-36f1-45fa-834d-f9ab87b9c505_08.jpg", "Фото 8")</f>
        <v>Фото 8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 t="s">
        <v>57</v>
      </c>
      <c r="BE102" s="4">
        <v>9503007000</v>
      </c>
    </row>
    <row r="103" spans="1:57" ht="99.95" customHeight="1" x14ac:dyDescent="0.2">
      <c r="A103" s="3" t="s">
        <v>196</v>
      </c>
      <c r="B103" s="3" t="s">
        <v>264</v>
      </c>
      <c r="C103" s="3" t="s">
        <v>59</v>
      </c>
      <c r="D103" s="3" t="s">
        <v>60</v>
      </c>
      <c r="E103" s="12" t="s">
        <v>461</v>
      </c>
      <c r="F103" s="7">
        <v>694704114417</v>
      </c>
      <c r="G103" s="3" t="s">
        <v>457</v>
      </c>
      <c r="H103" s="3" t="s">
        <v>462</v>
      </c>
      <c r="I103" s="3" t="s">
        <v>76</v>
      </c>
      <c r="J103" s="3" t="s">
        <v>462</v>
      </c>
      <c r="K103" s="8">
        <v>1E-3</v>
      </c>
      <c r="L103" s="9">
        <v>0.08</v>
      </c>
      <c r="M103" s="3" t="s">
        <v>65</v>
      </c>
      <c r="N103" s="12" t="s">
        <v>460</v>
      </c>
      <c r="O103" s="3"/>
      <c r="P103" s="3" t="str">
        <f>HYPERLINK("http://www.paremo.ru/upload/images/goods/fb690291-948e-4b6b-9a9e-5fee32307584_01.jpg", "Фото 1")</f>
        <v>Фото 1</v>
      </c>
      <c r="Q103" s="3" t="str">
        <f>HYPERLINK("http://www.paremo.ru/upload/images/goods/fb690291-948e-4b6b-9a9e-5fee32307584_02.jpg", "Фото 2")</f>
        <v>Фото 2</v>
      </c>
      <c r="R103" s="3" t="str">
        <f>HYPERLINK("http://www.paremo.ru/upload/images/goods/fb690291-948e-4b6b-9a9e-5fee32307584_03.jpg", "Фото 3")</f>
        <v>Фото 3</v>
      </c>
      <c r="S103" s="3" t="str">
        <f>HYPERLINK("http://www.paremo.ru/upload/images/goods/fb690291-948e-4b6b-9a9e-5fee32307584_04.jpg", "Фото 4")</f>
        <v>Фото 4</v>
      </c>
      <c r="T103" s="3" t="str">
        <f>HYPERLINK("http://www.paremo.ru/upload/images/goods/fb690291-948e-4b6b-9a9e-5fee32307584_05.jpg", "Фото 5")</f>
        <v>Фото 5</v>
      </c>
      <c r="U103" s="3" t="str">
        <f>HYPERLINK("http://www.paremo.ru/upload/images/goods/fb690291-948e-4b6b-9a9e-5fee32307584_06.jpg", "Фото 6")</f>
        <v>Фото 6</v>
      </c>
      <c r="V103" s="3" t="str">
        <f>HYPERLINK("http://www.paremo.ru/upload/images/goods/fb690291-948e-4b6b-9a9e-5fee32307584_07.jpg", "Фото 7")</f>
        <v>Фото 7</v>
      </c>
      <c r="W103" s="3" t="str">
        <f>HYPERLINK("http://www.paremo.ru/upload/images/goods/fb690291-948e-4b6b-9a9e-5fee32307584_08.jpg", "Фото 8")</f>
        <v>Фото 8</v>
      </c>
      <c r="X103" s="3" t="str">
        <f>HYPERLINK("http://www.paremo.ru/upload/images/goods/fb690291-948e-4b6b-9a9e-5fee32307584_09.jpg", "Фото 9")</f>
        <v>Фото 9</v>
      </c>
      <c r="Y103" s="3" t="str">
        <f>HYPERLINK("http://www.paremo.ru/upload/images/goods/fb690291-948e-4b6b-9a9e-5fee32307584_10.jpg", "Фото 10")</f>
        <v>Фото 10</v>
      </c>
      <c r="Z103" s="3" t="str">
        <f>HYPERLINK("http://www.paremo.ru/upload/images/goods/fb690291-948e-4b6b-9a9e-5fee32307584_11.jpg", "Фото 11")</f>
        <v>Фото 11</v>
      </c>
      <c r="AA103" s="3" t="str">
        <f>HYPERLINK("http://www.paremo.ru/upload/images/goods/fb690291-948e-4b6b-9a9e-5fee32307584_12.jpg", "Фото 12")</f>
        <v>Фото 12</v>
      </c>
      <c r="AB103" s="3" t="str">
        <f>HYPERLINK("http://www.paremo.ru/upload/images/goods/fb690291-948e-4b6b-9a9e-5fee32307584_13.jpg", "Фото 13")</f>
        <v>Фото 13</v>
      </c>
      <c r="AC103" s="3" t="str">
        <f>HYPERLINK("http://www.paremo.ru/upload/images/goods/fb690291-948e-4b6b-9a9e-5fee32307584_14.jpg", "Фото 14")</f>
        <v>Фото 14</v>
      </c>
      <c r="AD103" s="3" t="str">
        <f>HYPERLINK("http://www.paremo.ru/upload/images/goods/fb690291-948e-4b6b-9a9e-5fee32307584_15.jpg", "Фото 15")</f>
        <v>Фото 15</v>
      </c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 t="s">
        <v>57</v>
      </c>
      <c r="BE103" s="4">
        <v>9503007000</v>
      </c>
    </row>
    <row r="104" spans="1:57" ht="99.95" customHeight="1" x14ac:dyDescent="0.2">
      <c r="A104" s="3" t="s">
        <v>196</v>
      </c>
      <c r="B104" s="3" t="s">
        <v>264</v>
      </c>
      <c r="C104" s="3" t="s">
        <v>59</v>
      </c>
      <c r="D104" s="3" t="s">
        <v>60</v>
      </c>
      <c r="E104" s="12" t="s">
        <v>463</v>
      </c>
      <c r="F104" s="7">
        <v>694704114523</v>
      </c>
      <c r="G104" s="3" t="s">
        <v>464</v>
      </c>
      <c r="H104" s="3" t="s">
        <v>465</v>
      </c>
      <c r="I104" s="3" t="s">
        <v>76</v>
      </c>
      <c r="J104" s="3" t="s">
        <v>465</v>
      </c>
      <c r="K104" s="8">
        <v>1E-3</v>
      </c>
      <c r="L104" s="9">
        <v>0.18</v>
      </c>
      <c r="M104" s="3" t="s">
        <v>194</v>
      </c>
      <c r="N104" s="12" t="s">
        <v>466</v>
      </c>
      <c r="O104" s="3"/>
      <c r="P104" s="3" t="str">
        <f>HYPERLINK("http://www.paremo.ru/upload/images/goods/a10acf18-2433-4035-a3da-a4de211a10f3_01.jpg", "Фото 1")</f>
        <v>Фото 1</v>
      </c>
      <c r="Q104" s="3" t="str">
        <f>HYPERLINK("http://www.paremo.ru/upload/images/goods/a10acf18-2433-4035-a3da-a4de211a10f3_02.jpg", "Фото 2")</f>
        <v>Фото 2</v>
      </c>
      <c r="R104" s="3" t="str">
        <f>HYPERLINK("http://www.paremo.ru/upload/images/goods/a10acf18-2433-4035-a3da-a4de211a10f3_03.jpg", "Фото 3")</f>
        <v>Фото 3</v>
      </c>
      <c r="S104" s="3" t="str">
        <f>HYPERLINK("http://www.paremo.ru/upload/images/goods/a10acf18-2433-4035-a3da-a4de211a10f3_04.jpg", "Фото 4")</f>
        <v>Фото 4</v>
      </c>
      <c r="T104" s="3" t="str">
        <f>HYPERLINK("http://www.paremo.ru/upload/images/goods/a10acf18-2433-4035-a3da-a4de211a10f3_05.jpg", "Фото 5")</f>
        <v>Фото 5</v>
      </c>
      <c r="U104" s="3" t="str">
        <f>HYPERLINK("http://www.paremo.ru/upload/images/goods/a10acf18-2433-4035-a3da-a4de211a10f3_06.jpg", "Фото 6")</f>
        <v>Фото 6</v>
      </c>
      <c r="V104" s="3" t="str">
        <f>HYPERLINK("http://www.paremo.ru/upload/images/goods/a10acf18-2433-4035-a3da-a4de211a10f3_07.jpg", "Фото 7")</f>
        <v>Фото 7</v>
      </c>
      <c r="W104" s="3" t="str">
        <f>HYPERLINK("http://www.paremo.ru/upload/images/goods/a10acf18-2433-4035-a3da-a4de211a10f3_08.jpg", "Фото 8")</f>
        <v>Фото 8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 t="s">
        <v>57</v>
      </c>
      <c r="BE104" s="4">
        <v>4820109000</v>
      </c>
    </row>
    <row r="105" spans="1:57" ht="99.95" customHeight="1" x14ac:dyDescent="0.2">
      <c r="A105" s="3" t="s">
        <v>196</v>
      </c>
      <c r="B105" s="3" t="s">
        <v>264</v>
      </c>
      <c r="C105" s="3" t="s">
        <v>59</v>
      </c>
      <c r="D105" s="3" t="s">
        <v>60</v>
      </c>
      <c r="E105" s="12" t="s">
        <v>467</v>
      </c>
      <c r="F105" s="7">
        <v>694704114714</v>
      </c>
      <c r="G105" s="3" t="s">
        <v>468</v>
      </c>
      <c r="H105" s="3" t="s">
        <v>469</v>
      </c>
      <c r="I105" s="3" t="s">
        <v>76</v>
      </c>
      <c r="J105" s="3" t="s">
        <v>469</v>
      </c>
      <c r="K105" s="5">
        <v>1.8500000000000001E-3</v>
      </c>
      <c r="L105" s="6">
        <v>0.4</v>
      </c>
      <c r="M105" s="3" t="s">
        <v>194</v>
      </c>
      <c r="N105" s="12" t="s">
        <v>470</v>
      </c>
      <c r="O105" s="3"/>
      <c r="P105" s="3" t="str">
        <f>HYPERLINK("http://www.paremo.ru/upload/images/goods/93665148-e40e-4e15-8f55-78ea77bbcb4a_01.jpg", "Фото 1")</f>
        <v>Фото 1</v>
      </c>
      <c r="Q105" s="3" t="str">
        <f>HYPERLINK("http://www.paremo.ru/upload/images/goods/93665148-e40e-4e15-8f55-78ea77bbcb4a_02.jpg", "Фото 2")</f>
        <v>Фото 2</v>
      </c>
      <c r="R105" s="3" t="str">
        <f>HYPERLINK("http://www.paremo.ru/upload/images/goods/93665148-e40e-4e15-8f55-78ea77bbcb4a_03.jpg", "Фото 3")</f>
        <v>Фото 3</v>
      </c>
      <c r="S105" s="3" t="str">
        <f>HYPERLINK("http://www.paremo.ru/upload/images/goods/93665148-e40e-4e15-8f55-78ea77bbcb4a_04.jpg", "Фото 4")</f>
        <v>Фото 4</v>
      </c>
      <c r="T105" s="3" t="str">
        <f>HYPERLINK("http://www.paremo.ru/upload/images/goods/93665148-e40e-4e15-8f55-78ea77bbcb4a_05.jpg", "Фото 5")</f>
        <v>Фото 5</v>
      </c>
      <c r="U105" s="3" t="str">
        <f>HYPERLINK("http://www.paremo.ru/upload/images/goods/93665148-e40e-4e15-8f55-78ea77bbcb4a_06.jpg", "Фото 6")</f>
        <v>Фото 6</v>
      </c>
      <c r="V105" s="3" t="str">
        <f>HYPERLINK("http://www.paremo.ru/upload/images/goods/93665148-e40e-4e15-8f55-78ea77bbcb4a_07.jpg", "Фото 7")</f>
        <v>Фото 7</v>
      </c>
      <c r="W105" s="3" t="str">
        <f>HYPERLINK("http://www.paremo.ru/upload/images/goods/93665148-e40e-4e15-8f55-78ea77bbcb4a_08.jpg", "Фото 8")</f>
        <v>Фото 8</v>
      </c>
      <c r="X105" s="3" t="str">
        <f>HYPERLINK("http://www.paremo.ru/upload/images/goods/93665148-e40e-4e15-8f55-78ea77bbcb4a_09.jpg", "Фото 9")</f>
        <v>Фото 9</v>
      </c>
      <c r="Y105" s="3" t="str">
        <f>HYPERLINK("http://www.paremo.ru/upload/images/goods/93665148-e40e-4e15-8f55-78ea77bbcb4a_10.jpg", "Фото 10")</f>
        <v>Фото 10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 t="s">
        <v>57</v>
      </c>
      <c r="BE105" s="4">
        <v>4911990000</v>
      </c>
    </row>
    <row r="106" spans="1:57" ht="99.95" customHeight="1" x14ac:dyDescent="0.2">
      <c r="A106" s="3" t="s">
        <v>196</v>
      </c>
      <c r="B106" s="3" t="s">
        <v>264</v>
      </c>
      <c r="C106" s="3" t="s">
        <v>59</v>
      </c>
      <c r="D106" s="3" t="s">
        <v>60</v>
      </c>
      <c r="E106" s="12" t="s">
        <v>471</v>
      </c>
      <c r="F106" s="7">
        <v>694704115407</v>
      </c>
      <c r="G106" s="3" t="s">
        <v>457</v>
      </c>
      <c r="H106" s="3" t="s">
        <v>472</v>
      </c>
      <c r="I106" s="3" t="s">
        <v>76</v>
      </c>
      <c r="J106" s="3" t="s">
        <v>472</v>
      </c>
      <c r="K106" s="5">
        <v>1.1199999999999999E-3</v>
      </c>
      <c r="L106" s="9">
        <v>0.08</v>
      </c>
      <c r="M106" s="3" t="s">
        <v>459</v>
      </c>
      <c r="N106" s="12" t="s">
        <v>473</v>
      </c>
      <c r="O106" s="3"/>
      <c r="P106" s="3" t="str">
        <f>HYPERLINK("http://www.paremo.ru/upload/images/goods/867edffe-e8a6-44af-9fab-3d24a0ad04b3_01.jpg", "Фото 1")</f>
        <v>Фото 1</v>
      </c>
      <c r="Q106" s="3" t="str">
        <f>HYPERLINK("http://www.paremo.ru/upload/images/goods/867edffe-e8a6-44af-9fab-3d24a0ad04b3_02.jpg", "Фото 2")</f>
        <v>Фото 2</v>
      </c>
      <c r="R106" s="3" t="str">
        <f>HYPERLINK("http://www.paremo.ru/upload/images/goods/867edffe-e8a6-44af-9fab-3d24a0ad04b3_03.jpg", "Фото 3")</f>
        <v>Фото 3</v>
      </c>
      <c r="S106" s="3" t="str">
        <f>HYPERLINK("http://www.paremo.ru/upload/images/goods/867edffe-e8a6-44af-9fab-3d24a0ad04b3_04.jpg", "Фото 4")</f>
        <v>Фото 4</v>
      </c>
      <c r="T106" s="3" t="str">
        <f>HYPERLINK("http://www.paremo.ru/upload/images/goods/867edffe-e8a6-44af-9fab-3d24a0ad04b3_05.jpg", "Фото 5")</f>
        <v>Фото 5</v>
      </c>
      <c r="U106" s="3" t="str">
        <f>HYPERLINK("http://www.paremo.ru/upload/images/goods/867edffe-e8a6-44af-9fab-3d24a0ad04b3_06.jpg", "Фото 6")</f>
        <v>Фото 6</v>
      </c>
      <c r="V106" s="3" t="str">
        <f>HYPERLINK("http://www.paremo.ru/upload/images/goods/867edffe-e8a6-44af-9fab-3d24a0ad04b3_07.jpg", "Фото 7")</f>
        <v>Фото 7</v>
      </c>
      <c r="W106" s="3" t="str">
        <f>HYPERLINK("http://www.paremo.ru/upload/images/goods/867edffe-e8a6-44af-9fab-3d24a0ad04b3_08.jpg", "Фото 8")</f>
        <v>Фото 8</v>
      </c>
      <c r="X106" s="3" t="str">
        <f>HYPERLINK("http://www.paremo.ru/upload/images/goods/867edffe-e8a6-44af-9fab-3d24a0ad04b3_09.jpg", "Фото 9")</f>
        <v>Фото 9</v>
      </c>
      <c r="Y106" s="3" t="str">
        <f>HYPERLINK("http://www.paremo.ru/upload/images/goods/867edffe-e8a6-44af-9fab-3d24a0ad04b3_10.jpg", "Фото 10")</f>
        <v>Фото 10</v>
      </c>
      <c r="Z106" s="3" t="str">
        <f>HYPERLINK("http://www.paremo.ru/upload/images/goods/867edffe-e8a6-44af-9fab-3d24a0ad04b3_11.jpg", "Фото 11")</f>
        <v>Фото 11</v>
      </c>
      <c r="AA106" s="3" t="str">
        <f>HYPERLINK("http://www.paremo.ru/upload/images/goods/867edffe-e8a6-44af-9fab-3d24a0ad04b3_12.jpg", "Фото 12")</f>
        <v>Фото 12</v>
      </c>
      <c r="AB106" s="3" t="str">
        <f>HYPERLINK("http://www.paremo.ru/upload/images/goods/867edffe-e8a6-44af-9fab-3d24a0ad04b3_13.jpg", "Фото 13")</f>
        <v>Фото 13</v>
      </c>
      <c r="AC106" s="3" t="str">
        <f>HYPERLINK("http://www.paremo.ru/upload/images/goods/867edffe-e8a6-44af-9fab-3d24a0ad04b3_14.jpg", "Фото 14")</f>
        <v>Фото 14</v>
      </c>
      <c r="AD106" s="3" t="str">
        <f>HYPERLINK("http://www.paremo.ru/upload/images/goods/867edffe-e8a6-44af-9fab-3d24a0ad04b3_15.jpg", "Фото 15")</f>
        <v>Фото 15</v>
      </c>
      <c r="AE106" s="3" t="str">
        <f>HYPERLINK("http://www.paremo.ru/upload/images/goods/867edffe-e8a6-44af-9fab-3d24a0ad04b3_16.jpg", "Фото 16")</f>
        <v>Фото 16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 t="s">
        <v>57</v>
      </c>
      <c r="BE106" s="4">
        <v>9503007000</v>
      </c>
    </row>
    <row r="107" spans="1:57" ht="99.95" customHeight="1" x14ac:dyDescent="0.2">
      <c r="A107" s="3" t="s">
        <v>196</v>
      </c>
      <c r="B107" s="3" t="s">
        <v>264</v>
      </c>
      <c r="C107" s="3" t="s">
        <v>59</v>
      </c>
      <c r="D107" s="3" t="s">
        <v>60</v>
      </c>
      <c r="E107" s="12" t="s">
        <v>474</v>
      </c>
      <c r="F107" s="7">
        <v>694704125536</v>
      </c>
      <c r="G107" s="3" t="s">
        <v>475</v>
      </c>
      <c r="H107" s="3" t="s">
        <v>161</v>
      </c>
      <c r="I107" s="3" t="s">
        <v>88</v>
      </c>
      <c r="J107" s="3" t="s">
        <v>161</v>
      </c>
      <c r="K107" s="8">
        <v>1E-3</v>
      </c>
      <c r="L107" s="9">
        <v>0.08</v>
      </c>
      <c r="M107" s="3" t="s">
        <v>116</v>
      </c>
      <c r="N107" s="12" t="s">
        <v>476</v>
      </c>
      <c r="O107" s="3"/>
      <c r="P107" s="3" t="str">
        <f>HYPERLINK("http://www.paremo.ru/upload/images/goods/32fe02fe-b3b7-44ea-a3f2-f39176e93fef_01.jpg", "Фото 1")</f>
        <v>Фото 1</v>
      </c>
      <c r="Q107" s="3" t="str">
        <f>HYPERLINK("http://www.paremo.ru/upload/images/goods/32fe02fe-b3b7-44ea-a3f2-f39176e93fef_02.jpg", "Фото 2")</f>
        <v>Фото 2</v>
      </c>
      <c r="R107" s="3" t="str">
        <f>HYPERLINK("http://www.paremo.ru/upload/images/goods/32fe02fe-b3b7-44ea-a3f2-f39176e93fef_03.jpg", "Фото 3")</f>
        <v>Фото 3</v>
      </c>
      <c r="S107" s="3" t="str">
        <f>HYPERLINK("http://www.paremo.ru/upload/images/goods/32fe02fe-b3b7-44ea-a3f2-f39176e93fef_04.jpg", "Фото 4")</f>
        <v>Фото 4</v>
      </c>
      <c r="T107" s="3" t="str">
        <f>HYPERLINK("http://www.paremo.ru/upload/images/goods/32fe02fe-b3b7-44ea-a3f2-f39176e93fef_05.jpg", "Фото 5")</f>
        <v>Фото 5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 t="s">
        <v>57</v>
      </c>
      <c r="BE107" s="4">
        <v>3926200000</v>
      </c>
    </row>
    <row r="108" spans="1:57" ht="99.95" customHeight="1" x14ac:dyDescent="0.2">
      <c r="A108" s="3" t="s">
        <v>196</v>
      </c>
      <c r="B108" s="3" t="s">
        <v>477</v>
      </c>
      <c r="C108" s="3" t="s">
        <v>59</v>
      </c>
      <c r="D108" s="3" t="s">
        <v>60</v>
      </c>
      <c r="E108" s="12" t="s">
        <v>478</v>
      </c>
      <c r="F108" s="7">
        <v>694704110112</v>
      </c>
      <c r="G108" s="3" t="s">
        <v>479</v>
      </c>
      <c r="H108" s="3" t="s">
        <v>269</v>
      </c>
      <c r="I108" s="3" t="s">
        <v>76</v>
      </c>
      <c r="J108" s="3" t="s">
        <v>269</v>
      </c>
      <c r="K108" s="5">
        <v>1.23E-3</v>
      </c>
      <c r="L108" s="9">
        <v>0.27</v>
      </c>
      <c r="M108" s="3" t="s">
        <v>164</v>
      </c>
      <c r="N108" s="12" t="s">
        <v>480</v>
      </c>
      <c r="O108" s="3"/>
      <c r="P108" s="3" t="str">
        <f>HYPERLINK("http://www.paremo.ru/upload/images/goods/fa6f8021-874f-4a96-a820-a1a6a64ef9f4_01.jpg", "Фото 1")</f>
        <v>Фото 1</v>
      </c>
      <c r="Q108" s="3" t="str">
        <f>HYPERLINK("http://www.paremo.ru/upload/images/goods/fa6f8021-874f-4a96-a820-a1a6a64ef9f4_02.jpg", "Фото 2")</f>
        <v>Фото 2</v>
      </c>
      <c r="R108" s="3" t="str">
        <f>HYPERLINK("http://www.paremo.ru/upload/images/goods/fa6f8021-874f-4a96-a820-a1a6a64ef9f4_03.jpg", "Фото 3")</f>
        <v>Фото 3</v>
      </c>
      <c r="S108" s="3" t="str">
        <f>HYPERLINK("http://www.paremo.ru/upload/images/goods/fa6f8021-874f-4a96-a820-a1a6a64ef9f4_04.jpg", "Фото 4")</f>
        <v>Фото 4</v>
      </c>
      <c r="T108" s="3" t="str">
        <f>HYPERLINK("http://www.paremo.ru/upload/images/goods/fa6f8021-874f-4a96-a820-a1a6a64ef9f4_05.jpg", "Фото 5")</f>
        <v>Фото 5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 t="s">
        <v>481</v>
      </c>
      <c r="BD108" s="3" t="s">
        <v>57</v>
      </c>
      <c r="BE108" s="4">
        <v>9503007000</v>
      </c>
    </row>
    <row r="109" spans="1:57" ht="99.95" customHeight="1" x14ac:dyDescent="0.2">
      <c r="A109" s="3" t="s">
        <v>196</v>
      </c>
      <c r="B109" s="3" t="s">
        <v>477</v>
      </c>
      <c r="C109" s="3" t="s">
        <v>59</v>
      </c>
      <c r="D109" s="3" t="s">
        <v>60</v>
      </c>
      <c r="E109" s="12" t="s">
        <v>482</v>
      </c>
      <c r="F109" s="7">
        <v>694704110259</v>
      </c>
      <c r="G109" s="3" t="s">
        <v>483</v>
      </c>
      <c r="H109" s="3" t="s">
        <v>484</v>
      </c>
      <c r="I109" s="3" t="s">
        <v>76</v>
      </c>
      <c r="J109" s="3" t="s">
        <v>484</v>
      </c>
      <c r="K109" s="8">
        <v>1E-3</v>
      </c>
      <c r="L109" s="8">
        <v>0.23499999999999999</v>
      </c>
      <c r="M109" s="3" t="s">
        <v>163</v>
      </c>
      <c r="N109" s="12" t="s">
        <v>485</v>
      </c>
      <c r="O109" s="3"/>
      <c r="P109" s="3" t="str">
        <f>HYPERLINK("http://www.paremo.ru/upload/images/goods/0007e09f-d1a2-4d26-9c29-f212102c9c80_01.jpg", "Фото 1")</f>
        <v>Фото 1</v>
      </c>
      <c r="Q109" s="3" t="str">
        <f>HYPERLINK("http://www.paremo.ru/upload/images/goods/0007e09f-d1a2-4d26-9c29-f212102c9c80_02.jpg", "Фото 2")</f>
        <v>Фото 2</v>
      </c>
      <c r="R109" s="3" t="str">
        <f>HYPERLINK("http://www.paremo.ru/upload/images/goods/0007e09f-d1a2-4d26-9c29-f212102c9c80_03.jpg", "Фото 3")</f>
        <v>Фото 3</v>
      </c>
      <c r="S109" s="3" t="str">
        <f>HYPERLINK("http://www.paremo.ru/upload/images/goods/0007e09f-d1a2-4d26-9c29-f212102c9c80_04.jpg", "Фото 4")</f>
        <v>Фото 4</v>
      </c>
      <c r="T109" s="3" t="str">
        <f>HYPERLINK("http://www.paremo.ru/upload/images/goods/0007e09f-d1a2-4d26-9c29-f212102c9c80_05.jpg", "Фото 5")</f>
        <v>Фото 5</v>
      </c>
      <c r="U109" s="3" t="str">
        <f>HYPERLINK("http://www.paremo.ru/upload/images/goods/0007e09f-d1a2-4d26-9c29-f212102c9c80_06.jpg", "Фото 6")</f>
        <v>Фото 6</v>
      </c>
      <c r="V109" s="3" t="str">
        <f>HYPERLINK("http://www.paremo.ru/upload/images/goods/0007e09f-d1a2-4d26-9c29-f212102c9c80_07.jpg", "Фото 7")</f>
        <v>Фото 7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 t="s">
        <v>57</v>
      </c>
      <c r="BE109" s="4">
        <v>9503007000</v>
      </c>
    </row>
    <row r="110" spans="1:57" ht="99.95" customHeight="1" x14ac:dyDescent="0.2">
      <c r="A110" s="3" t="s">
        <v>196</v>
      </c>
      <c r="B110" s="3" t="s">
        <v>477</v>
      </c>
      <c r="C110" s="3" t="s">
        <v>59</v>
      </c>
      <c r="D110" s="3" t="s">
        <v>60</v>
      </c>
      <c r="E110" s="12" t="s">
        <v>486</v>
      </c>
      <c r="F110" s="7">
        <v>694704114721</v>
      </c>
      <c r="G110" s="3" t="s">
        <v>487</v>
      </c>
      <c r="H110" s="3" t="s">
        <v>469</v>
      </c>
      <c r="I110" s="3" t="s">
        <v>76</v>
      </c>
      <c r="J110" s="3" t="s">
        <v>469</v>
      </c>
      <c r="K110" s="5">
        <v>1.8500000000000001E-3</v>
      </c>
      <c r="L110" s="8">
        <v>0.45500000000000002</v>
      </c>
      <c r="M110" s="3" t="s">
        <v>194</v>
      </c>
      <c r="N110" s="12" t="s">
        <v>488</v>
      </c>
      <c r="O110" s="3"/>
      <c r="P110" s="3" t="str">
        <f>HYPERLINK("http://www.paremo.ru/upload/images/goods/eabf62f2-aee8-49f2-bccd-93503505ecf6_01.jpg", "Фото 1")</f>
        <v>Фото 1</v>
      </c>
      <c r="Q110" s="3" t="str">
        <f>HYPERLINK("http://www.paremo.ru/upload/images/goods/eabf62f2-aee8-49f2-bccd-93503505ecf6_02.jpg", "Фото 2")</f>
        <v>Фото 2</v>
      </c>
      <c r="R110" s="3" t="str">
        <f>HYPERLINK("http://www.paremo.ru/upload/images/goods/eabf62f2-aee8-49f2-bccd-93503505ecf6_03.jpg", "Фото 3")</f>
        <v>Фото 3</v>
      </c>
      <c r="S110" s="3" t="str">
        <f>HYPERLINK("http://www.paremo.ru/upload/images/goods/eabf62f2-aee8-49f2-bccd-93503505ecf6_04.jpg", "Фото 4")</f>
        <v>Фото 4</v>
      </c>
      <c r="T110" s="3" t="str">
        <f>HYPERLINK("http://www.paremo.ru/upload/images/goods/eabf62f2-aee8-49f2-bccd-93503505ecf6_05.jpg", "Фото 5")</f>
        <v>Фото 5</v>
      </c>
      <c r="U110" s="3" t="str">
        <f>HYPERLINK("http://www.paremo.ru/upload/images/goods/eabf62f2-aee8-49f2-bccd-93503505ecf6_06.jpg", "Фото 6")</f>
        <v>Фото 6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 t="s">
        <v>57</v>
      </c>
      <c r="BE110" s="4">
        <v>9503007000</v>
      </c>
    </row>
    <row r="111" spans="1:57" ht="99.95" customHeight="1" x14ac:dyDescent="0.2">
      <c r="A111" s="3" t="s">
        <v>489</v>
      </c>
      <c r="B111" s="3" t="s">
        <v>490</v>
      </c>
      <c r="C111" s="3" t="s">
        <v>59</v>
      </c>
      <c r="D111" s="3" t="s">
        <v>60</v>
      </c>
      <c r="E111" s="12" t="s">
        <v>494</v>
      </c>
      <c r="F111" s="7">
        <v>694704113625</v>
      </c>
      <c r="G111" s="3" t="s">
        <v>495</v>
      </c>
      <c r="H111" s="3" t="s">
        <v>496</v>
      </c>
      <c r="I111" s="3" t="s">
        <v>76</v>
      </c>
      <c r="J111" s="3" t="s">
        <v>496</v>
      </c>
      <c r="K111" s="5">
        <v>5.8399999999999997E-3</v>
      </c>
      <c r="L111" s="9">
        <v>0.96</v>
      </c>
      <c r="M111" s="3" t="s">
        <v>164</v>
      </c>
      <c r="N111" s="12" t="s">
        <v>497</v>
      </c>
      <c r="O111" s="3"/>
      <c r="P111" s="3" t="str">
        <f>HYPERLINK("http://www.paremo.ru/upload/images/goods/1dd601e8-271e-4653-ab28-7c7190e9ef46_01.jpg", "Фото 1")</f>
        <v>Фото 1</v>
      </c>
      <c r="Q111" s="3" t="str">
        <f>HYPERLINK("http://www.paremo.ru/upload/images/goods/1dd601e8-271e-4653-ab28-7c7190e9ef46_02.jpg", "Фото 2")</f>
        <v>Фото 2</v>
      </c>
      <c r="R111" s="3" t="str">
        <f>HYPERLINK("http://www.paremo.ru/upload/images/goods/1dd601e8-271e-4653-ab28-7c7190e9ef46_03.jpg", "Фото 3")</f>
        <v>Фото 3</v>
      </c>
      <c r="S111" s="3" t="str">
        <f>HYPERLINK("http://www.paremo.ru/upload/images/goods/1dd601e8-271e-4653-ab28-7c7190e9ef46_04.jpg", "Фото 4")</f>
        <v>Фото 4</v>
      </c>
      <c r="T111" s="3" t="str">
        <f>HYPERLINK("http://www.paremo.ru/upload/images/goods/1dd601e8-271e-4653-ab28-7c7190e9ef46_05.jpg", "Фото 5")</f>
        <v>Фото 5</v>
      </c>
      <c r="U111" s="3" t="str">
        <f>HYPERLINK("http://www.paremo.ru/upload/images/goods/1dd601e8-271e-4653-ab28-7c7190e9ef46_06.jpg", "Фото 6")</f>
        <v>Фото 6</v>
      </c>
      <c r="V111" s="3" t="str">
        <f>HYPERLINK("http://www.paremo.ru/upload/images/goods/1dd601e8-271e-4653-ab28-7c7190e9ef46_07.jpg", "Фото 7")</f>
        <v>Фото 7</v>
      </c>
      <c r="W111" s="3" t="str">
        <f>HYPERLINK("http://www.paremo.ru/upload/images/goods/1dd601e8-271e-4653-ab28-7c7190e9ef46_08.jpg", "Фото 8")</f>
        <v>Фото 8</v>
      </c>
      <c r="X111" s="3" t="str">
        <f>HYPERLINK("http://www.paremo.ru/upload/images/goods/1dd601e8-271e-4653-ab28-7c7190e9ef46_09.jpg", "Фото 9")</f>
        <v>Фото 9</v>
      </c>
      <c r="Y111" s="3" t="str">
        <f>HYPERLINK("http://www.paremo.ru/upload/images/goods/1dd601e8-271e-4653-ab28-7c7190e9ef46_10.jpg", "Фото 10")</f>
        <v>Фото 10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 t="s">
        <v>57</v>
      </c>
      <c r="BE111" s="4">
        <v>4820103000</v>
      </c>
    </row>
    <row r="112" spans="1:57" ht="99.95" customHeight="1" x14ac:dyDescent="0.2">
      <c r="A112" s="3" t="s">
        <v>489</v>
      </c>
      <c r="B112" s="3" t="s">
        <v>490</v>
      </c>
      <c r="C112" s="3" t="s">
        <v>59</v>
      </c>
      <c r="D112" s="3" t="s">
        <v>60</v>
      </c>
      <c r="E112" s="12" t="s">
        <v>498</v>
      </c>
      <c r="F112" s="4">
        <v>4607945234888</v>
      </c>
      <c r="G112" s="3" t="s">
        <v>499</v>
      </c>
      <c r="H112" s="3" t="s">
        <v>500</v>
      </c>
      <c r="I112" s="3" t="s">
        <v>88</v>
      </c>
      <c r="J112" s="3" t="s">
        <v>500</v>
      </c>
      <c r="K112" s="8">
        <v>1E-3</v>
      </c>
      <c r="L112" s="9">
        <v>0.05</v>
      </c>
      <c r="M112" s="3" t="s">
        <v>194</v>
      </c>
      <c r="N112" s="12" t="s">
        <v>501</v>
      </c>
      <c r="O112" s="3"/>
      <c r="P112" s="3" t="str">
        <f>HYPERLINK("http://www.paremo.ru/upload/images/goods/d0cd06d3-4dac-43f5-ad2a-f517267f741a_01.jpg", "Фото 1")</f>
        <v>Фото 1</v>
      </c>
      <c r="Q112" s="3" t="str">
        <f>HYPERLINK("http://www.paremo.ru/upload/images/goods/d0cd06d3-4dac-43f5-ad2a-f517267f741a_02.jpg", "Фото 2")</f>
        <v>Фото 2</v>
      </c>
      <c r="R112" s="3" t="str">
        <f>HYPERLINK("http://www.paremo.ru/upload/images/goods/d0cd06d3-4dac-43f5-ad2a-f517267f741a_03.jpg", "Фото 3")</f>
        <v>Фото 3</v>
      </c>
      <c r="S112" s="3" t="str">
        <f>HYPERLINK("http://www.paremo.ru/upload/images/goods/d0cd06d3-4dac-43f5-ad2a-f517267f741a_04.jpg", "Фото 4")</f>
        <v>Фото 4</v>
      </c>
      <c r="T112" s="3" t="str">
        <f>HYPERLINK("http://www.paremo.ru/upload/images/goods/d0cd06d3-4dac-43f5-ad2a-f517267f741a_05.jpg", "Фото 5")</f>
        <v>Фото 5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 t="s">
        <v>57</v>
      </c>
      <c r="BE112" s="4">
        <v>4820103000</v>
      </c>
    </row>
    <row r="113" spans="1:57" ht="99.95" customHeight="1" x14ac:dyDescent="0.2">
      <c r="A113" s="3" t="s">
        <v>489</v>
      </c>
      <c r="B113" s="3" t="s">
        <v>490</v>
      </c>
      <c r="C113" s="3" t="s">
        <v>59</v>
      </c>
      <c r="D113" s="3" t="s">
        <v>60</v>
      </c>
      <c r="E113" s="12" t="s">
        <v>502</v>
      </c>
      <c r="F113" s="4">
        <v>4607945235151</v>
      </c>
      <c r="G113" s="3" t="s">
        <v>503</v>
      </c>
      <c r="H113" s="3" t="s">
        <v>500</v>
      </c>
      <c r="I113" s="3" t="s">
        <v>88</v>
      </c>
      <c r="J113" s="3" t="s">
        <v>500</v>
      </c>
      <c r="K113" s="8">
        <v>1E-3</v>
      </c>
      <c r="L113" s="9">
        <v>0.05</v>
      </c>
      <c r="M113" s="3" t="s">
        <v>194</v>
      </c>
      <c r="N113" s="12" t="s">
        <v>501</v>
      </c>
      <c r="O113" s="3"/>
      <c r="P113" s="3" t="str">
        <f>HYPERLINK("http://www.paremo.ru/upload/images/goods/d62e1080-d0fc-4bb6-aed8-b344aad0f595_01.jpg", "Фото 1")</f>
        <v>Фото 1</v>
      </c>
      <c r="Q113" s="3" t="str">
        <f>HYPERLINK("http://www.paremo.ru/upload/images/goods/d62e1080-d0fc-4bb6-aed8-b344aad0f595_02.jpg", "Фото 2")</f>
        <v>Фото 2</v>
      </c>
      <c r="R113" s="3" t="str">
        <f>HYPERLINK("http://www.paremo.ru/upload/images/goods/d62e1080-d0fc-4bb6-aed8-b344aad0f595_03.jpg", "Фото 3")</f>
        <v>Фото 3</v>
      </c>
      <c r="S113" s="3" t="str">
        <f>HYPERLINK("http://www.paremo.ru/upload/images/goods/d62e1080-d0fc-4bb6-aed8-b344aad0f595_04.jpg", "Фото 4")</f>
        <v>Фото 4</v>
      </c>
      <c r="T113" s="3" t="str">
        <f>HYPERLINK("http://www.paremo.ru/upload/images/goods/d62e1080-d0fc-4bb6-aed8-b344aad0f595_05.jpg", "Фото 5")</f>
        <v>Фото 5</v>
      </c>
      <c r="U113" s="3" t="str">
        <f>HYPERLINK("http://www.paremo.ru/upload/images/goods/d62e1080-d0fc-4bb6-aed8-b344aad0f595_06.jpg", "Фото 6")</f>
        <v>Фото 6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 t="s">
        <v>57</v>
      </c>
      <c r="BE113" s="4">
        <v>4820103000</v>
      </c>
    </row>
    <row r="114" spans="1:57" ht="99.95" customHeight="1" x14ac:dyDescent="0.2">
      <c r="A114" s="3" t="s">
        <v>489</v>
      </c>
      <c r="B114" s="3" t="s">
        <v>490</v>
      </c>
      <c r="C114" s="3" t="s">
        <v>59</v>
      </c>
      <c r="D114" s="3" t="s">
        <v>60</v>
      </c>
      <c r="E114" s="12" t="s">
        <v>504</v>
      </c>
      <c r="F114" s="4">
        <v>4607945235168</v>
      </c>
      <c r="G114" s="3" t="s">
        <v>505</v>
      </c>
      <c r="H114" s="3" t="s">
        <v>500</v>
      </c>
      <c r="I114" s="3" t="s">
        <v>88</v>
      </c>
      <c r="J114" s="3" t="s">
        <v>500</v>
      </c>
      <c r="K114" s="8">
        <v>1E-3</v>
      </c>
      <c r="L114" s="9">
        <v>0.05</v>
      </c>
      <c r="M114" s="3" t="s">
        <v>194</v>
      </c>
      <c r="N114" s="12" t="s">
        <v>501</v>
      </c>
      <c r="O114" s="3"/>
      <c r="P114" s="3" t="str">
        <f>HYPERLINK("http://www.paremo.ru/upload/images/goods/303eabc6-7474-40b7-bfe8-dd7747e1f35a_01.jpg", "Фото 1")</f>
        <v>Фото 1</v>
      </c>
      <c r="Q114" s="3" t="str">
        <f>HYPERLINK("http://www.paremo.ru/upload/images/goods/303eabc6-7474-40b7-bfe8-dd7747e1f35a_02.jpg", "Фото 2")</f>
        <v>Фото 2</v>
      </c>
      <c r="R114" s="3" t="str">
        <f>HYPERLINK("http://www.paremo.ru/upload/images/goods/303eabc6-7474-40b7-bfe8-dd7747e1f35a_03.jpg", "Фото 3")</f>
        <v>Фото 3</v>
      </c>
      <c r="S114" s="3" t="str">
        <f>HYPERLINK("http://www.paremo.ru/upload/images/goods/303eabc6-7474-40b7-bfe8-dd7747e1f35a_04.jpg", "Фото 4")</f>
        <v>Фото 4</v>
      </c>
      <c r="T114" s="3" t="str">
        <f>HYPERLINK("http://www.paremo.ru/upload/images/goods/303eabc6-7474-40b7-bfe8-dd7747e1f35a_05.jpg", "Фото 5")</f>
        <v>Фото 5</v>
      </c>
      <c r="U114" s="3" t="str">
        <f>HYPERLINK("http://www.paremo.ru/upload/images/goods/303eabc6-7474-40b7-bfe8-dd7747e1f35a_06.jpg", "Фото 6")</f>
        <v>Фото 6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 t="s">
        <v>57</v>
      </c>
      <c r="BE114" s="4">
        <v>4820103000</v>
      </c>
    </row>
    <row r="115" spans="1:57" ht="99.95" customHeight="1" x14ac:dyDescent="0.2">
      <c r="A115" s="3" t="s">
        <v>489</v>
      </c>
      <c r="B115" s="3" t="s">
        <v>490</v>
      </c>
      <c r="C115" s="3" t="s">
        <v>59</v>
      </c>
      <c r="D115" s="3" t="s">
        <v>60</v>
      </c>
      <c r="E115" s="12" t="s">
        <v>506</v>
      </c>
      <c r="F115" s="4">
        <v>4607945235175</v>
      </c>
      <c r="G115" s="3" t="s">
        <v>507</v>
      </c>
      <c r="H115" s="3" t="s">
        <v>500</v>
      </c>
      <c r="I115" s="3" t="s">
        <v>88</v>
      </c>
      <c r="J115" s="3" t="s">
        <v>500</v>
      </c>
      <c r="K115" s="8">
        <v>1E-3</v>
      </c>
      <c r="L115" s="9">
        <v>0.05</v>
      </c>
      <c r="M115" s="3" t="s">
        <v>194</v>
      </c>
      <c r="N115" s="12" t="s">
        <v>501</v>
      </c>
      <c r="O115" s="3"/>
      <c r="P115" s="3" t="str">
        <f>HYPERLINK("http://www.paremo.ru/upload/images/goods/68df670f-729d-4a44-b892-b15299166a93_01.jpg", "Фото 1")</f>
        <v>Фото 1</v>
      </c>
      <c r="Q115" s="3" t="str">
        <f>HYPERLINK("http://www.paremo.ru/upload/images/goods/68df670f-729d-4a44-b892-b15299166a93_02.jpg", "Фото 2")</f>
        <v>Фото 2</v>
      </c>
      <c r="R115" s="3" t="str">
        <f>HYPERLINK("http://www.paremo.ru/upload/images/goods/68df670f-729d-4a44-b892-b15299166a93_03.jpg", "Фото 3")</f>
        <v>Фото 3</v>
      </c>
      <c r="S115" s="3" t="str">
        <f>HYPERLINK("http://www.paremo.ru/upload/images/goods/68df670f-729d-4a44-b892-b15299166a93_04.jpg", "Фото 4")</f>
        <v>Фото 4</v>
      </c>
      <c r="T115" s="3" t="str">
        <f>HYPERLINK("http://www.paremo.ru/upload/images/goods/68df670f-729d-4a44-b892-b15299166a93_05.jpg", "Фото 5")</f>
        <v>Фото 5</v>
      </c>
      <c r="U115" s="3" t="str">
        <f>HYPERLINK("http://www.paremo.ru/upload/images/goods/68df670f-729d-4a44-b892-b15299166a93_06.jpg", "Фото 6")</f>
        <v>Фото 6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 t="s">
        <v>57</v>
      </c>
      <c r="BE115" s="4">
        <v>4820103000</v>
      </c>
    </row>
    <row r="116" spans="1:57" ht="99.95" customHeight="1" x14ac:dyDescent="0.2">
      <c r="A116" s="3" t="s">
        <v>489</v>
      </c>
      <c r="B116" s="3" t="s">
        <v>490</v>
      </c>
      <c r="C116" s="3" t="s">
        <v>59</v>
      </c>
      <c r="D116" s="3" t="s">
        <v>60</v>
      </c>
      <c r="E116" s="12" t="s">
        <v>508</v>
      </c>
      <c r="F116" s="4">
        <v>4607945234666</v>
      </c>
      <c r="G116" s="3" t="s">
        <v>509</v>
      </c>
      <c r="H116" s="3" t="s">
        <v>510</v>
      </c>
      <c r="I116" s="3" t="s">
        <v>64</v>
      </c>
      <c r="J116" s="3" t="s">
        <v>510</v>
      </c>
      <c r="K116" s="8">
        <v>1E-3</v>
      </c>
      <c r="L116" s="9">
        <v>0.13</v>
      </c>
      <c r="M116" s="3" t="s">
        <v>162</v>
      </c>
      <c r="N116" s="12" t="s">
        <v>511</v>
      </c>
      <c r="O116" s="3"/>
      <c r="P116" s="3" t="str">
        <f>HYPERLINK("http://www.paremo.ru/upload/images/goods/abc1f3c7-d885-4495-845e-697e384b06a0_01.jpg", "Фото 1")</f>
        <v>Фото 1</v>
      </c>
      <c r="Q116" s="3" t="str">
        <f>HYPERLINK("http://www.paremo.ru/upload/images/goods/abc1f3c7-d885-4495-845e-697e384b06a0_02.jpg", "Фото 2")</f>
        <v>Фото 2</v>
      </c>
      <c r="R116" s="3" t="str">
        <f>HYPERLINK("http://www.paremo.ru/upload/images/goods/abc1f3c7-d885-4495-845e-697e384b06a0_03.jpg", "Фото 3")</f>
        <v>Фото 3</v>
      </c>
      <c r="S116" s="3" t="str">
        <f>HYPERLINK("http://www.paremo.ru/upload/images/goods/abc1f3c7-d885-4495-845e-697e384b06a0_04.jpg", "Фото 4")</f>
        <v>Фото 4</v>
      </c>
      <c r="T116" s="3" t="str">
        <f>HYPERLINK("http://www.paremo.ru/upload/images/goods/abc1f3c7-d885-4495-845e-697e384b06a0_05.jpg", "Фото 5")</f>
        <v>Фото 5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 t="s">
        <v>57</v>
      </c>
      <c r="BE116" s="4">
        <v>9609101000</v>
      </c>
    </row>
    <row r="117" spans="1:57" ht="99.95" customHeight="1" x14ac:dyDescent="0.2">
      <c r="A117" s="3" t="s">
        <v>489</v>
      </c>
      <c r="B117" s="3" t="s">
        <v>490</v>
      </c>
      <c r="C117" s="3" t="s">
        <v>59</v>
      </c>
      <c r="D117" s="3" t="s">
        <v>60</v>
      </c>
      <c r="E117" s="12" t="s">
        <v>512</v>
      </c>
      <c r="F117" s="4">
        <v>4607945234673</v>
      </c>
      <c r="G117" s="3" t="s">
        <v>513</v>
      </c>
      <c r="H117" s="3" t="s">
        <v>510</v>
      </c>
      <c r="I117" s="3" t="s">
        <v>64</v>
      </c>
      <c r="J117" s="3" t="s">
        <v>510</v>
      </c>
      <c r="K117" s="8">
        <v>1E-3</v>
      </c>
      <c r="L117" s="9">
        <v>0.13</v>
      </c>
      <c r="M117" s="3" t="s">
        <v>162</v>
      </c>
      <c r="N117" s="12" t="s">
        <v>511</v>
      </c>
      <c r="O117" s="3"/>
      <c r="P117" s="3" t="str">
        <f>HYPERLINK("http://www.paremo.ru/upload/images/goods/e4a7284b-ebc7-46b5-8990-44747f5f6322_01.jpg", "Фото 1")</f>
        <v>Фото 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 t="s">
        <v>57</v>
      </c>
      <c r="BE117" s="4">
        <v>9609101000</v>
      </c>
    </row>
    <row r="118" spans="1:57" ht="99.95" customHeight="1" x14ac:dyDescent="0.2">
      <c r="A118" s="3" t="s">
        <v>489</v>
      </c>
      <c r="B118" s="3" t="s">
        <v>490</v>
      </c>
      <c r="C118" s="3" t="s">
        <v>59</v>
      </c>
      <c r="D118" s="3" t="s">
        <v>60</v>
      </c>
      <c r="E118" s="12" t="s">
        <v>514</v>
      </c>
      <c r="F118" s="4">
        <v>4607945234680</v>
      </c>
      <c r="G118" s="3" t="s">
        <v>515</v>
      </c>
      <c r="H118" s="3" t="s">
        <v>510</v>
      </c>
      <c r="I118" s="3" t="s">
        <v>64</v>
      </c>
      <c r="J118" s="3" t="s">
        <v>510</v>
      </c>
      <c r="K118" s="8">
        <v>1E-3</v>
      </c>
      <c r="L118" s="9">
        <v>0.13</v>
      </c>
      <c r="M118" s="3" t="s">
        <v>162</v>
      </c>
      <c r="N118" s="12" t="s">
        <v>511</v>
      </c>
      <c r="O118" s="3"/>
      <c r="P118" s="3" t="str">
        <f>HYPERLINK("http://www.paremo.ru/upload/images/goods/18a1abcd-7939-4915-a531-1dbe548d1962_01.jpg", "Фото 1")</f>
        <v>Фото 1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 t="s">
        <v>57</v>
      </c>
      <c r="BE118" s="4">
        <v>9609101000</v>
      </c>
    </row>
    <row r="119" spans="1:57" ht="99.95" customHeight="1" x14ac:dyDescent="0.2">
      <c r="A119" s="3" t="s">
        <v>489</v>
      </c>
      <c r="B119" s="3" t="s">
        <v>490</v>
      </c>
      <c r="C119" s="3" t="s">
        <v>59</v>
      </c>
      <c r="D119" s="3" t="s">
        <v>60</v>
      </c>
      <c r="E119" s="12" t="s">
        <v>516</v>
      </c>
      <c r="F119" s="4">
        <v>4607945234697</v>
      </c>
      <c r="G119" s="3" t="s">
        <v>517</v>
      </c>
      <c r="H119" s="3" t="s">
        <v>510</v>
      </c>
      <c r="I119" s="3" t="s">
        <v>64</v>
      </c>
      <c r="J119" s="3" t="s">
        <v>510</v>
      </c>
      <c r="K119" s="8">
        <v>1E-3</v>
      </c>
      <c r="L119" s="9">
        <v>0.13</v>
      </c>
      <c r="M119" s="3" t="s">
        <v>162</v>
      </c>
      <c r="N119" s="12" t="s">
        <v>511</v>
      </c>
      <c r="O119" s="3"/>
      <c r="P119" s="3" t="str">
        <f>HYPERLINK("http://www.paremo.ru/upload/images/goods/1ebaf71e-83a6-4082-8ed6-feaa0788cd02_01.jpg", "Фото 1")</f>
        <v>Фото 1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 t="s">
        <v>57</v>
      </c>
      <c r="BE119" s="4">
        <v>9609101000</v>
      </c>
    </row>
    <row r="120" spans="1:57" ht="99.95" customHeight="1" x14ac:dyDescent="0.2">
      <c r="A120" s="3" t="s">
        <v>489</v>
      </c>
      <c r="B120" s="3" t="s">
        <v>490</v>
      </c>
      <c r="C120" s="3" t="s">
        <v>59</v>
      </c>
      <c r="D120" s="3" t="s">
        <v>60</v>
      </c>
      <c r="E120" s="12" t="s">
        <v>518</v>
      </c>
      <c r="F120" s="4">
        <v>4607945234703</v>
      </c>
      <c r="G120" s="3" t="s">
        <v>519</v>
      </c>
      <c r="H120" s="3" t="s">
        <v>520</v>
      </c>
      <c r="I120" s="3" t="s">
        <v>64</v>
      </c>
      <c r="J120" s="3" t="s">
        <v>520</v>
      </c>
      <c r="K120" s="8">
        <v>1E-3</v>
      </c>
      <c r="L120" s="9">
        <v>0.12</v>
      </c>
      <c r="M120" s="3" t="s">
        <v>65</v>
      </c>
      <c r="N120" s="12" t="s">
        <v>521</v>
      </c>
      <c r="O120" s="3"/>
      <c r="P120" s="3" t="str">
        <f>HYPERLINK("http://www.paremo.ru/upload/images/goods/a9dea32a-7d4e-4446-bc88-5ff3e8ab1954_01.jpg", "Фото 1")</f>
        <v>Фото 1</v>
      </c>
      <c r="Q120" s="3" t="str">
        <f>HYPERLINK("http://www.paremo.ru/upload/images/goods/a9dea32a-7d4e-4446-bc88-5ff3e8ab1954_02.jpg", "Фото 2")</f>
        <v>Фото 2</v>
      </c>
      <c r="R120" s="3" t="str">
        <f>HYPERLINK("http://www.paremo.ru/upload/images/goods/a9dea32a-7d4e-4446-bc88-5ff3e8ab1954_03.jpg", "Фото 3")</f>
        <v>Фото 3</v>
      </c>
      <c r="S120" s="3" t="str">
        <f>HYPERLINK("http://www.paremo.ru/upload/images/goods/a9dea32a-7d4e-4446-bc88-5ff3e8ab1954_04.jpg", "Фото 4")</f>
        <v>Фото 4</v>
      </c>
      <c r="T120" s="3" t="str">
        <f>HYPERLINK("http://www.paremo.ru/upload/images/goods/a9dea32a-7d4e-4446-bc88-5ff3e8ab1954_05.jpg", "Фото 5")</f>
        <v>Фото 5</v>
      </c>
      <c r="U120" s="3" t="str">
        <f>HYPERLINK("http://www.paremo.ru/upload/images/goods/a9dea32a-7d4e-4446-bc88-5ff3e8ab1954_06.jpg", "Фото 6")</f>
        <v>Фото 6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 t="s">
        <v>57</v>
      </c>
      <c r="BE120" s="4">
        <v>9609101000</v>
      </c>
    </row>
    <row r="121" spans="1:57" ht="99.95" customHeight="1" x14ac:dyDescent="0.2">
      <c r="A121" s="3" t="s">
        <v>489</v>
      </c>
      <c r="B121" s="3" t="s">
        <v>490</v>
      </c>
      <c r="C121" s="3" t="s">
        <v>59</v>
      </c>
      <c r="D121" s="3" t="s">
        <v>60</v>
      </c>
      <c r="E121" s="12" t="s">
        <v>522</v>
      </c>
      <c r="F121" s="4">
        <v>4607945234710</v>
      </c>
      <c r="G121" s="3" t="s">
        <v>523</v>
      </c>
      <c r="H121" s="3" t="s">
        <v>520</v>
      </c>
      <c r="I121" s="3" t="s">
        <v>64</v>
      </c>
      <c r="J121" s="3" t="s">
        <v>520</v>
      </c>
      <c r="K121" s="8">
        <v>1E-3</v>
      </c>
      <c r="L121" s="9">
        <v>0.12</v>
      </c>
      <c r="M121" s="3" t="s">
        <v>65</v>
      </c>
      <c r="N121" s="12" t="s">
        <v>521</v>
      </c>
      <c r="O121" s="3"/>
      <c r="P121" s="3" t="str">
        <f>HYPERLINK("http://www.paremo.ru/upload/images/goods/d95d947a-e100-4e74-89d8-87aaccaec87f_01.jpg", "Фото 1")</f>
        <v>Фото 1</v>
      </c>
      <c r="Q121" s="3" t="str">
        <f>HYPERLINK("http://www.paremo.ru/upload/images/goods/d95d947a-e100-4e74-89d8-87aaccaec87f_02.jpg", "Фото 2")</f>
        <v>Фото 2</v>
      </c>
      <c r="R121" s="3" t="str">
        <f>HYPERLINK("http://www.paremo.ru/upload/images/goods/d95d947a-e100-4e74-89d8-87aaccaec87f_03.jpg", "Фото 3")</f>
        <v>Фото 3</v>
      </c>
      <c r="S121" s="3" t="str">
        <f>HYPERLINK("http://www.paremo.ru/upload/images/goods/d95d947a-e100-4e74-89d8-87aaccaec87f_04.jpg", "Фото 4")</f>
        <v>Фото 4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 t="s">
        <v>57</v>
      </c>
      <c r="BE121" s="4">
        <v>9609101000</v>
      </c>
    </row>
    <row r="122" spans="1:57" ht="99.95" customHeight="1" x14ac:dyDescent="0.2">
      <c r="A122" s="3" t="s">
        <v>489</v>
      </c>
      <c r="B122" s="3" t="s">
        <v>490</v>
      </c>
      <c r="C122" s="3" t="s">
        <v>59</v>
      </c>
      <c r="D122" s="3" t="s">
        <v>60</v>
      </c>
      <c r="E122" s="12" t="s">
        <v>524</v>
      </c>
      <c r="F122" s="4">
        <v>4607945234727</v>
      </c>
      <c r="G122" s="3" t="s">
        <v>525</v>
      </c>
      <c r="H122" s="3" t="s">
        <v>520</v>
      </c>
      <c r="I122" s="3" t="s">
        <v>64</v>
      </c>
      <c r="J122" s="3" t="s">
        <v>520</v>
      </c>
      <c r="K122" s="8">
        <v>1E-3</v>
      </c>
      <c r="L122" s="9">
        <v>0.12</v>
      </c>
      <c r="M122" s="3" t="s">
        <v>65</v>
      </c>
      <c r="N122" s="12" t="s">
        <v>521</v>
      </c>
      <c r="O122" s="3"/>
      <c r="P122" s="3" t="str">
        <f>HYPERLINK("http://www.paremo.ru/upload/images/goods/99297b0a-c340-44e7-9a61-477c6c5a22e6_01.jpg", "Фото 1")</f>
        <v>Фото 1</v>
      </c>
      <c r="Q122" s="3" t="str">
        <f>HYPERLINK("http://www.paremo.ru/upload/images/goods/99297b0a-c340-44e7-9a61-477c6c5a22e6_02.jpg", "Фото 2")</f>
        <v>Фото 2</v>
      </c>
      <c r="R122" s="3" t="str">
        <f>HYPERLINK("http://www.paremo.ru/upload/images/goods/99297b0a-c340-44e7-9a61-477c6c5a22e6_03.jpg", "Фото 3")</f>
        <v>Фото 3</v>
      </c>
      <c r="S122" s="3" t="str">
        <f>HYPERLINK("http://www.paremo.ru/upload/images/goods/99297b0a-c340-44e7-9a61-477c6c5a22e6_04.jpg", "Фото 4")</f>
        <v>Фото 4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 t="s">
        <v>57</v>
      </c>
      <c r="BE122" s="4">
        <v>9609101000</v>
      </c>
    </row>
    <row r="123" spans="1:57" ht="99.95" customHeight="1" x14ac:dyDescent="0.2">
      <c r="A123" s="3" t="s">
        <v>489</v>
      </c>
      <c r="B123" s="3" t="s">
        <v>490</v>
      </c>
      <c r="C123" s="3" t="s">
        <v>59</v>
      </c>
      <c r="D123" s="3" t="s">
        <v>60</v>
      </c>
      <c r="E123" s="12" t="s">
        <v>526</v>
      </c>
      <c r="F123" s="4">
        <v>4607945234734</v>
      </c>
      <c r="G123" s="3" t="s">
        <v>527</v>
      </c>
      <c r="H123" s="3" t="s">
        <v>520</v>
      </c>
      <c r="I123" s="3" t="s">
        <v>64</v>
      </c>
      <c r="J123" s="3" t="s">
        <v>520</v>
      </c>
      <c r="K123" s="8">
        <v>1E-3</v>
      </c>
      <c r="L123" s="9">
        <v>0.12</v>
      </c>
      <c r="M123" s="3" t="s">
        <v>65</v>
      </c>
      <c r="N123" s="12" t="s">
        <v>521</v>
      </c>
      <c r="O123" s="3"/>
      <c r="P123" s="3" t="str">
        <f>HYPERLINK("http://www.paremo.ru/upload/images/goods/2b2d7407-f86a-4985-863e-cb98c7aa2e7d_01.jpg", "Фото 1")</f>
        <v>Фото 1</v>
      </c>
      <c r="Q123" s="3" t="str">
        <f>HYPERLINK("http://www.paremo.ru/upload/images/goods/2b2d7407-f86a-4985-863e-cb98c7aa2e7d_02.jpg", "Фото 2")</f>
        <v>Фото 2</v>
      </c>
      <c r="R123" s="3" t="str">
        <f>HYPERLINK("http://www.paremo.ru/upload/images/goods/2b2d7407-f86a-4985-863e-cb98c7aa2e7d_03.jpg", "Фото 3")</f>
        <v>Фото 3</v>
      </c>
      <c r="S123" s="3" t="str">
        <f>HYPERLINK("http://www.paremo.ru/upload/images/goods/2b2d7407-f86a-4985-863e-cb98c7aa2e7d_04.jpg", "Фото 4")</f>
        <v>Фото 4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 t="s">
        <v>57</v>
      </c>
      <c r="BE123" s="4">
        <v>9609101000</v>
      </c>
    </row>
    <row r="124" spans="1:57" ht="99.95" customHeight="1" x14ac:dyDescent="0.2">
      <c r="A124" s="3" t="s">
        <v>489</v>
      </c>
      <c r="B124" s="3" t="s">
        <v>490</v>
      </c>
      <c r="C124" s="3" t="s">
        <v>59</v>
      </c>
      <c r="D124" s="3" t="s">
        <v>60</v>
      </c>
      <c r="E124" s="12" t="s">
        <v>528</v>
      </c>
      <c r="F124" s="4">
        <v>4607945235182</v>
      </c>
      <c r="G124" s="3" t="s">
        <v>529</v>
      </c>
      <c r="H124" s="3" t="s">
        <v>530</v>
      </c>
      <c r="I124" s="3" t="s">
        <v>88</v>
      </c>
      <c r="J124" s="3" t="s">
        <v>530</v>
      </c>
      <c r="K124" s="8">
        <v>1E-3</v>
      </c>
      <c r="L124" s="9">
        <v>0.03</v>
      </c>
      <c r="M124" s="3" t="s">
        <v>65</v>
      </c>
      <c r="N124" s="12" t="s">
        <v>531</v>
      </c>
      <c r="O124" s="3"/>
      <c r="P124" s="3" t="str">
        <f>HYPERLINK("http://www.paremo.ru/upload/images/goods/6281edd3-db7d-41cf-a6ae-b06c043de320_01.jpg", "Фото 1")</f>
        <v>Фото 1</v>
      </c>
      <c r="Q124" s="3" t="str">
        <f>HYPERLINK("http://www.paremo.ru/upload/images/goods/6281edd3-db7d-41cf-a6ae-b06c043de320_02.jpg", "Фото 2")</f>
        <v>Фото 2</v>
      </c>
      <c r="R124" s="3" t="str">
        <f>HYPERLINK("http://www.paremo.ru/upload/images/goods/6281edd3-db7d-41cf-a6ae-b06c043de320_03.jpg", "Фото 3")</f>
        <v>Фото 3</v>
      </c>
      <c r="S124" s="3" t="str">
        <f>HYPERLINK("http://www.paremo.ru/upload/images/goods/6281edd3-db7d-41cf-a6ae-b06c043de320_04.jpg", "Фото 4")</f>
        <v>Фото 4</v>
      </c>
      <c r="T124" s="3" t="str">
        <f>HYPERLINK("http://www.paremo.ru/upload/images/goods/6281edd3-db7d-41cf-a6ae-b06c043de320_05.jpg", "Фото 5")</f>
        <v>Фото 5</v>
      </c>
      <c r="U124" s="3" t="str">
        <f>HYPERLINK("http://www.paremo.ru/upload/images/goods/6281edd3-db7d-41cf-a6ae-b06c043de320_06.jpg", "Фото 6")</f>
        <v>Фото 6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 t="s">
        <v>57</v>
      </c>
      <c r="BE124" s="4">
        <v>9609909000</v>
      </c>
    </row>
    <row r="125" spans="1:57" ht="99.95" customHeight="1" x14ac:dyDescent="0.2">
      <c r="A125" s="3" t="s">
        <v>489</v>
      </c>
      <c r="B125" s="3" t="s">
        <v>490</v>
      </c>
      <c r="C125" s="3" t="s">
        <v>59</v>
      </c>
      <c r="D125" s="3" t="s">
        <v>60</v>
      </c>
      <c r="E125" s="12" t="s">
        <v>532</v>
      </c>
      <c r="F125" s="4">
        <v>4607945235199</v>
      </c>
      <c r="G125" s="3" t="s">
        <v>533</v>
      </c>
      <c r="H125" s="3" t="s">
        <v>530</v>
      </c>
      <c r="I125" s="3" t="s">
        <v>88</v>
      </c>
      <c r="J125" s="3" t="s">
        <v>530</v>
      </c>
      <c r="K125" s="8">
        <v>1E-3</v>
      </c>
      <c r="L125" s="9">
        <v>0.03</v>
      </c>
      <c r="M125" s="3" t="s">
        <v>65</v>
      </c>
      <c r="N125" s="12" t="s">
        <v>531</v>
      </c>
      <c r="O125" s="3"/>
      <c r="P125" s="3" t="str">
        <f>HYPERLINK("http://www.paremo.ru/upload/images/goods/56495ad1-40b5-410c-b578-1e831e75ebb0_01.jpg", "Фото 1")</f>
        <v>Фото 1</v>
      </c>
      <c r="Q125" s="3" t="str">
        <f>HYPERLINK("http://www.paremo.ru/upload/images/goods/56495ad1-40b5-410c-b578-1e831e75ebb0_02.jpg", "Фото 2")</f>
        <v>Фото 2</v>
      </c>
      <c r="R125" s="3" t="str">
        <f>HYPERLINK("http://www.paremo.ru/upload/images/goods/56495ad1-40b5-410c-b578-1e831e75ebb0_03.jpg", "Фото 3")</f>
        <v>Фото 3</v>
      </c>
      <c r="S125" s="3" t="str">
        <f>HYPERLINK("http://www.paremo.ru/upload/images/goods/56495ad1-40b5-410c-b578-1e831e75ebb0_04.jpg", "Фото 4")</f>
        <v>Фото 4</v>
      </c>
      <c r="T125" s="3" t="str">
        <f>HYPERLINK("http://www.paremo.ru/upload/images/goods/56495ad1-40b5-410c-b578-1e831e75ebb0_05.jpg", "Фото 5")</f>
        <v>Фото 5</v>
      </c>
      <c r="U125" s="3" t="str">
        <f>HYPERLINK("http://www.paremo.ru/upload/images/goods/56495ad1-40b5-410c-b578-1e831e75ebb0_06.jpg", "Фото 6")</f>
        <v>Фото 6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 t="s">
        <v>57</v>
      </c>
      <c r="BE125" s="4">
        <v>9609909000</v>
      </c>
    </row>
    <row r="126" spans="1:57" ht="99.95" customHeight="1" x14ac:dyDescent="0.2">
      <c r="A126" s="3" t="s">
        <v>489</v>
      </c>
      <c r="B126" s="3" t="s">
        <v>490</v>
      </c>
      <c r="C126" s="3" t="s">
        <v>59</v>
      </c>
      <c r="D126" s="3" t="s">
        <v>60</v>
      </c>
      <c r="E126" s="12" t="s">
        <v>534</v>
      </c>
      <c r="F126" s="4">
        <v>4607945235984</v>
      </c>
      <c r="G126" s="3" t="s">
        <v>535</v>
      </c>
      <c r="H126" s="3" t="s">
        <v>536</v>
      </c>
      <c r="I126" s="3" t="s">
        <v>88</v>
      </c>
      <c r="J126" s="3" t="s">
        <v>536</v>
      </c>
      <c r="K126" s="8">
        <v>1E-3</v>
      </c>
      <c r="L126" s="9">
        <v>0.06</v>
      </c>
      <c r="M126" s="3" t="s">
        <v>537</v>
      </c>
      <c r="N126" s="12" t="s">
        <v>538</v>
      </c>
      <c r="O126" s="3"/>
      <c r="P126" s="3" t="str">
        <f>HYPERLINK("http://www.paremo.ru/upload/images/goods/475b63cd-b835-4318-b39d-75570114f27e_01.jpg", "Фото 1")</f>
        <v>Фото 1</v>
      </c>
      <c r="Q126" s="3" t="str">
        <f>HYPERLINK("http://www.paremo.ru/upload/images/goods/475b63cd-b835-4318-b39d-75570114f27e_02.jpg", "Фото 2")</f>
        <v>Фото 2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 t="s">
        <v>57</v>
      </c>
      <c r="BE126" s="4">
        <v>4202929100</v>
      </c>
    </row>
    <row r="127" spans="1:57" ht="99.95" customHeight="1" x14ac:dyDescent="0.2">
      <c r="A127" s="3" t="s">
        <v>489</v>
      </c>
      <c r="B127" s="3" t="s">
        <v>490</v>
      </c>
      <c r="C127" s="3" t="s">
        <v>59</v>
      </c>
      <c r="D127" s="3" t="s">
        <v>60</v>
      </c>
      <c r="E127" s="12" t="s">
        <v>539</v>
      </c>
      <c r="F127" s="4">
        <v>4607945235991</v>
      </c>
      <c r="G127" s="3" t="s">
        <v>540</v>
      </c>
      <c r="H127" s="3" t="s">
        <v>536</v>
      </c>
      <c r="I127" s="3" t="s">
        <v>88</v>
      </c>
      <c r="J127" s="3" t="s">
        <v>536</v>
      </c>
      <c r="K127" s="8">
        <v>1E-3</v>
      </c>
      <c r="L127" s="9">
        <v>0.06</v>
      </c>
      <c r="M127" s="3" t="s">
        <v>537</v>
      </c>
      <c r="N127" s="12" t="s">
        <v>538</v>
      </c>
      <c r="O127" s="3"/>
      <c r="P127" s="3" t="str">
        <f>HYPERLINK("http://www.paremo.ru/upload/images/goods/6410488d-966d-4b22-aa3a-84bccf9a6287_01.jpg", "Фото 1")</f>
        <v>Фото 1</v>
      </c>
      <c r="Q127" s="3" t="str">
        <f>HYPERLINK("http://www.paremo.ru/upload/images/goods/6410488d-966d-4b22-aa3a-84bccf9a6287_02.jpg", "Фото 2")</f>
        <v>Фото 2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 t="s">
        <v>57</v>
      </c>
      <c r="BE127" s="4">
        <v>4202929100</v>
      </c>
    </row>
    <row r="128" spans="1:57" ht="99.95" customHeight="1" x14ac:dyDescent="0.2">
      <c r="A128" s="3" t="s">
        <v>489</v>
      </c>
      <c r="B128" s="3" t="s">
        <v>490</v>
      </c>
      <c r="C128" s="3" t="s">
        <v>59</v>
      </c>
      <c r="D128" s="3" t="s">
        <v>60</v>
      </c>
      <c r="E128" s="12" t="s">
        <v>541</v>
      </c>
      <c r="F128" s="4">
        <v>4607945236004</v>
      </c>
      <c r="G128" s="3" t="s">
        <v>542</v>
      </c>
      <c r="H128" s="3" t="s">
        <v>536</v>
      </c>
      <c r="I128" s="3" t="s">
        <v>88</v>
      </c>
      <c r="J128" s="3" t="s">
        <v>536</v>
      </c>
      <c r="K128" s="8">
        <v>1E-3</v>
      </c>
      <c r="L128" s="9">
        <v>0.06</v>
      </c>
      <c r="M128" s="3" t="s">
        <v>537</v>
      </c>
      <c r="N128" s="12" t="s">
        <v>538</v>
      </c>
      <c r="O128" s="3"/>
      <c r="P128" s="3" t="str">
        <f>HYPERLINK("http://www.paremo.ru/upload/images/goods/af10028a-eca2-4821-8fa9-e0759d781b2e_04.jpg", "Фото 1")</f>
        <v>Фото 1</v>
      </c>
      <c r="Q128" s="3" t="str">
        <f>HYPERLINK("http://www.paremo.ru/upload/images/goods/af10028a-eca2-4821-8fa9-e0759d781b2e_05.jpg", "Фото 2")</f>
        <v>Фото 2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 t="s">
        <v>57</v>
      </c>
      <c r="BE128" s="4">
        <v>4202929100</v>
      </c>
    </row>
    <row r="129" spans="1:57" ht="99.95" customHeight="1" x14ac:dyDescent="0.2">
      <c r="A129" s="3" t="s">
        <v>489</v>
      </c>
      <c r="B129" s="3" t="s">
        <v>490</v>
      </c>
      <c r="C129" s="3" t="s">
        <v>59</v>
      </c>
      <c r="D129" s="3" t="s">
        <v>60</v>
      </c>
      <c r="E129" s="12" t="s">
        <v>543</v>
      </c>
      <c r="F129" s="4">
        <v>4607945235830</v>
      </c>
      <c r="G129" s="3" t="s">
        <v>544</v>
      </c>
      <c r="H129" s="3" t="s">
        <v>545</v>
      </c>
      <c r="I129" s="3" t="s">
        <v>88</v>
      </c>
      <c r="J129" s="3" t="s">
        <v>545</v>
      </c>
      <c r="K129" s="8">
        <v>1E-3</v>
      </c>
      <c r="L129" s="9">
        <v>0.06</v>
      </c>
      <c r="M129" s="3" t="s">
        <v>163</v>
      </c>
      <c r="N129" s="12" t="s">
        <v>546</v>
      </c>
      <c r="O129" s="3"/>
      <c r="P129" s="3" t="str">
        <f>HYPERLINK("http://www.paremo.ru/upload/images/goods/96f98ebe-8d05-41bf-9f11-4e89d68c8ddc_01.jpg", "Фото 1")</f>
        <v>Фото 1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 t="s">
        <v>57</v>
      </c>
      <c r="BE129" s="4">
        <v>4820103000</v>
      </c>
    </row>
    <row r="130" spans="1:57" ht="99.95" customHeight="1" x14ac:dyDescent="0.2">
      <c r="A130" s="3" t="s">
        <v>489</v>
      </c>
      <c r="B130" s="3" t="s">
        <v>490</v>
      </c>
      <c r="C130" s="3" t="s">
        <v>59</v>
      </c>
      <c r="D130" s="3" t="s">
        <v>60</v>
      </c>
      <c r="E130" s="12" t="s">
        <v>547</v>
      </c>
      <c r="F130" s="4">
        <v>4607945235847</v>
      </c>
      <c r="G130" s="3" t="s">
        <v>548</v>
      </c>
      <c r="H130" s="3" t="s">
        <v>545</v>
      </c>
      <c r="I130" s="3" t="s">
        <v>88</v>
      </c>
      <c r="J130" s="3" t="s">
        <v>545</v>
      </c>
      <c r="K130" s="8">
        <v>1E-3</v>
      </c>
      <c r="L130" s="9">
        <v>0.06</v>
      </c>
      <c r="M130" s="3" t="s">
        <v>163</v>
      </c>
      <c r="N130" s="12" t="s">
        <v>546</v>
      </c>
      <c r="O130" s="3"/>
      <c r="P130" s="3" t="str">
        <f>HYPERLINK("http://www.paremo.ru/upload/images/goods/1ff458d4-9610-4a5d-ba64-bb076b099a18_01.jpg", "Фото 1")</f>
        <v>Фото 1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 t="s">
        <v>57</v>
      </c>
      <c r="BE130" s="4">
        <v>4820103000</v>
      </c>
    </row>
    <row r="131" spans="1:57" ht="99.95" customHeight="1" x14ac:dyDescent="0.2">
      <c r="A131" s="3" t="s">
        <v>489</v>
      </c>
      <c r="B131" s="3" t="s">
        <v>490</v>
      </c>
      <c r="C131" s="3" t="s">
        <v>59</v>
      </c>
      <c r="D131" s="3" t="s">
        <v>60</v>
      </c>
      <c r="E131" s="12" t="s">
        <v>549</v>
      </c>
      <c r="F131" s="4">
        <v>4607945235915</v>
      </c>
      <c r="G131" s="3" t="s">
        <v>550</v>
      </c>
      <c r="H131" s="3" t="s">
        <v>545</v>
      </c>
      <c r="I131" s="3" t="s">
        <v>88</v>
      </c>
      <c r="J131" s="3" t="s">
        <v>545</v>
      </c>
      <c r="K131" s="8">
        <v>1E-3</v>
      </c>
      <c r="L131" s="9">
        <v>0.06</v>
      </c>
      <c r="M131" s="3" t="s">
        <v>163</v>
      </c>
      <c r="N131" s="12" t="s">
        <v>546</v>
      </c>
      <c r="O131" s="3"/>
      <c r="P131" s="3" t="str">
        <f>HYPERLINK("http://www.paremo.ru/upload/images/goods/4cbd9d1f-daff-4ba5-ae03-748190894d37_01.jpg", "Фото 1")</f>
        <v>Фото 1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 t="s">
        <v>57</v>
      </c>
      <c r="BE131" s="4">
        <v>4820103000</v>
      </c>
    </row>
    <row r="132" spans="1:57" ht="99.95" customHeight="1" x14ac:dyDescent="0.2">
      <c r="A132" s="3" t="s">
        <v>489</v>
      </c>
      <c r="B132" s="3" t="s">
        <v>490</v>
      </c>
      <c r="C132" s="3" t="s">
        <v>59</v>
      </c>
      <c r="D132" s="3" t="s">
        <v>60</v>
      </c>
      <c r="E132" s="12" t="s">
        <v>551</v>
      </c>
      <c r="F132" s="4">
        <v>4607945235953</v>
      </c>
      <c r="G132" s="3" t="s">
        <v>552</v>
      </c>
      <c r="H132" s="3" t="s">
        <v>545</v>
      </c>
      <c r="I132" s="3" t="s">
        <v>88</v>
      </c>
      <c r="J132" s="3" t="s">
        <v>545</v>
      </c>
      <c r="K132" s="8">
        <v>1E-3</v>
      </c>
      <c r="L132" s="9">
        <v>0.06</v>
      </c>
      <c r="M132" s="3" t="s">
        <v>163</v>
      </c>
      <c r="N132" s="12" t="s">
        <v>546</v>
      </c>
      <c r="O132" s="3"/>
      <c r="P132" s="3" t="str">
        <f>HYPERLINK("http://www.paremo.ru/upload/images/goods/109b71af-23b3-4472-b867-89e70da7d77a_01.jpg", "Фото 1")</f>
        <v>Фото 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 t="s">
        <v>57</v>
      </c>
      <c r="BE132" s="4">
        <v>4820103000</v>
      </c>
    </row>
    <row r="133" spans="1:57" ht="99.95" customHeight="1" x14ac:dyDescent="0.2">
      <c r="A133" s="3" t="s">
        <v>489</v>
      </c>
      <c r="B133" s="3" t="s">
        <v>490</v>
      </c>
      <c r="C133" s="3" t="s">
        <v>59</v>
      </c>
      <c r="D133" s="3" t="s">
        <v>60</v>
      </c>
      <c r="E133" s="12" t="s">
        <v>553</v>
      </c>
      <c r="F133" s="4">
        <v>4607945235960</v>
      </c>
      <c r="G133" s="3" t="s">
        <v>554</v>
      </c>
      <c r="H133" s="3" t="s">
        <v>545</v>
      </c>
      <c r="I133" s="3" t="s">
        <v>88</v>
      </c>
      <c r="J133" s="3" t="s">
        <v>545</v>
      </c>
      <c r="K133" s="8">
        <v>1E-3</v>
      </c>
      <c r="L133" s="9">
        <v>0.06</v>
      </c>
      <c r="M133" s="3" t="s">
        <v>163</v>
      </c>
      <c r="N133" s="12" t="s">
        <v>546</v>
      </c>
      <c r="O133" s="3"/>
      <c r="P133" s="3" t="str">
        <f>HYPERLINK("http://www.paremo.ru/upload/images/goods/73db0ff1-2424-4cab-b0f2-dd3d252bdf53_01.jpg", "Фото 1")</f>
        <v>Фото 1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 t="s">
        <v>57</v>
      </c>
      <c r="BE133" s="4">
        <v>4820103000</v>
      </c>
    </row>
    <row r="134" spans="1:57" ht="99.95" customHeight="1" x14ac:dyDescent="0.2">
      <c r="A134" s="3" t="s">
        <v>489</v>
      </c>
      <c r="B134" s="3" t="s">
        <v>490</v>
      </c>
      <c r="C134" s="3" t="s">
        <v>59</v>
      </c>
      <c r="D134" s="3" t="s">
        <v>60</v>
      </c>
      <c r="E134" s="12" t="s">
        <v>555</v>
      </c>
      <c r="F134" s="4">
        <v>4607945235977</v>
      </c>
      <c r="G134" s="3" t="s">
        <v>556</v>
      </c>
      <c r="H134" s="3" t="s">
        <v>545</v>
      </c>
      <c r="I134" s="3" t="s">
        <v>88</v>
      </c>
      <c r="J134" s="3" t="s">
        <v>545</v>
      </c>
      <c r="K134" s="8">
        <v>1E-3</v>
      </c>
      <c r="L134" s="9">
        <v>0.06</v>
      </c>
      <c r="M134" s="3" t="s">
        <v>163</v>
      </c>
      <c r="N134" s="12" t="s">
        <v>546</v>
      </c>
      <c r="O134" s="3"/>
      <c r="P134" s="3" t="str">
        <f>HYPERLINK("http://www.paremo.ru/upload/images/goods/49941a51-15e2-4691-9031-3c5856d12867_01.jpg", "Фото 1")</f>
        <v>Фото 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 t="s">
        <v>57</v>
      </c>
      <c r="BE134" s="4">
        <v>4820103000</v>
      </c>
    </row>
    <row r="135" spans="1:57" ht="99.95" customHeight="1" x14ac:dyDescent="0.2">
      <c r="A135" s="3" t="s">
        <v>489</v>
      </c>
      <c r="B135" s="3" t="s">
        <v>490</v>
      </c>
      <c r="C135" s="3" t="s">
        <v>59</v>
      </c>
      <c r="D135" s="3" t="s">
        <v>60</v>
      </c>
      <c r="E135" s="12" t="s">
        <v>557</v>
      </c>
      <c r="F135" s="7">
        <v>694704114578</v>
      </c>
      <c r="G135" s="3" t="s">
        <v>558</v>
      </c>
      <c r="H135" s="3" t="s">
        <v>559</v>
      </c>
      <c r="I135" s="3" t="s">
        <v>76</v>
      </c>
      <c r="J135" s="3" t="s">
        <v>559</v>
      </c>
      <c r="K135" s="5">
        <v>1.2700000000000001E-3</v>
      </c>
      <c r="L135" s="9">
        <v>0.75</v>
      </c>
      <c r="M135" s="3" t="s">
        <v>163</v>
      </c>
      <c r="N135" s="12" t="s">
        <v>560</v>
      </c>
      <c r="O135" s="3"/>
      <c r="P135" s="3" t="str">
        <f>HYPERLINK("http://www.paremo.ru/upload/images/goods/a0d6d551-9ad2-45be-a9a4-9b69eff5c6d1_01.jpg", "Фото 1")</f>
        <v>Фото 1</v>
      </c>
      <c r="Q135" s="3" t="str">
        <f>HYPERLINK("http://www.paremo.ru/upload/images/goods/a0d6d551-9ad2-45be-a9a4-9b69eff5c6d1_02.jpg", "Фото 2")</f>
        <v>Фото 2</v>
      </c>
      <c r="R135" s="3" t="str">
        <f>HYPERLINK("http://www.paremo.ru/upload/images/goods/a0d6d551-9ad2-45be-a9a4-9b69eff5c6d1_03.jpg", "Фото 3")</f>
        <v>Фото 3</v>
      </c>
      <c r="S135" s="3" t="str">
        <f>HYPERLINK("http://www.paremo.ru/upload/images/goods/a0d6d551-9ad2-45be-a9a4-9b69eff5c6d1_04.jpg", "Фото 4")</f>
        <v>Фото 4</v>
      </c>
      <c r="T135" s="3" t="str">
        <f>HYPERLINK("http://www.paremo.ru/upload/images/goods/a0d6d551-9ad2-45be-a9a4-9b69eff5c6d1_05.jpg", "Фото 5")</f>
        <v>Фото 5</v>
      </c>
      <c r="U135" s="3" t="str">
        <f>HYPERLINK("http://www.paremo.ru/upload/images/goods/a0d6d551-9ad2-45be-a9a4-9b69eff5c6d1_06.jpg", "Фото 6")</f>
        <v>Фото 6</v>
      </c>
      <c r="V135" s="3" t="str">
        <f>HYPERLINK("http://www.paremo.ru/upload/images/goods/a0d6d551-9ad2-45be-a9a4-9b69eff5c6d1_07.jpg", "Фото 7")</f>
        <v>Фото 7</v>
      </c>
      <c r="W135" s="3" t="str">
        <f>HYPERLINK("http://www.paremo.ru/upload/images/goods/a0d6d551-9ad2-45be-a9a4-9b69eff5c6d1_08.jpg", "Фото 8")</f>
        <v>Фото 8</v>
      </c>
      <c r="X135" s="3" t="str">
        <f>HYPERLINK("http://www.paremo.ru/upload/images/goods/a0d6d551-9ad2-45be-a9a4-9b69eff5c6d1_09.jpg", "Фото 9")</f>
        <v>Фото 9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 t="s">
        <v>57</v>
      </c>
      <c r="BE135" s="4">
        <v>4820103000</v>
      </c>
    </row>
    <row r="136" spans="1:57" ht="99.95" customHeight="1" x14ac:dyDescent="0.2">
      <c r="A136" s="3" t="s">
        <v>489</v>
      </c>
      <c r="B136" s="3" t="s">
        <v>490</v>
      </c>
      <c r="C136" s="3" t="s">
        <v>59</v>
      </c>
      <c r="D136" s="3" t="s">
        <v>60</v>
      </c>
      <c r="E136" s="12" t="s">
        <v>561</v>
      </c>
      <c r="F136" s="4">
        <v>4607945235823</v>
      </c>
      <c r="G136" s="3" t="s">
        <v>562</v>
      </c>
      <c r="H136" s="3" t="s">
        <v>563</v>
      </c>
      <c r="I136" s="3" t="s">
        <v>88</v>
      </c>
      <c r="J136" s="3" t="s">
        <v>563</v>
      </c>
      <c r="K136" s="8">
        <v>1E-3</v>
      </c>
      <c r="L136" s="9">
        <v>0.11</v>
      </c>
      <c r="M136" s="3" t="s">
        <v>194</v>
      </c>
      <c r="N136" s="12" t="s">
        <v>564</v>
      </c>
      <c r="O136" s="3"/>
      <c r="P136" s="3" t="str">
        <f>HYPERLINK("http://www.paremo.ru/upload/images/goods/22b7b57d-44aa-4777-9b19-71c03a642735_01.jpg", "Фото 1")</f>
        <v>Фото 1</v>
      </c>
      <c r="Q136" s="3" t="str">
        <f>HYPERLINK("http://www.paremo.ru/upload/images/goods/22b7b57d-44aa-4777-9b19-71c03a642735_02.jpg", "Фото 2")</f>
        <v>Фото 2</v>
      </c>
      <c r="R136" s="3" t="str">
        <f>HYPERLINK("http://www.paremo.ru/upload/images/goods/22b7b57d-44aa-4777-9b19-71c03a642735_03.jpg", "Фото 3")</f>
        <v>Фото 3</v>
      </c>
      <c r="S136" s="3" t="str">
        <f>HYPERLINK("http://www.paremo.ru/upload/images/goods/22b7b57d-44aa-4777-9b19-71c03a642735_04.jpg", "Фото 4")</f>
        <v>Фото 4</v>
      </c>
      <c r="T136" s="3" t="str">
        <f>HYPERLINK("http://www.paremo.ru/upload/images/goods/22b7b57d-44aa-4777-9b19-71c03a642735_05.jpg", "Фото 5")</f>
        <v>Фото 5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 t="s">
        <v>57</v>
      </c>
      <c r="BE136" s="4">
        <v>4820103000</v>
      </c>
    </row>
    <row r="137" spans="1:57" ht="99.95" customHeight="1" x14ac:dyDescent="0.2">
      <c r="A137" s="3" t="s">
        <v>489</v>
      </c>
      <c r="B137" s="3" t="s">
        <v>490</v>
      </c>
      <c r="C137" s="3" t="s">
        <v>59</v>
      </c>
      <c r="D137" s="3" t="s">
        <v>60</v>
      </c>
      <c r="E137" s="12" t="s">
        <v>565</v>
      </c>
      <c r="F137" s="4">
        <v>4607945235854</v>
      </c>
      <c r="G137" s="3" t="s">
        <v>566</v>
      </c>
      <c r="H137" s="3" t="s">
        <v>563</v>
      </c>
      <c r="I137" s="3" t="s">
        <v>88</v>
      </c>
      <c r="J137" s="3" t="s">
        <v>563</v>
      </c>
      <c r="K137" s="8">
        <v>1E-3</v>
      </c>
      <c r="L137" s="9">
        <v>0.11</v>
      </c>
      <c r="M137" s="3" t="s">
        <v>194</v>
      </c>
      <c r="N137" s="12" t="s">
        <v>564</v>
      </c>
      <c r="O137" s="3"/>
      <c r="P137" s="3" t="str">
        <f>HYPERLINK("http://www.paremo.ru/upload/images/goods/74863f64-ea03-45de-9c63-e2446c57c66b_01.jpg", "Фото 1")</f>
        <v>Фото 1</v>
      </c>
      <c r="Q137" s="3" t="str">
        <f>HYPERLINK("http://www.paremo.ru/upload/images/goods/74863f64-ea03-45de-9c63-e2446c57c66b_02.jpg", "Фото 2")</f>
        <v>Фото 2</v>
      </c>
      <c r="R137" s="3" t="str">
        <f>HYPERLINK("http://www.paremo.ru/upload/images/goods/74863f64-ea03-45de-9c63-e2446c57c66b_03.jpg", "Фото 3")</f>
        <v>Фото 3</v>
      </c>
      <c r="S137" s="3" t="str">
        <f>HYPERLINK("http://www.paremo.ru/upload/images/goods/74863f64-ea03-45de-9c63-e2446c57c66b_04.jpg", "Фото 4")</f>
        <v>Фото 4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 t="s">
        <v>57</v>
      </c>
      <c r="BE137" s="4">
        <v>4820103000</v>
      </c>
    </row>
    <row r="138" spans="1:57" ht="99.95" customHeight="1" x14ac:dyDescent="0.2">
      <c r="A138" s="3" t="s">
        <v>489</v>
      </c>
      <c r="B138" s="3" t="s">
        <v>490</v>
      </c>
      <c r="C138" s="3" t="s">
        <v>59</v>
      </c>
      <c r="D138" s="3" t="s">
        <v>60</v>
      </c>
      <c r="E138" s="12" t="s">
        <v>567</v>
      </c>
      <c r="F138" s="4">
        <v>4607945235861</v>
      </c>
      <c r="G138" s="3" t="s">
        <v>568</v>
      </c>
      <c r="H138" s="3" t="s">
        <v>563</v>
      </c>
      <c r="I138" s="3" t="s">
        <v>88</v>
      </c>
      <c r="J138" s="3" t="s">
        <v>563</v>
      </c>
      <c r="K138" s="8">
        <v>1E-3</v>
      </c>
      <c r="L138" s="9">
        <v>0.11</v>
      </c>
      <c r="M138" s="3" t="s">
        <v>194</v>
      </c>
      <c r="N138" s="12" t="s">
        <v>564</v>
      </c>
      <c r="O138" s="3"/>
      <c r="P138" s="3" t="str">
        <f>HYPERLINK("http://www.paremo.ru/upload/images/goods/53018a36-e91e-4404-b80a-995ed2b73101_05.jpg", "Фото 1")</f>
        <v>Фото 1</v>
      </c>
      <c r="Q138" s="3" t="str">
        <f>HYPERLINK("http://www.paremo.ru/upload/images/goods/53018a36-e91e-4404-b80a-995ed2b73101_02.jpg", "Фото 2")</f>
        <v>Фото 2</v>
      </c>
      <c r="R138" s="3" t="str">
        <f>HYPERLINK("http://www.paremo.ru/upload/images/goods/53018a36-e91e-4404-b80a-995ed2b73101_03.jpg", "Фото 3")</f>
        <v>Фото 3</v>
      </c>
      <c r="S138" s="3" t="str">
        <f>HYPERLINK("http://www.paremo.ru/upload/images/goods/53018a36-e91e-4404-b80a-995ed2b73101_04.jpg", "Фото 4")</f>
        <v>Фото 4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 t="s">
        <v>57</v>
      </c>
      <c r="BE138" s="4">
        <v>4820103000</v>
      </c>
    </row>
    <row r="139" spans="1:57" ht="99.95" customHeight="1" x14ac:dyDescent="0.2">
      <c r="A139" s="3" t="s">
        <v>489</v>
      </c>
      <c r="B139" s="3" t="s">
        <v>490</v>
      </c>
      <c r="C139" s="3" t="s">
        <v>59</v>
      </c>
      <c r="D139" s="3" t="s">
        <v>60</v>
      </c>
      <c r="E139" s="12" t="s">
        <v>569</v>
      </c>
      <c r="F139" s="4">
        <v>4607945235878</v>
      </c>
      <c r="G139" s="3" t="s">
        <v>570</v>
      </c>
      <c r="H139" s="3" t="s">
        <v>563</v>
      </c>
      <c r="I139" s="3" t="s">
        <v>88</v>
      </c>
      <c r="J139" s="3" t="s">
        <v>563</v>
      </c>
      <c r="K139" s="8">
        <v>1E-3</v>
      </c>
      <c r="L139" s="9">
        <v>0.11</v>
      </c>
      <c r="M139" s="3" t="s">
        <v>194</v>
      </c>
      <c r="N139" s="12" t="s">
        <v>564</v>
      </c>
      <c r="O139" s="3"/>
      <c r="P139" s="3" t="str">
        <f>HYPERLINK("http://www.paremo.ru/upload/images/goods/2021664c-fc01-4211-9deb-a889eb2e2e79_01.jpg", "Фото 1")</f>
        <v>Фото 1</v>
      </c>
      <c r="Q139" s="3" t="str">
        <f>HYPERLINK("http://www.paremo.ru/upload/images/goods/2021664c-fc01-4211-9deb-a889eb2e2e79_02.jpg", "Фото 2")</f>
        <v>Фото 2</v>
      </c>
      <c r="R139" s="3" t="str">
        <f>HYPERLINK("http://www.paremo.ru/upload/images/goods/2021664c-fc01-4211-9deb-a889eb2e2e79_03.jpg", "Фото 3")</f>
        <v>Фото 3</v>
      </c>
      <c r="S139" s="3" t="str">
        <f>HYPERLINK("http://www.paremo.ru/upload/images/goods/2021664c-fc01-4211-9deb-a889eb2e2e79_04.jpg", "Фото 4")</f>
        <v>Фото 4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 t="s">
        <v>57</v>
      </c>
      <c r="BE139" s="4">
        <v>4820103000</v>
      </c>
    </row>
    <row r="140" spans="1:57" ht="99.95" customHeight="1" x14ac:dyDescent="0.2">
      <c r="A140" s="3" t="s">
        <v>489</v>
      </c>
      <c r="B140" s="3" t="s">
        <v>490</v>
      </c>
      <c r="C140" s="3" t="s">
        <v>59</v>
      </c>
      <c r="D140" s="3" t="s">
        <v>60</v>
      </c>
      <c r="E140" s="12" t="s">
        <v>571</v>
      </c>
      <c r="F140" s="4">
        <v>4607945235205</v>
      </c>
      <c r="G140" s="3" t="s">
        <v>572</v>
      </c>
      <c r="H140" s="3" t="s">
        <v>573</v>
      </c>
      <c r="I140" s="3" t="s">
        <v>88</v>
      </c>
      <c r="J140" s="3" t="s">
        <v>573</v>
      </c>
      <c r="K140" s="8">
        <v>1E-3</v>
      </c>
      <c r="L140" s="9">
        <v>0.02</v>
      </c>
      <c r="M140" s="3" t="s">
        <v>165</v>
      </c>
      <c r="N140" s="12" t="s">
        <v>574</v>
      </c>
      <c r="O140" s="3"/>
      <c r="P140" s="3" t="str">
        <f>HYPERLINK("http://www.paremo.ru/upload/images/goods/a6fb5150-63c7-4283-98a9-1271d54ed4b4_01.jpg", "Фото 1")</f>
        <v>Фото 1</v>
      </c>
      <c r="Q140" s="3" t="str">
        <f>HYPERLINK("http://www.paremo.ru/upload/images/goods/a6fb5150-63c7-4283-98a9-1271d54ed4b4_02.jpg", "Фото 2")</f>
        <v>Фото 2</v>
      </c>
      <c r="R140" s="3" t="str">
        <f>HYPERLINK("http://www.paremo.ru/upload/images/goods/a6fb5150-63c7-4283-98a9-1271d54ed4b4_03.jpg", "Фото 3")</f>
        <v>Фото 3</v>
      </c>
      <c r="S140" s="3" t="str">
        <f>HYPERLINK("http://www.paremo.ru/upload/images/goods/a6fb5150-63c7-4283-98a9-1271d54ed4b4_04.jpg", "Фото 4")</f>
        <v>Фото 4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 t="s">
        <v>57</v>
      </c>
      <c r="BE140" s="4">
        <v>9608101000</v>
      </c>
    </row>
    <row r="141" spans="1:57" ht="99.95" customHeight="1" x14ac:dyDescent="0.2">
      <c r="A141" s="3" t="s">
        <v>489</v>
      </c>
      <c r="B141" s="3" t="s">
        <v>490</v>
      </c>
      <c r="C141" s="3" t="s">
        <v>59</v>
      </c>
      <c r="D141" s="3" t="s">
        <v>60</v>
      </c>
      <c r="E141" s="12" t="s">
        <v>575</v>
      </c>
      <c r="F141" s="4">
        <v>4607945235212</v>
      </c>
      <c r="G141" s="3" t="s">
        <v>576</v>
      </c>
      <c r="H141" s="3" t="s">
        <v>573</v>
      </c>
      <c r="I141" s="3" t="s">
        <v>88</v>
      </c>
      <c r="J141" s="3" t="s">
        <v>573</v>
      </c>
      <c r="K141" s="8">
        <v>1E-3</v>
      </c>
      <c r="L141" s="9">
        <v>0.02</v>
      </c>
      <c r="M141" s="3" t="s">
        <v>165</v>
      </c>
      <c r="N141" s="12" t="s">
        <v>577</v>
      </c>
      <c r="O141" s="3"/>
      <c r="P141" s="3" t="str">
        <f>HYPERLINK("http://www.paremo.ru/upload/images/goods/03c648c6-5d4d-485a-a044-47f05e48f1d5_01.jpg", "Фото 1")</f>
        <v>Фото 1</v>
      </c>
      <c r="Q141" s="3" t="str">
        <f>HYPERLINK("http://www.paremo.ru/upload/images/goods/03c648c6-5d4d-485a-a044-47f05e48f1d5_02.jpg", "Фото 2")</f>
        <v>Фото 2</v>
      </c>
      <c r="R141" s="3" t="str">
        <f>HYPERLINK("http://www.paremo.ru/upload/images/goods/03c648c6-5d4d-485a-a044-47f05e48f1d5_03.jpg", "Фото 3")</f>
        <v>Фото 3</v>
      </c>
      <c r="S141" s="3" t="str">
        <f>HYPERLINK("http://www.paremo.ru/upload/images/goods/03c648c6-5d4d-485a-a044-47f05e48f1d5_04.jpg", "Фото 4")</f>
        <v>Фото 4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 t="s">
        <v>57</v>
      </c>
      <c r="BE141" s="4">
        <v>9608101000</v>
      </c>
    </row>
    <row r="142" spans="1:57" ht="99.95" customHeight="1" x14ac:dyDescent="0.2">
      <c r="A142" s="3" t="s">
        <v>489</v>
      </c>
      <c r="B142" s="3" t="s">
        <v>490</v>
      </c>
      <c r="C142" s="3" t="s">
        <v>59</v>
      </c>
      <c r="D142" s="3" t="s">
        <v>60</v>
      </c>
      <c r="E142" s="12" t="s">
        <v>578</v>
      </c>
      <c r="F142" s="4">
        <v>4607945235229</v>
      </c>
      <c r="G142" s="3" t="s">
        <v>579</v>
      </c>
      <c r="H142" s="3" t="s">
        <v>573</v>
      </c>
      <c r="I142" s="3" t="s">
        <v>88</v>
      </c>
      <c r="J142" s="3" t="s">
        <v>573</v>
      </c>
      <c r="K142" s="8">
        <v>1E-3</v>
      </c>
      <c r="L142" s="9">
        <v>0.02</v>
      </c>
      <c r="M142" s="3" t="s">
        <v>165</v>
      </c>
      <c r="N142" s="12" t="s">
        <v>580</v>
      </c>
      <c r="O142" s="3"/>
      <c r="P142" s="3" t="str">
        <f>HYPERLINK("http://www.paremo.ru/upload/images/goods/85907bca-239f-4419-ad91-9df7111bff34_01.jpg", "Фото 1")</f>
        <v>Фото 1</v>
      </c>
      <c r="Q142" s="3" t="str">
        <f>HYPERLINK("http://www.paremo.ru/upload/images/goods/85907bca-239f-4419-ad91-9df7111bff34_02.jpg", "Фото 2")</f>
        <v>Фото 2</v>
      </c>
      <c r="R142" s="3" t="str">
        <f>HYPERLINK("http://www.paremo.ru/upload/images/goods/85907bca-239f-4419-ad91-9df7111bff34_03.jpg", "Фото 3")</f>
        <v>Фото 3</v>
      </c>
      <c r="S142" s="3" t="str">
        <f>HYPERLINK("http://www.paremo.ru/upload/images/goods/85907bca-239f-4419-ad91-9df7111bff34_04.jpg", "Фото 4")</f>
        <v>Фото 4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 t="s">
        <v>57</v>
      </c>
      <c r="BE142" s="4">
        <v>9608101000</v>
      </c>
    </row>
    <row r="143" spans="1:57" ht="99.95" customHeight="1" x14ac:dyDescent="0.2">
      <c r="A143" s="3" t="s">
        <v>489</v>
      </c>
      <c r="B143" s="3" t="s">
        <v>490</v>
      </c>
      <c r="C143" s="3" t="s">
        <v>59</v>
      </c>
      <c r="D143" s="3" t="s">
        <v>60</v>
      </c>
      <c r="E143" s="12" t="s">
        <v>581</v>
      </c>
      <c r="F143" s="4">
        <v>4607945235236</v>
      </c>
      <c r="G143" s="3" t="s">
        <v>582</v>
      </c>
      <c r="H143" s="3" t="s">
        <v>573</v>
      </c>
      <c r="I143" s="3" t="s">
        <v>88</v>
      </c>
      <c r="J143" s="3" t="s">
        <v>573</v>
      </c>
      <c r="K143" s="8">
        <v>1E-3</v>
      </c>
      <c r="L143" s="9">
        <v>0.02</v>
      </c>
      <c r="M143" s="3" t="s">
        <v>165</v>
      </c>
      <c r="N143" s="12" t="s">
        <v>583</v>
      </c>
      <c r="O143" s="3"/>
      <c r="P143" s="3" t="str">
        <f>HYPERLINK("http://www.paremo.ru/upload/images/goods/621194e4-8aa0-4462-8b0d-9223908cec8a_01.jpg", "Фото 1")</f>
        <v>Фото 1</v>
      </c>
      <c r="Q143" s="3" t="str">
        <f>HYPERLINK("http://www.paremo.ru/upload/images/goods/621194e4-8aa0-4462-8b0d-9223908cec8a_02.jpg", "Фото 2")</f>
        <v>Фото 2</v>
      </c>
      <c r="R143" s="3" t="str">
        <f>HYPERLINK("http://www.paremo.ru/upload/images/goods/621194e4-8aa0-4462-8b0d-9223908cec8a_03.jpg", "Фото 3")</f>
        <v>Фото 3</v>
      </c>
      <c r="S143" s="3" t="str">
        <f>HYPERLINK("http://www.paremo.ru/upload/images/goods/621194e4-8aa0-4462-8b0d-9223908cec8a_04.jpg", "Фото 4")</f>
        <v>Фото 4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 t="s">
        <v>57</v>
      </c>
      <c r="BE143" s="4">
        <v>9608101000</v>
      </c>
    </row>
    <row r="144" spans="1:57" ht="99.95" customHeight="1" x14ac:dyDescent="0.2">
      <c r="A144" s="3" t="s">
        <v>489</v>
      </c>
      <c r="B144" s="3" t="s">
        <v>490</v>
      </c>
      <c r="C144" s="3" t="s">
        <v>59</v>
      </c>
      <c r="D144" s="3" t="s">
        <v>60</v>
      </c>
      <c r="E144" s="12" t="s">
        <v>584</v>
      </c>
      <c r="F144" s="7">
        <v>694704115377</v>
      </c>
      <c r="G144" s="3" t="s">
        <v>585</v>
      </c>
      <c r="H144" s="3" t="s">
        <v>586</v>
      </c>
      <c r="I144" s="3" t="s">
        <v>76</v>
      </c>
      <c r="J144" s="3" t="s">
        <v>586</v>
      </c>
      <c r="K144" s="8">
        <v>1E-3</v>
      </c>
      <c r="L144" s="9">
        <v>0.17</v>
      </c>
      <c r="M144" s="3" t="s">
        <v>164</v>
      </c>
      <c r="N144" s="12" t="s">
        <v>587</v>
      </c>
      <c r="O144" s="3"/>
      <c r="P144" s="3" t="str">
        <f>HYPERLINK("http://www.paremo.ru/upload/images/goods/59eaf1d8-6909-47f0-bbc8-9b634907f7ce_01.jpg", "Фото 1")</f>
        <v>Фото 1</v>
      </c>
      <c r="Q144" s="3" t="str">
        <f>HYPERLINK("http://www.paremo.ru/upload/images/goods/59eaf1d8-6909-47f0-bbc8-9b634907f7ce_02.jpg", "Фото 2")</f>
        <v>Фото 2</v>
      </c>
      <c r="R144" s="3" t="str">
        <f>HYPERLINK("http://www.paremo.ru/upload/images/goods/59eaf1d8-6909-47f0-bbc8-9b634907f7ce_03.jpg", "Фото 3")</f>
        <v>Фото 3</v>
      </c>
      <c r="S144" s="3" t="str">
        <f>HYPERLINK("http://www.paremo.ru/upload/images/goods/59eaf1d8-6909-47f0-bbc8-9b634907f7ce_04.jpg", "Фото 4")</f>
        <v>Фото 4</v>
      </c>
      <c r="T144" s="3" t="str">
        <f>HYPERLINK("http://www.paremo.ru/upload/images/goods/59eaf1d8-6909-47f0-bbc8-9b634907f7ce_05.jpg", "Фото 5")</f>
        <v>Фото 5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 t="s">
        <v>57</v>
      </c>
      <c r="BE144" s="4">
        <v>9608500000</v>
      </c>
    </row>
    <row r="145" spans="1:57" ht="99.95" customHeight="1" x14ac:dyDescent="0.2">
      <c r="A145" s="3" t="s">
        <v>489</v>
      </c>
      <c r="B145" s="3" t="s">
        <v>490</v>
      </c>
      <c r="C145" s="3" t="s">
        <v>59</v>
      </c>
      <c r="D145" s="3" t="s">
        <v>60</v>
      </c>
      <c r="E145" s="12" t="s">
        <v>588</v>
      </c>
      <c r="F145" s="4">
        <v>4607945234802</v>
      </c>
      <c r="G145" s="3" t="s">
        <v>589</v>
      </c>
      <c r="H145" s="3" t="s">
        <v>590</v>
      </c>
      <c r="I145" s="3" t="s">
        <v>88</v>
      </c>
      <c r="J145" s="3" t="s">
        <v>590</v>
      </c>
      <c r="K145" s="8">
        <v>1E-3</v>
      </c>
      <c r="L145" s="9">
        <v>0.03</v>
      </c>
      <c r="M145" s="3" t="s">
        <v>65</v>
      </c>
      <c r="N145" s="12" t="s">
        <v>591</v>
      </c>
      <c r="O145" s="3"/>
      <c r="P145" s="3" t="str">
        <f>HYPERLINK("http://www.paremo.ru/upload/images/goods/43dfc177-67e6-462d-9699-ea6b3deeadf5_01.jpg", "Фото 1")</f>
        <v>Фото 1</v>
      </c>
      <c r="Q145" s="3" t="str">
        <f>HYPERLINK("http://www.paremo.ru/upload/images/goods/43dfc177-67e6-462d-9699-ea6b3deeadf5_02.jpg", "Фото 2")</f>
        <v>Фото 2</v>
      </c>
      <c r="R145" s="3" t="str">
        <f>HYPERLINK("http://www.paremo.ru/upload/images/goods/43dfc177-67e6-462d-9699-ea6b3deeadf5_03.jpg", "Фото 3")</f>
        <v>Фото 3</v>
      </c>
      <c r="S145" s="3" t="str">
        <f>HYPERLINK("http://www.paremo.ru/upload/images/goods/43dfc177-67e6-462d-9699-ea6b3deeadf5_04.jpg", "Фото 4")</f>
        <v>Фото 4</v>
      </c>
      <c r="T145" s="3" t="str">
        <f>HYPERLINK("http://www.paremo.ru/upload/images/goods/43dfc177-67e6-462d-9699-ea6b3deeadf5_05.jpg", "Фото 5")</f>
        <v>Фото 5</v>
      </c>
      <c r="U145" s="3" t="str">
        <f>HYPERLINK("http://www.paremo.ru/upload/images/goods/43dfc177-67e6-462d-9699-ea6b3deeadf5_06.jpg", "Фото 6")</f>
        <v>Фото 6</v>
      </c>
      <c r="V145" s="3" t="str">
        <f>HYPERLINK("http://www.paremo.ru/upload/images/goods/43dfc177-67e6-462d-9699-ea6b3deeadf5_07.jpg", "Фото 7")</f>
        <v>Фото 7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 t="s">
        <v>57</v>
      </c>
      <c r="BE145" s="4">
        <v>9608101000</v>
      </c>
    </row>
    <row r="146" spans="1:57" ht="99.95" customHeight="1" x14ac:dyDescent="0.2">
      <c r="A146" s="3" t="s">
        <v>489</v>
      </c>
      <c r="B146" s="3" t="s">
        <v>490</v>
      </c>
      <c r="C146" s="3" t="s">
        <v>59</v>
      </c>
      <c r="D146" s="3" t="s">
        <v>60</v>
      </c>
      <c r="E146" s="12" t="s">
        <v>592</v>
      </c>
      <c r="F146" s="4">
        <v>4607945234895</v>
      </c>
      <c r="G146" s="3" t="s">
        <v>593</v>
      </c>
      <c r="H146" s="3" t="s">
        <v>590</v>
      </c>
      <c r="I146" s="3" t="s">
        <v>88</v>
      </c>
      <c r="J146" s="3" t="s">
        <v>590</v>
      </c>
      <c r="K146" s="8">
        <v>1E-3</v>
      </c>
      <c r="L146" s="9">
        <v>0.03</v>
      </c>
      <c r="M146" s="3" t="s">
        <v>65</v>
      </c>
      <c r="N146" s="12" t="s">
        <v>591</v>
      </c>
      <c r="O146" s="3"/>
      <c r="P146" s="3" t="str">
        <f>HYPERLINK("http://www.paremo.ru/upload/images/goods/82ed2cca-f134-4ac5-9f63-5a2f5bbdcbf1_01.jpg", "Фото 1")</f>
        <v>Фото 1</v>
      </c>
      <c r="Q146" s="3" t="str">
        <f>HYPERLINK("http://www.paremo.ru/upload/images/goods/82ed2cca-f134-4ac5-9f63-5a2f5bbdcbf1_02.jpg", "Фото 2")</f>
        <v>Фото 2</v>
      </c>
      <c r="R146" s="3" t="str">
        <f>HYPERLINK("http://www.paremo.ru/upload/images/goods/82ed2cca-f134-4ac5-9f63-5a2f5bbdcbf1_03.jpg", "Фото 3")</f>
        <v>Фото 3</v>
      </c>
      <c r="S146" s="3" t="str">
        <f>HYPERLINK("http://www.paremo.ru/upload/images/goods/82ed2cca-f134-4ac5-9f63-5a2f5bbdcbf1_04.jpg", "Фото 4")</f>
        <v>Фото 4</v>
      </c>
      <c r="T146" s="3" t="str">
        <f>HYPERLINK("http://www.paremo.ru/upload/images/goods/82ed2cca-f134-4ac5-9f63-5a2f5bbdcbf1_05.jpg", "Фото 5")</f>
        <v>Фото 5</v>
      </c>
      <c r="U146" s="3" t="str">
        <f>HYPERLINK("http://www.paremo.ru/upload/images/goods/82ed2cca-f134-4ac5-9f63-5a2f5bbdcbf1_06.jpg", "Фото 6")</f>
        <v>Фото 6</v>
      </c>
      <c r="V146" s="3" t="str">
        <f>HYPERLINK("http://www.paremo.ru/upload/images/goods/82ed2cca-f134-4ac5-9f63-5a2f5bbdcbf1_07.jpg", "Фото 7")</f>
        <v>Фото 7</v>
      </c>
      <c r="W146" s="3" t="str">
        <f>HYPERLINK("http://www.paremo.ru/upload/images/goods/82ed2cca-f134-4ac5-9f63-5a2f5bbdcbf1_08.jpg", "Фото 8")</f>
        <v>Фото 8</v>
      </c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 t="s">
        <v>57</v>
      </c>
      <c r="BE146" s="4">
        <v>9608101000</v>
      </c>
    </row>
    <row r="147" spans="1:57" ht="99.95" customHeight="1" x14ac:dyDescent="0.2">
      <c r="A147" s="3" t="s">
        <v>489</v>
      </c>
      <c r="B147" s="3" t="s">
        <v>490</v>
      </c>
      <c r="C147" s="3" t="s">
        <v>59</v>
      </c>
      <c r="D147" s="3" t="s">
        <v>60</v>
      </c>
      <c r="E147" s="12" t="s">
        <v>594</v>
      </c>
      <c r="F147" s="4">
        <v>4607945234901</v>
      </c>
      <c r="G147" s="3" t="s">
        <v>595</v>
      </c>
      <c r="H147" s="3" t="s">
        <v>590</v>
      </c>
      <c r="I147" s="3" t="s">
        <v>88</v>
      </c>
      <c r="J147" s="3" t="s">
        <v>590</v>
      </c>
      <c r="K147" s="8">
        <v>1E-3</v>
      </c>
      <c r="L147" s="9">
        <v>0.03</v>
      </c>
      <c r="M147" s="3" t="s">
        <v>65</v>
      </c>
      <c r="N147" s="12" t="s">
        <v>591</v>
      </c>
      <c r="O147" s="3"/>
      <c r="P147" s="3" t="str">
        <f>HYPERLINK("http://www.paremo.ru/upload/images/goods/ced2e8b2-d3b3-4e14-8301-dee4e4231171_01.jpg", "Фото 1")</f>
        <v>Фото 1</v>
      </c>
      <c r="Q147" s="3" t="str">
        <f>HYPERLINK("http://www.paremo.ru/upload/images/goods/ced2e8b2-d3b3-4e14-8301-dee4e4231171_02.jpg", "Фото 2")</f>
        <v>Фото 2</v>
      </c>
      <c r="R147" s="3" t="str">
        <f>HYPERLINK("http://www.paremo.ru/upload/images/goods/ced2e8b2-d3b3-4e14-8301-dee4e4231171_03.jpg", "Фото 3")</f>
        <v>Фото 3</v>
      </c>
      <c r="S147" s="3" t="str">
        <f>HYPERLINK("http://www.paremo.ru/upload/images/goods/ced2e8b2-d3b3-4e14-8301-dee4e4231171_04.jpg", "Фото 4")</f>
        <v>Фото 4</v>
      </c>
      <c r="T147" s="3" t="str">
        <f>HYPERLINK("http://www.paremo.ru/upload/images/goods/ced2e8b2-d3b3-4e14-8301-dee4e4231171_05.jpg", "Фото 5")</f>
        <v>Фото 5</v>
      </c>
      <c r="U147" s="3" t="str">
        <f>HYPERLINK("http://www.paremo.ru/upload/images/goods/ced2e8b2-d3b3-4e14-8301-dee4e4231171_06.jpg", "Фото 6")</f>
        <v>Фото 6</v>
      </c>
      <c r="V147" s="3" t="str">
        <f>HYPERLINK("http://www.paremo.ru/upload/images/goods/ced2e8b2-d3b3-4e14-8301-dee4e4231171_07.jpg", "Фото 7")</f>
        <v>Фото 7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 t="s">
        <v>57</v>
      </c>
      <c r="BE147" s="4">
        <v>9608101000</v>
      </c>
    </row>
    <row r="148" spans="1:57" ht="99.95" customHeight="1" x14ac:dyDescent="0.2">
      <c r="A148" s="3" t="s">
        <v>489</v>
      </c>
      <c r="B148" s="3" t="s">
        <v>490</v>
      </c>
      <c r="C148" s="3" t="s">
        <v>59</v>
      </c>
      <c r="D148" s="3" t="s">
        <v>60</v>
      </c>
      <c r="E148" s="12" t="s">
        <v>596</v>
      </c>
      <c r="F148" s="4">
        <v>4607945234918</v>
      </c>
      <c r="G148" s="3" t="s">
        <v>597</v>
      </c>
      <c r="H148" s="3" t="s">
        <v>590</v>
      </c>
      <c r="I148" s="3" t="s">
        <v>88</v>
      </c>
      <c r="J148" s="3" t="s">
        <v>590</v>
      </c>
      <c r="K148" s="8">
        <v>1E-3</v>
      </c>
      <c r="L148" s="9">
        <v>0.03</v>
      </c>
      <c r="M148" s="3" t="s">
        <v>65</v>
      </c>
      <c r="N148" s="12" t="s">
        <v>591</v>
      </c>
      <c r="O148" s="3"/>
      <c r="P148" s="3" t="str">
        <f>HYPERLINK("http://www.paremo.ru/upload/images/goods/63e99783-3434-43c1-a1db-7373b4767e0b_01.jpg", "Фото 1")</f>
        <v>Фото 1</v>
      </c>
      <c r="Q148" s="3" t="str">
        <f>HYPERLINK("http://www.paremo.ru/upload/images/goods/63e99783-3434-43c1-a1db-7373b4767e0b_02.jpg", "Фото 2")</f>
        <v>Фото 2</v>
      </c>
      <c r="R148" s="3" t="str">
        <f>HYPERLINK("http://www.paremo.ru/upload/images/goods/63e99783-3434-43c1-a1db-7373b4767e0b_03.jpg", "Фото 3")</f>
        <v>Фото 3</v>
      </c>
      <c r="S148" s="3" t="str">
        <f>HYPERLINK("http://www.paremo.ru/upload/images/goods/63e99783-3434-43c1-a1db-7373b4767e0b_04.jpg", "Фото 4")</f>
        <v>Фото 4</v>
      </c>
      <c r="T148" s="3" t="str">
        <f>HYPERLINK("http://www.paremo.ru/upload/images/goods/63e99783-3434-43c1-a1db-7373b4767e0b_05.jpg", "Фото 5")</f>
        <v>Фото 5</v>
      </c>
      <c r="U148" s="3" t="str">
        <f>HYPERLINK("http://www.paremo.ru/upload/images/goods/63e99783-3434-43c1-a1db-7373b4767e0b_06.jpg", "Фото 6")</f>
        <v>Фото 6</v>
      </c>
      <c r="V148" s="3" t="str">
        <f>HYPERLINK("http://www.paremo.ru/upload/images/goods/63e99783-3434-43c1-a1db-7373b4767e0b_07.jpg", "Фото 7")</f>
        <v>Фото 7</v>
      </c>
      <c r="W148" s="3" t="str">
        <f>HYPERLINK("http://www.paremo.ru/upload/images/goods/63e99783-3434-43c1-a1db-7373b4767e0b_08.jpg", "Фото 8")</f>
        <v>Фото 8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 t="s">
        <v>57</v>
      </c>
      <c r="BE148" s="4">
        <v>9608101000</v>
      </c>
    </row>
    <row r="149" spans="1:57" ht="99.95" customHeight="1" x14ac:dyDescent="0.2">
      <c r="A149" s="3" t="s">
        <v>489</v>
      </c>
      <c r="B149" s="3" t="s">
        <v>490</v>
      </c>
      <c r="C149" s="3" t="s">
        <v>59</v>
      </c>
      <c r="D149" s="3" t="s">
        <v>60</v>
      </c>
      <c r="E149" s="12" t="s">
        <v>598</v>
      </c>
      <c r="F149" s="4">
        <v>4607945235007</v>
      </c>
      <c r="G149" s="3" t="s">
        <v>599</v>
      </c>
      <c r="H149" s="3" t="s">
        <v>590</v>
      </c>
      <c r="I149" s="3" t="s">
        <v>88</v>
      </c>
      <c r="J149" s="3" t="s">
        <v>590</v>
      </c>
      <c r="K149" s="8">
        <v>1E-3</v>
      </c>
      <c r="L149" s="9">
        <v>0.03</v>
      </c>
      <c r="M149" s="3" t="s">
        <v>65</v>
      </c>
      <c r="N149" s="12" t="s">
        <v>591</v>
      </c>
      <c r="O149" s="3"/>
      <c r="P149" s="3" t="str">
        <f>HYPERLINK("http://www.paremo.ru/upload/images/goods/2eb7bd55-e9a0-48df-a361-3e29de19b864_01.jpg", "Фото 1")</f>
        <v>Фото 1</v>
      </c>
      <c r="Q149" s="3" t="str">
        <f>HYPERLINK("http://www.paremo.ru/upload/images/goods/2eb7bd55-e9a0-48df-a361-3e29de19b864_02.jpg", "Фото 2")</f>
        <v>Фото 2</v>
      </c>
      <c r="R149" s="3" t="str">
        <f>HYPERLINK("http://www.paremo.ru/upload/images/goods/2eb7bd55-e9a0-48df-a361-3e29de19b864_03.jpg", "Фото 3")</f>
        <v>Фото 3</v>
      </c>
      <c r="S149" s="3" t="str">
        <f>HYPERLINK("http://www.paremo.ru/upload/images/goods/2eb7bd55-e9a0-48df-a361-3e29de19b864_04.jpg", "Фото 4")</f>
        <v>Фото 4</v>
      </c>
      <c r="T149" s="3" t="str">
        <f>HYPERLINK("http://www.paremo.ru/upload/images/goods/2eb7bd55-e9a0-48df-a361-3e29de19b864_05.jpg", "Фото 5")</f>
        <v>Фото 5</v>
      </c>
      <c r="U149" s="3" t="str">
        <f>HYPERLINK("http://www.paremo.ru/upload/images/goods/2eb7bd55-e9a0-48df-a361-3e29de19b864_06.jpg", "Фото 6")</f>
        <v>Фото 6</v>
      </c>
      <c r="V149" s="3" t="str">
        <f>HYPERLINK("http://www.paremo.ru/upload/images/goods/2eb7bd55-e9a0-48df-a361-3e29de19b864_07.jpg", "Фото 7")</f>
        <v>Фото 7</v>
      </c>
      <c r="W149" s="3" t="str">
        <f>HYPERLINK("http://www.paremo.ru/upload/images/goods/2eb7bd55-e9a0-48df-a361-3e29de19b864_08.jpg", "Фото 8")</f>
        <v>Фото 8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 t="s">
        <v>57</v>
      </c>
      <c r="BE149" s="4">
        <v>9608101000</v>
      </c>
    </row>
    <row r="150" spans="1:57" ht="99.95" customHeight="1" x14ac:dyDescent="0.2">
      <c r="A150" s="3" t="s">
        <v>489</v>
      </c>
      <c r="B150" s="3" t="s">
        <v>490</v>
      </c>
      <c r="C150" s="3" t="s">
        <v>59</v>
      </c>
      <c r="D150" s="3" t="s">
        <v>60</v>
      </c>
      <c r="E150" s="12" t="s">
        <v>600</v>
      </c>
      <c r="F150" s="4">
        <v>4607945235038</v>
      </c>
      <c r="G150" s="3" t="s">
        <v>601</v>
      </c>
      <c r="H150" s="3" t="s">
        <v>590</v>
      </c>
      <c r="I150" s="3" t="s">
        <v>88</v>
      </c>
      <c r="J150" s="3" t="s">
        <v>590</v>
      </c>
      <c r="K150" s="8">
        <v>1E-3</v>
      </c>
      <c r="L150" s="9">
        <v>0.03</v>
      </c>
      <c r="M150" s="3" t="s">
        <v>65</v>
      </c>
      <c r="N150" s="12" t="s">
        <v>591</v>
      </c>
      <c r="O150" s="3"/>
      <c r="P150" s="3" t="str">
        <f>HYPERLINK("http://www.paremo.ru/upload/images/goods/202e98e5-10aa-4532-8308-f40f9b48bc75_01.jpg", "Фото 1")</f>
        <v>Фото 1</v>
      </c>
      <c r="Q150" s="3" t="str">
        <f>HYPERLINK("http://www.paremo.ru/upload/images/goods/202e98e5-10aa-4532-8308-f40f9b48bc75_02.jpg", "Фото 2")</f>
        <v>Фото 2</v>
      </c>
      <c r="R150" s="3" t="str">
        <f>HYPERLINK("http://www.paremo.ru/upload/images/goods/202e98e5-10aa-4532-8308-f40f9b48bc75_03.jpg", "Фото 3")</f>
        <v>Фото 3</v>
      </c>
      <c r="S150" s="3" t="str">
        <f>HYPERLINK("http://www.paremo.ru/upload/images/goods/202e98e5-10aa-4532-8308-f40f9b48bc75_04.jpg", "Фото 4")</f>
        <v>Фото 4</v>
      </c>
      <c r="T150" s="3" t="str">
        <f>HYPERLINK("http://www.paremo.ru/upload/images/goods/202e98e5-10aa-4532-8308-f40f9b48bc75_05.jpg", "Фото 5")</f>
        <v>Фото 5</v>
      </c>
      <c r="U150" s="3" t="str">
        <f>HYPERLINK("http://www.paremo.ru/upload/images/goods/202e98e5-10aa-4532-8308-f40f9b48bc75_06.jpg", "Фото 6")</f>
        <v>Фото 6</v>
      </c>
      <c r="V150" s="3" t="str">
        <f>HYPERLINK("http://www.paremo.ru/upload/images/goods/202e98e5-10aa-4532-8308-f40f9b48bc75_07.jpg", "Фото 7")</f>
        <v>Фото 7</v>
      </c>
      <c r="W150" s="3" t="str">
        <f>HYPERLINK("http://www.paremo.ru/upload/images/goods/202e98e5-10aa-4532-8308-f40f9b48bc75_08.jpg", "Фото 8")</f>
        <v>Фото 8</v>
      </c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 t="s">
        <v>57</v>
      </c>
      <c r="BE150" s="4">
        <v>9608101000</v>
      </c>
    </row>
    <row r="151" spans="1:57" ht="99.95" customHeight="1" x14ac:dyDescent="0.2">
      <c r="A151" s="3" t="s">
        <v>489</v>
      </c>
      <c r="B151" s="3" t="s">
        <v>490</v>
      </c>
      <c r="C151" s="3" t="s">
        <v>59</v>
      </c>
      <c r="D151" s="3" t="s">
        <v>60</v>
      </c>
      <c r="E151" s="12" t="s">
        <v>602</v>
      </c>
      <c r="F151" s="4">
        <v>4607945235458</v>
      </c>
      <c r="G151" s="3" t="s">
        <v>603</v>
      </c>
      <c r="H151" s="3" t="s">
        <v>604</v>
      </c>
      <c r="I151" s="3" t="s">
        <v>88</v>
      </c>
      <c r="J151" s="3" t="s">
        <v>604</v>
      </c>
      <c r="K151" s="8">
        <v>1E-3</v>
      </c>
      <c r="L151" s="9">
        <v>0.08</v>
      </c>
      <c r="M151" s="3" t="s">
        <v>65</v>
      </c>
      <c r="N151" s="12" t="s">
        <v>605</v>
      </c>
      <c r="O151" s="3"/>
      <c r="P151" s="3" t="str">
        <f>HYPERLINK("http://www.paremo.ru/upload/images/goods/642d02c3-d740-44c4-b7f3-3fa0d391d68f_01.jpg", "Фото 1")</f>
        <v>Фото 1</v>
      </c>
      <c r="Q151" s="3" t="str">
        <f>HYPERLINK("http://www.paremo.ru/upload/images/goods/642d02c3-d740-44c4-b7f3-3fa0d391d68f_02.jpg", "Фото 2")</f>
        <v>Фото 2</v>
      </c>
      <c r="R151" s="3" t="str">
        <f>HYPERLINK("http://www.paremo.ru/upload/images/goods/642d02c3-d740-44c4-b7f3-3fa0d391d68f_03.jpg", "Фото 3")</f>
        <v>Фото 3</v>
      </c>
      <c r="S151" s="3" t="str">
        <f>HYPERLINK("http://www.paremo.ru/upload/images/goods/642d02c3-d740-44c4-b7f3-3fa0d391d68f_04.jpg", "Фото 4")</f>
        <v>Фото 4</v>
      </c>
      <c r="T151" s="3" t="str">
        <f>HYPERLINK("http://www.paremo.ru/upload/images/goods/642d02c3-d740-44c4-b7f3-3fa0d391d68f_05.jpg", "Фото 5")</f>
        <v>Фото 5</v>
      </c>
      <c r="U151" s="3" t="str">
        <f>HYPERLINK("http://www.paremo.ru/upload/images/goods/642d02c3-d740-44c4-b7f3-3fa0d391d68f_06.jpg", "Фото 6")</f>
        <v>Фото 6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 t="s">
        <v>57</v>
      </c>
      <c r="BE151" s="4">
        <v>9608101000</v>
      </c>
    </row>
    <row r="152" spans="1:57" ht="99.95" customHeight="1" x14ac:dyDescent="0.2">
      <c r="A152" s="3" t="s">
        <v>489</v>
      </c>
      <c r="B152" s="3" t="s">
        <v>490</v>
      </c>
      <c r="C152" s="3" t="s">
        <v>59</v>
      </c>
      <c r="D152" s="3" t="s">
        <v>60</v>
      </c>
      <c r="E152" s="12" t="s">
        <v>606</v>
      </c>
      <c r="F152" s="4">
        <v>4607945235625</v>
      </c>
      <c r="G152" s="3" t="s">
        <v>607</v>
      </c>
      <c r="H152" s="3" t="s">
        <v>604</v>
      </c>
      <c r="I152" s="3" t="s">
        <v>88</v>
      </c>
      <c r="J152" s="3" t="s">
        <v>604</v>
      </c>
      <c r="K152" s="8">
        <v>1E-3</v>
      </c>
      <c r="L152" s="9">
        <v>0.08</v>
      </c>
      <c r="M152" s="3" t="s">
        <v>65</v>
      </c>
      <c r="N152" s="12" t="s">
        <v>608</v>
      </c>
      <c r="O152" s="3"/>
      <c r="P152" s="3" t="str">
        <f>HYPERLINK("http://www.paremo.ru/upload/images/goods/8fba84e4-1707-4120-8582-843dce344966_01.jpg", "Фото 1")</f>
        <v>Фото 1</v>
      </c>
      <c r="Q152" s="3" t="str">
        <f>HYPERLINK("http://www.paremo.ru/upload/images/goods/8fba84e4-1707-4120-8582-843dce344966_02.jpg", "Фото 2")</f>
        <v>Фото 2</v>
      </c>
      <c r="R152" s="3" t="str">
        <f>HYPERLINK("http://www.paremo.ru/upload/images/goods/8fba84e4-1707-4120-8582-843dce344966_03.jpg", "Фото 3")</f>
        <v>Фото 3</v>
      </c>
      <c r="S152" s="3" t="str">
        <f>HYPERLINK("http://www.paremo.ru/upload/images/goods/8fba84e4-1707-4120-8582-843dce344966_04.jpg", "Фото 4")</f>
        <v>Фото 4</v>
      </c>
      <c r="T152" s="3" t="str">
        <f>HYPERLINK("http://www.paremo.ru/upload/images/goods/8fba84e4-1707-4120-8582-843dce344966_05.jpg", "Фото 5")</f>
        <v>Фото 5</v>
      </c>
      <c r="U152" s="3" t="str">
        <f>HYPERLINK("http://www.paremo.ru/upload/images/goods/8fba84e4-1707-4120-8582-843dce344966_06.jpg", "Фото 6")</f>
        <v>Фото 6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 t="s">
        <v>57</v>
      </c>
      <c r="BE152" s="4">
        <v>9608101000</v>
      </c>
    </row>
    <row r="153" spans="1:57" ht="99.95" customHeight="1" x14ac:dyDescent="0.2">
      <c r="A153" s="3" t="s">
        <v>489</v>
      </c>
      <c r="B153" s="3" t="s">
        <v>490</v>
      </c>
      <c r="C153" s="3" t="s">
        <v>59</v>
      </c>
      <c r="D153" s="3" t="s">
        <v>60</v>
      </c>
      <c r="E153" s="12" t="s">
        <v>609</v>
      </c>
      <c r="F153" s="4">
        <v>4607945235656</v>
      </c>
      <c r="G153" s="3" t="s">
        <v>610</v>
      </c>
      <c r="H153" s="3" t="s">
        <v>611</v>
      </c>
      <c r="I153" s="3" t="s">
        <v>88</v>
      </c>
      <c r="J153" s="3" t="s">
        <v>611</v>
      </c>
      <c r="K153" s="8">
        <v>1E-3</v>
      </c>
      <c r="L153" s="9">
        <v>0.35</v>
      </c>
      <c r="M153" s="3" t="s">
        <v>194</v>
      </c>
      <c r="N153" s="12" t="s">
        <v>612</v>
      </c>
      <c r="O153" s="3"/>
      <c r="P153" s="3" t="str">
        <f>HYPERLINK("http://www.paremo.ru/upload/images/goods/6d61859f-e828-4599-8725-5677287fa159_01.jpg", "Фото 1")</f>
        <v>Фото 1</v>
      </c>
      <c r="Q153" s="3" t="str">
        <f>HYPERLINK("http://www.paremo.ru/upload/images/goods/6d61859f-e828-4599-8725-5677287fa159_02.jpg", "Фото 2")</f>
        <v>Фото 2</v>
      </c>
      <c r="R153" s="3" t="str">
        <f>HYPERLINK("http://www.paremo.ru/upload/images/goods/6d61859f-e828-4599-8725-5677287fa159_03.jpg", "Фото 3")</f>
        <v>Фото 3</v>
      </c>
      <c r="S153" s="3" t="str">
        <f>HYPERLINK("http://www.paremo.ru/upload/images/goods/6d61859f-e828-4599-8725-5677287fa159_04.jpg", "Фото 4")</f>
        <v>Фото 4</v>
      </c>
      <c r="T153" s="3" t="str">
        <f>HYPERLINK("http://www.paremo.ru/upload/images/goods/6d61859f-e828-4599-8725-5677287fa159_05.jpg", "Фото 5")</f>
        <v>Фото 5</v>
      </c>
      <c r="U153" s="3" t="str">
        <f>HYPERLINK("http://www.paremo.ru/upload/images/goods/6d61859f-e828-4599-8725-5677287fa159_06.jpg", "Фото 6")</f>
        <v>Фото 6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 t="s">
        <v>57</v>
      </c>
      <c r="BE153" s="4">
        <v>4820103000</v>
      </c>
    </row>
    <row r="154" spans="1:57" ht="99.95" customHeight="1" x14ac:dyDescent="0.2">
      <c r="A154" s="3" t="s">
        <v>489</v>
      </c>
      <c r="B154" s="3" t="s">
        <v>490</v>
      </c>
      <c r="C154" s="3" t="s">
        <v>59</v>
      </c>
      <c r="D154" s="3" t="s">
        <v>60</v>
      </c>
      <c r="E154" s="12" t="s">
        <v>613</v>
      </c>
      <c r="F154" s="4">
        <v>4607945235748</v>
      </c>
      <c r="G154" s="3" t="s">
        <v>614</v>
      </c>
      <c r="H154" s="3" t="s">
        <v>611</v>
      </c>
      <c r="I154" s="3" t="s">
        <v>88</v>
      </c>
      <c r="J154" s="3" t="s">
        <v>611</v>
      </c>
      <c r="K154" s="8">
        <v>1E-3</v>
      </c>
      <c r="L154" s="9">
        <v>0.35</v>
      </c>
      <c r="M154" s="3" t="s">
        <v>194</v>
      </c>
      <c r="N154" s="12" t="s">
        <v>612</v>
      </c>
      <c r="O154" s="3"/>
      <c r="P154" s="3" t="str">
        <f>HYPERLINK("http://www.paremo.ru/upload/images/goods/e469086b-4228-40f8-b8a5-5851cad793ea_01.jpg", "Фото 1")</f>
        <v>Фото 1</v>
      </c>
      <c r="Q154" s="3" t="str">
        <f>HYPERLINK("http://www.paremo.ru/upload/images/goods/e469086b-4228-40f8-b8a5-5851cad793ea_02.jpg", "Фото 2")</f>
        <v>Фото 2</v>
      </c>
      <c r="R154" s="3" t="str">
        <f>HYPERLINK("http://www.paremo.ru/upload/images/goods/e469086b-4228-40f8-b8a5-5851cad793ea_03.jpg", "Фото 3")</f>
        <v>Фото 3</v>
      </c>
      <c r="S154" s="3" t="str">
        <f>HYPERLINK("http://www.paremo.ru/upload/images/goods/e469086b-4228-40f8-b8a5-5851cad793ea_04.jpg", "Фото 4")</f>
        <v>Фото 4</v>
      </c>
      <c r="T154" s="3" t="str">
        <f>HYPERLINK("http://www.paremo.ru/upload/images/goods/e469086b-4228-40f8-b8a5-5851cad793ea_05.jpg", "Фото 5")</f>
        <v>Фото 5</v>
      </c>
      <c r="U154" s="3" t="str">
        <f>HYPERLINK("http://www.paremo.ru/upload/images/goods/e469086b-4228-40f8-b8a5-5851cad793ea_06.jpg", "Фото 6")</f>
        <v>Фото 6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 t="s">
        <v>57</v>
      </c>
      <c r="BE154" s="4">
        <v>4820103000</v>
      </c>
    </row>
    <row r="155" spans="1:57" ht="99.95" customHeight="1" x14ac:dyDescent="0.2">
      <c r="A155" s="3" t="s">
        <v>489</v>
      </c>
      <c r="B155" s="3" t="s">
        <v>490</v>
      </c>
      <c r="C155" s="3" t="s">
        <v>59</v>
      </c>
      <c r="D155" s="3" t="s">
        <v>60</v>
      </c>
      <c r="E155" s="12" t="s">
        <v>615</v>
      </c>
      <c r="F155" s="4">
        <v>4607945235816</v>
      </c>
      <c r="G155" s="3" t="s">
        <v>616</v>
      </c>
      <c r="H155" s="3" t="s">
        <v>611</v>
      </c>
      <c r="I155" s="3" t="s">
        <v>88</v>
      </c>
      <c r="J155" s="3" t="s">
        <v>611</v>
      </c>
      <c r="K155" s="8">
        <v>1E-3</v>
      </c>
      <c r="L155" s="9">
        <v>0.35</v>
      </c>
      <c r="M155" s="3" t="s">
        <v>194</v>
      </c>
      <c r="N155" s="12" t="s">
        <v>612</v>
      </c>
      <c r="O155" s="3"/>
      <c r="P155" s="3" t="str">
        <f>HYPERLINK("http://www.paremo.ru/upload/images/goods/7bc67e02-3fdb-4d04-bd21-d762f26f4328_01.jpg", "Фото 1")</f>
        <v>Фото 1</v>
      </c>
      <c r="Q155" s="3" t="str">
        <f>HYPERLINK("http://www.paremo.ru/upload/images/goods/7bc67e02-3fdb-4d04-bd21-d762f26f4328_02.jpg", "Фото 2")</f>
        <v>Фото 2</v>
      </c>
      <c r="R155" s="3" t="str">
        <f>HYPERLINK("http://www.paremo.ru/upload/images/goods/7bc67e02-3fdb-4d04-bd21-d762f26f4328_03.jpg", "Фото 3")</f>
        <v>Фото 3</v>
      </c>
      <c r="S155" s="3" t="str">
        <f>HYPERLINK("http://www.paremo.ru/upload/images/goods/7bc67e02-3fdb-4d04-bd21-d762f26f4328_04.jpg", "Фото 4")</f>
        <v>Фото 4</v>
      </c>
      <c r="T155" s="3" t="str">
        <f>HYPERLINK("http://www.paremo.ru/upload/images/goods/7bc67e02-3fdb-4d04-bd21-d762f26f4328_05.jpg", "Фото 5")</f>
        <v>Фото 5</v>
      </c>
      <c r="U155" s="3" t="str">
        <f>HYPERLINK("http://www.paremo.ru/upload/images/goods/7bc67e02-3fdb-4d04-bd21-d762f26f4328_06.jpg", "Фото 6")</f>
        <v>Фото 6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 t="s">
        <v>57</v>
      </c>
      <c r="BE155" s="4">
        <v>4820103000</v>
      </c>
    </row>
    <row r="156" spans="1:57" ht="99.95" customHeight="1" x14ac:dyDescent="0.2">
      <c r="A156" s="3" t="s">
        <v>489</v>
      </c>
      <c r="B156" s="3" t="s">
        <v>490</v>
      </c>
      <c r="C156" s="3" t="s">
        <v>59</v>
      </c>
      <c r="D156" s="3" t="s">
        <v>60</v>
      </c>
      <c r="E156" s="12" t="s">
        <v>617</v>
      </c>
      <c r="F156" s="4">
        <v>4607945235885</v>
      </c>
      <c r="G156" s="3" t="s">
        <v>618</v>
      </c>
      <c r="H156" s="3" t="s">
        <v>619</v>
      </c>
      <c r="I156" s="3" t="s">
        <v>88</v>
      </c>
      <c r="J156" s="3" t="s">
        <v>619</v>
      </c>
      <c r="K156" s="8">
        <v>1E-3</v>
      </c>
      <c r="L156" s="6">
        <v>0.3</v>
      </c>
      <c r="M156" s="3" t="s">
        <v>194</v>
      </c>
      <c r="N156" s="12" t="s">
        <v>620</v>
      </c>
      <c r="O156" s="3"/>
      <c r="P156" s="3" t="str">
        <f>HYPERLINK("http://www.paremo.ru/upload/images/goods/5d497acc-2886-4c02-9807-45dbb8cf1f73_01.jpg", "Фото 1")</f>
        <v>Фото 1</v>
      </c>
      <c r="Q156" s="3" t="str">
        <f>HYPERLINK("http://www.paremo.ru/upload/images/goods/5d497acc-2886-4c02-9807-45dbb8cf1f73_02.jpg", "Фото 2")</f>
        <v>Фото 2</v>
      </c>
      <c r="R156" s="3" t="str">
        <f>HYPERLINK("http://www.paremo.ru/upload/images/goods/5d497acc-2886-4c02-9807-45dbb8cf1f73_03.jpg", "Фото 3")</f>
        <v>Фото 3</v>
      </c>
      <c r="S156" s="3" t="str">
        <f>HYPERLINK("http://www.paremo.ru/upload/images/goods/5d497acc-2886-4c02-9807-45dbb8cf1f73_04.jpg", "Фото 4")</f>
        <v>Фото 4</v>
      </c>
      <c r="T156" s="3" t="str">
        <f>HYPERLINK("http://www.paremo.ru/upload/images/goods/5d497acc-2886-4c02-9807-45dbb8cf1f73_05.jpg", "Фото 5")</f>
        <v>Фото 5</v>
      </c>
      <c r="U156" s="3" t="str">
        <f>HYPERLINK("http://www.paremo.ru/upload/images/goods/5d497acc-2886-4c02-9807-45dbb8cf1f73_06.jpg", "Фото 6")</f>
        <v>Фото 6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 t="s">
        <v>57</v>
      </c>
      <c r="BE156" s="4">
        <v>4820103000</v>
      </c>
    </row>
    <row r="157" spans="1:57" ht="99.95" customHeight="1" x14ac:dyDescent="0.2">
      <c r="A157" s="3" t="s">
        <v>489</v>
      </c>
      <c r="B157" s="3" t="s">
        <v>490</v>
      </c>
      <c r="C157" s="3" t="s">
        <v>59</v>
      </c>
      <c r="D157" s="3" t="s">
        <v>60</v>
      </c>
      <c r="E157" s="12" t="s">
        <v>621</v>
      </c>
      <c r="F157" s="4">
        <v>4607945235892</v>
      </c>
      <c r="G157" s="3" t="s">
        <v>622</v>
      </c>
      <c r="H157" s="3" t="s">
        <v>619</v>
      </c>
      <c r="I157" s="3" t="s">
        <v>88</v>
      </c>
      <c r="J157" s="3" t="s">
        <v>619</v>
      </c>
      <c r="K157" s="8">
        <v>1E-3</v>
      </c>
      <c r="L157" s="6">
        <v>0.3</v>
      </c>
      <c r="M157" s="3" t="s">
        <v>194</v>
      </c>
      <c r="N157" s="12" t="s">
        <v>620</v>
      </c>
      <c r="O157" s="3"/>
      <c r="P157" s="3" t="str">
        <f>HYPERLINK("http://www.paremo.ru/upload/images/goods/275011bd-8c7e-40dd-a358-a3b157331770_01.jpg", "Фото 1")</f>
        <v>Фото 1</v>
      </c>
      <c r="Q157" s="3" t="str">
        <f>HYPERLINK("http://www.paremo.ru/upload/images/goods/275011bd-8c7e-40dd-a358-a3b157331770_02.jpg", "Фото 2")</f>
        <v>Фото 2</v>
      </c>
      <c r="R157" s="3" t="str">
        <f>HYPERLINK("http://www.paremo.ru/upload/images/goods/275011bd-8c7e-40dd-a358-a3b157331770_03.jpg", "Фото 3")</f>
        <v>Фото 3</v>
      </c>
      <c r="S157" s="3" t="str">
        <f>HYPERLINK("http://www.paremo.ru/upload/images/goods/275011bd-8c7e-40dd-a358-a3b157331770_04.jpg", "Фото 4")</f>
        <v>Фото 4</v>
      </c>
      <c r="T157" s="3" t="str">
        <f>HYPERLINK("http://www.paremo.ru/upload/images/goods/275011bd-8c7e-40dd-a358-a3b157331770_05.jpg", "Фото 5")</f>
        <v>Фото 5</v>
      </c>
      <c r="U157" s="3" t="str">
        <f>HYPERLINK("http://www.paremo.ru/upload/images/goods/275011bd-8c7e-40dd-a358-a3b157331770_06.jpg", "Фото 6")</f>
        <v>Фото 6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 t="s">
        <v>57</v>
      </c>
      <c r="BE157" s="4">
        <v>4820103000</v>
      </c>
    </row>
    <row r="158" spans="1:57" ht="99.95" customHeight="1" x14ac:dyDescent="0.2">
      <c r="A158" s="3" t="s">
        <v>489</v>
      </c>
      <c r="B158" s="3" t="s">
        <v>490</v>
      </c>
      <c r="C158" s="3" t="s">
        <v>59</v>
      </c>
      <c r="D158" s="3" t="s">
        <v>60</v>
      </c>
      <c r="E158" s="12" t="s">
        <v>623</v>
      </c>
      <c r="F158" s="4">
        <v>4607945235908</v>
      </c>
      <c r="G158" s="3" t="s">
        <v>624</v>
      </c>
      <c r="H158" s="3" t="s">
        <v>619</v>
      </c>
      <c r="I158" s="3" t="s">
        <v>88</v>
      </c>
      <c r="J158" s="3" t="s">
        <v>619</v>
      </c>
      <c r="K158" s="8">
        <v>1E-3</v>
      </c>
      <c r="L158" s="6">
        <v>0.3</v>
      </c>
      <c r="M158" s="3" t="s">
        <v>194</v>
      </c>
      <c r="N158" s="12" t="s">
        <v>620</v>
      </c>
      <c r="O158" s="3"/>
      <c r="P158" s="3" t="str">
        <f>HYPERLINK("http://www.paremo.ru/upload/images/goods/6b5cccce-93cb-4abb-be72-11f3575ebd09_01.jpg", "Фото 1")</f>
        <v>Фото 1</v>
      </c>
      <c r="Q158" s="3" t="str">
        <f>HYPERLINK("http://www.paremo.ru/upload/images/goods/6b5cccce-93cb-4abb-be72-11f3575ebd09_02.jpg", "Фото 2")</f>
        <v>Фото 2</v>
      </c>
      <c r="R158" s="3" t="str">
        <f>HYPERLINK("http://www.paremo.ru/upload/images/goods/6b5cccce-93cb-4abb-be72-11f3575ebd09_03.jpg", "Фото 3")</f>
        <v>Фото 3</v>
      </c>
      <c r="S158" s="3" t="str">
        <f>HYPERLINK("http://www.paremo.ru/upload/images/goods/6b5cccce-93cb-4abb-be72-11f3575ebd09_04.jpg", "Фото 4")</f>
        <v>Фото 4</v>
      </c>
      <c r="T158" s="3" t="str">
        <f>HYPERLINK("http://www.paremo.ru/upload/images/goods/6b5cccce-93cb-4abb-be72-11f3575ebd09_05.jpg", "Фото 5")</f>
        <v>Фото 5</v>
      </c>
      <c r="U158" s="3" t="str">
        <f>HYPERLINK("http://www.paremo.ru/upload/images/goods/6b5cccce-93cb-4abb-be72-11f3575ebd09_06.jpg", "Фото 6")</f>
        <v>Фото 6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 t="s">
        <v>57</v>
      </c>
      <c r="BE158" s="4">
        <v>4820103000</v>
      </c>
    </row>
    <row r="159" spans="1:57" ht="99.95" customHeight="1" x14ac:dyDescent="0.2">
      <c r="A159" s="3" t="s">
        <v>489</v>
      </c>
      <c r="B159" s="3" t="s">
        <v>490</v>
      </c>
      <c r="C159" s="3" t="s">
        <v>59</v>
      </c>
      <c r="D159" s="3" t="s">
        <v>60</v>
      </c>
      <c r="E159" s="12" t="s">
        <v>625</v>
      </c>
      <c r="F159" s="4">
        <v>4607945235243</v>
      </c>
      <c r="G159" s="3" t="s">
        <v>626</v>
      </c>
      <c r="H159" s="3" t="s">
        <v>627</v>
      </c>
      <c r="I159" s="3" t="s">
        <v>88</v>
      </c>
      <c r="J159" s="3" t="s">
        <v>627</v>
      </c>
      <c r="K159" s="8">
        <v>1E-3</v>
      </c>
      <c r="L159" s="6">
        <v>0.1</v>
      </c>
      <c r="M159" s="3" t="s">
        <v>194</v>
      </c>
      <c r="N159" s="12" t="s">
        <v>628</v>
      </c>
      <c r="O159" s="3"/>
      <c r="P159" s="3" t="str">
        <f>HYPERLINK("http://www.paremo.ru/upload/images/goods/d6d163aa-924e-4160-a657-e974b573f74c_01.jpg", "Фото 1")</f>
        <v>Фото 1</v>
      </c>
      <c r="Q159" s="3" t="str">
        <f>HYPERLINK("http://www.paremo.ru/upload/images/goods/d6d163aa-924e-4160-a657-e974b573f74c_02.jpg", "Фото 2")</f>
        <v>Фото 2</v>
      </c>
      <c r="R159" s="3" t="str">
        <f>HYPERLINK("http://www.paremo.ru/upload/images/goods/d6d163aa-924e-4160-a657-e974b573f74c_03.jpg", "Фото 3")</f>
        <v>Фото 3</v>
      </c>
      <c r="S159" s="3" t="str">
        <f>HYPERLINK("http://www.paremo.ru/upload/images/goods/d6d163aa-924e-4160-a657-e974b573f74c_04.jpg", "Фото 4")</f>
        <v>Фото 4</v>
      </c>
      <c r="T159" s="3" t="str">
        <f>HYPERLINK("http://www.paremo.ru/upload/images/goods/d6d163aa-924e-4160-a657-e974b573f74c_05.jpg", "Фото 5")</f>
        <v>Фото 5</v>
      </c>
      <c r="U159" s="3" t="str">
        <f>HYPERLINK("http://www.paremo.ru/upload/images/goods/d6d163aa-924e-4160-a657-e974b573f74c_06.jpg", "Фото 6")</f>
        <v>Фото 6</v>
      </c>
      <c r="V159" s="3" t="str">
        <f>HYPERLINK("http://www.paremo.ru/upload/images/goods/d6d163aa-924e-4160-a657-e974b573f74c_07.jpg", "Фото 7")</f>
        <v>Фото 7</v>
      </c>
      <c r="W159" s="3" t="str">
        <f>HYPERLINK("http://www.paremo.ru/upload/images/goods/d6d163aa-924e-4160-a657-e974b573f74c_08.jpg", "Фото 8")</f>
        <v>Фото 8</v>
      </c>
      <c r="X159" s="3" t="str">
        <f>HYPERLINK("http://www.paremo.ru/upload/images/goods/d6d163aa-924e-4160-a657-e974b573f74c_09.jpg", "Фото 9")</f>
        <v>Фото 9</v>
      </c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 t="s">
        <v>57</v>
      </c>
      <c r="BE159" s="4">
        <v>4820103000</v>
      </c>
    </row>
    <row r="160" spans="1:57" ht="99.95" customHeight="1" x14ac:dyDescent="0.2">
      <c r="A160" s="3" t="s">
        <v>489</v>
      </c>
      <c r="B160" s="3" t="s">
        <v>490</v>
      </c>
      <c r="C160" s="3" t="s">
        <v>59</v>
      </c>
      <c r="D160" s="3" t="s">
        <v>60</v>
      </c>
      <c r="E160" s="12" t="s">
        <v>629</v>
      </c>
      <c r="F160" s="4">
        <v>4607945235250</v>
      </c>
      <c r="G160" s="3" t="s">
        <v>630</v>
      </c>
      <c r="H160" s="3" t="s">
        <v>627</v>
      </c>
      <c r="I160" s="3" t="s">
        <v>88</v>
      </c>
      <c r="J160" s="3" t="s">
        <v>627</v>
      </c>
      <c r="K160" s="8">
        <v>1E-3</v>
      </c>
      <c r="L160" s="6">
        <v>0.1</v>
      </c>
      <c r="M160" s="3" t="s">
        <v>194</v>
      </c>
      <c r="N160" s="12" t="s">
        <v>628</v>
      </c>
      <c r="O160" s="3"/>
      <c r="P160" s="3" t="str">
        <f>HYPERLINK("http://www.paremo.ru/upload/images/goods/67ce8afe-31a9-464a-8df5-806a31dd4cc4_01.jpg", "Фото 1")</f>
        <v>Фото 1</v>
      </c>
      <c r="Q160" s="3" t="str">
        <f>HYPERLINK("http://www.paremo.ru/upload/images/goods/67ce8afe-31a9-464a-8df5-806a31dd4cc4_02.jpg", "Фото 2")</f>
        <v>Фото 2</v>
      </c>
      <c r="R160" s="3" t="str">
        <f>HYPERLINK("http://www.paremo.ru/upload/images/goods/67ce8afe-31a9-464a-8df5-806a31dd4cc4_03.jpg", "Фото 3")</f>
        <v>Фото 3</v>
      </c>
      <c r="S160" s="3" t="str">
        <f>HYPERLINK("http://www.paremo.ru/upload/images/goods/67ce8afe-31a9-464a-8df5-806a31dd4cc4_04.jpg", "Фото 4")</f>
        <v>Фото 4</v>
      </c>
      <c r="T160" s="3" t="str">
        <f>HYPERLINK("http://www.paremo.ru/upload/images/goods/67ce8afe-31a9-464a-8df5-806a31dd4cc4_05.jpg", "Фото 5")</f>
        <v>Фото 5</v>
      </c>
      <c r="U160" s="3" t="str">
        <f>HYPERLINK("http://www.paremo.ru/upload/images/goods/67ce8afe-31a9-464a-8df5-806a31dd4cc4_06.jpg", "Фото 6")</f>
        <v>Фото 6</v>
      </c>
      <c r="V160" s="3" t="str">
        <f>HYPERLINK("http://www.paremo.ru/upload/images/goods/67ce8afe-31a9-464a-8df5-806a31dd4cc4_07.jpg", "Фото 7")</f>
        <v>Фото 7</v>
      </c>
      <c r="W160" s="3" t="str">
        <f>HYPERLINK("http://www.paremo.ru/upload/images/goods/67ce8afe-31a9-464a-8df5-806a31dd4cc4_08.jpg", "Фото 8")</f>
        <v>Фото 8</v>
      </c>
      <c r="X160" s="3" t="str">
        <f>HYPERLINK("http://www.paremo.ru/upload/images/goods/67ce8afe-31a9-464a-8df5-806a31dd4cc4_09.jpg", "Фото 9")</f>
        <v>Фото 9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 t="s">
        <v>57</v>
      </c>
      <c r="BE160" s="4">
        <v>4820103000</v>
      </c>
    </row>
    <row r="161" spans="1:57" ht="99.95" customHeight="1" x14ac:dyDescent="0.2">
      <c r="A161" s="3" t="s">
        <v>489</v>
      </c>
      <c r="B161" s="3" t="s">
        <v>490</v>
      </c>
      <c r="C161" s="3" t="s">
        <v>59</v>
      </c>
      <c r="D161" s="3" t="s">
        <v>60</v>
      </c>
      <c r="E161" s="12" t="s">
        <v>631</v>
      </c>
      <c r="F161" s="4">
        <v>4607945235267</v>
      </c>
      <c r="G161" s="3" t="s">
        <v>632</v>
      </c>
      <c r="H161" s="3" t="s">
        <v>633</v>
      </c>
      <c r="I161" s="3" t="s">
        <v>88</v>
      </c>
      <c r="J161" s="3" t="s">
        <v>633</v>
      </c>
      <c r="K161" s="8">
        <v>1E-3</v>
      </c>
      <c r="L161" s="9">
        <v>0.02</v>
      </c>
      <c r="M161" s="3" t="s">
        <v>65</v>
      </c>
      <c r="N161" s="12" t="s">
        <v>634</v>
      </c>
      <c r="O161" s="3"/>
      <c r="P161" s="3" t="str">
        <f>HYPERLINK("http://www.paremo.ru/upload/images/goods/3298b783-1f21-4d9c-8904-a9cb2e30dc26_01.jpg", "Фото 1")</f>
        <v>Фото 1</v>
      </c>
      <c r="Q161" s="3" t="str">
        <f>HYPERLINK("http://www.paremo.ru/upload/images/goods/3298b783-1f21-4d9c-8904-a9cb2e30dc26_02.jpg", "Фото 2")</f>
        <v>Фото 2</v>
      </c>
      <c r="R161" s="3" t="str">
        <f>HYPERLINK("http://www.paremo.ru/upload/images/goods/3298b783-1f21-4d9c-8904-a9cb2e30dc26_03.jpg", "Фото 3")</f>
        <v>Фото 3</v>
      </c>
      <c r="S161" s="3" t="str">
        <f>HYPERLINK("http://www.paremo.ru/upload/images/goods/3298b783-1f21-4d9c-8904-a9cb2e30dc26_04.jpg", "Фото 4")</f>
        <v>Фото 4</v>
      </c>
      <c r="T161" s="3" t="str">
        <f>HYPERLINK("http://www.paremo.ru/upload/images/goods/3298b783-1f21-4d9c-8904-a9cb2e30dc26_05.jpg", "Фото 5")</f>
        <v>Фото 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 t="s">
        <v>57</v>
      </c>
      <c r="BE161" s="4">
        <v>9608101000</v>
      </c>
    </row>
    <row r="162" spans="1:57" ht="99.95" customHeight="1" x14ac:dyDescent="0.2">
      <c r="A162" s="3" t="s">
        <v>489</v>
      </c>
      <c r="B162" s="3" t="s">
        <v>490</v>
      </c>
      <c r="C162" s="3" t="s">
        <v>59</v>
      </c>
      <c r="D162" s="3" t="s">
        <v>60</v>
      </c>
      <c r="E162" s="12" t="s">
        <v>635</v>
      </c>
      <c r="F162" s="4">
        <v>4607945235274</v>
      </c>
      <c r="G162" s="3" t="s">
        <v>636</v>
      </c>
      <c r="H162" s="3" t="s">
        <v>633</v>
      </c>
      <c r="I162" s="3" t="s">
        <v>88</v>
      </c>
      <c r="J162" s="3" t="s">
        <v>633</v>
      </c>
      <c r="K162" s="8">
        <v>1E-3</v>
      </c>
      <c r="L162" s="9">
        <v>0.02</v>
      </c>
      <c r="M162" s="3" t="s">
        <v>65</v>
      </c>
      <c r="N162" s="12" t="s">
        <v>634</v>
      </c>
      <c r="O162" s="3"/>
      <c r="P162" s="3" t="str">
        <f>HYPERLINK("http://www.paremo.ru/upload/images/goods/efa60ff1-c326-4404-8c76-04b98754a091_01.jpg", "Фото 1")</f>
        <v>Фото 1</v>
      </c>
      <c r="Q162" s="3" t="str">
        <f>HYPERLINK("http://www.paremo.ru/upload/images/goods/efa60ff1-c326-4404-8c76-04b98754a091_02.jpg", "Фото 2")</f>
        <v>Фото 2</v>
      </c>
      <c r="R162" s="3" t="str">
        <f>HYPERLINK("http://www.paremo.ru/upload/images/goods/efa60ff1-c326-4404-8c76-04b98754a091_03.jpg", "Фото 3")</f>
        <v>Фото 3</v>
      </c>
      <c r="S162" s="3" t="str">
        <f>HYPERLINK("http://www.paremo.ru/upload/images/goods/efa60ff1-c326-4404-8c76-04b98754a091_04.jpg", "Фото 4")</f>
        <v>Фото 4</v>
      </c>
      <c r="T162" s="3" t="str">
        <f>HYPERLINK("http://www.paremo.ru/upload/images/goods/efa60ff1-c326-4404-8c76-04b98754a091_05.jpg", "Фото 5")</f>
        <v>Фото 5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 t="s">
        <v>57</v>
      </c>
      <c r="BE162" s="4">
        <v>9608101000</v>
      </c>
    </row>
    <row r="163" spans="1:57" ht="99.95" customHeight="1" x14ac:dyDescent="0.2">
      <c r="A163" s="3" t="s">
        <v>489</v>
      </c>
      <c r="B163" s="3" t="s">
        <v>490</v>
      </c>
      <c r="C163" s="3" t="s">
        <v>59</v>
      </c>
      <c r="D163" s="3" t="s">
        <v>60</v>
      </c>
      <c r="E163" s="12" t="s">
        <v>637</v>
      </c>
      <c r="F163" s="4">
        <v>4607945235281</v>
      </c>
      <c r="G163" s="3" t="s">
        <v>638</v>
      </c>
      <c r="H163" s="3" t="s">
        <v>633</v>
      </c>
      <c r="I163" s="3" t="s">
        <v>88</v>
      </c>
      <c r="J163" s="3" t="s">
        <v>633</v>
      </c>
      <c r="K163" s="8">
        <v>1E-3</v>
      </c>
      <c r="L163" s="9">
        <v>0.02</v>
      </c>
      <c r="M163" s="3" t="s">
        <v>65</v>
      </c>
      <c r="N163" s="12" t="s">
        <v>634</v>
      </c>
      <c r="O163" s="3"/>
      <c r="P163" s="3" t="str">
        <f>HYPERLINK("http://www.paremo.ru/upload/images/goods/687a6816-c3ad-4f36-bec3-28208bc4599c_01.jpg", "Фото 1")</f>
        <v>Фото 1</v>
      </c>
      <c r="Q163" s="3" t="str">
        <f>HYPERLINK("http://www.paremo.ru/upload/images/goods/687a6816-c3ad-4f36-bec3-28208bc4599c_02.jpg", "Фото 2")</f>
        <v>Фото 2</v>
      </c>
      <c r="R163" s="3" t="str">
        <f>HYPERLINK("http://www.paremo.ru/upload/images/goods/687a6816-c3ad-4f36-bec3-28208bc4599c_03.jpg", "Фото 3")</f>
        <v>Фото 3</v>
      </c>
      <c r="S163" s="3" t="str">
        <f>HYPERLINK("http://www.paremo.ru/upload/images/goods/687a6816-c3ad-4f36-bec3-28208bc4599c_04.jpg", "Фото 4")</f>
        <v>Фото 4</v>
      </c>
      <c r="T163" s="3" t="str">
        <f>HYPERLINK("http://www.paremo.ru/upload/images/goods/687a6816-c3ad-4f36-bec3-28208bc4599c_05.jpg", "Фото 5")</f>
        <v>Фото 5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 t="s">
        <v>57</v>
      </c>
      <c r="BE163" s="4">
        <v>9608101000</v>
      </c>
    </row>
    <row r="164" spans="1:57" ht="99.95" customHeight="1" x14ac:dyDescent="0.2">
      <c r="A164" s="3" t="s">
        <v>489</v>
      </c>
      <c r="B164" s="3" t="s">
        <v>490</v>
      </c>
      <c r="C164" s="3" t="s">
        <v>59</v>
      </c>
      <c r="D164" s="3" t="s">
        <v>60</v>
      </c>
      <c r="E164" s="12" t="s">
        <v>639</v>
      </c>
      <c r="F164" s="4">
        <v>4607945235298</v>
      </c>
      <c r="G164" s="3" t="s">
        <v>640</v>
      </c>
      <c r="H164" s="3" t="s">
        <v>633</v>
      </c>
      <c r="I164" s="3" t="s">
        <v>88</v>
      </c>
      <c r="J164" s="3" t="s">
        <v>633</v>
      </c>
      <c r="K164" s="8">
        <v>1E-3</v>
      </c>
      <c r="L164" s="9">
        <v>0.02</v>
      </c>
      <c r="M164" s="3" t="s">
        <v>65</v>
      </c>
      <c r="N164" s="12" t="s">
        <v>634</v>
      </c>
      <c r="O164" s="3"/>
      <c r="P164" s="3" t="str">
        <f>HYPERLINK("http://www.paremo.ru/upload/images/goods/8d18c67f-8466-4b70-810a-245d8c50dcb1_01.jpg", "Фото 1")</f>
        <v>Фото 1</v>
      </c>
      <c r="Q164" s="3" t="str">
        <f>HYPERLINK("http://www.paremo.ru/upload/images/goods/8d18c67f-8466-4b70-810a-245d8c50dcb1_02.jpg", "Фото 2")</f>
        <v>Фото 2</v>
      </c>
      <c r="R164" s="3" t="str">
        <f>HYPERLINK("http://www.paremo.ru/upload/images/goods/8d18c67f-8466-4b70-810a-245d8c50dcb1_03.jpg", "Фото 3")</f>
        <v>Фото 3</v>
      </c>
      <c r="S164" s="3" t="str">
        <f>HYPERLINK("http://www.paremo.ru/upload/images/goods/8d18c67f-8466-4b70-810a-245d8c50dcb1_04.jpg", "Фото 4")</f>
        <v>Фото 4</v>
      </c>
      <c r="T164" s="3" t="str">
        <f>HYPERLINK("http://www.paremo.ru/upload/images/goods/8d18c67f-8466-4b70-810a-245d8c50dcb1_05.jpg", "Фото 5")</f>
        <v>Фото 5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 t="s">
        <v>57</v>
      </c>
      <c r="BE164" s="4">
        <v>9608101000</v>
      </c>
    </row>
    <row r="165" spans="1:57" ht="99.95" customHeight="1" x14ac:dyDescent="0.2">
      <c r="A165" s="3" t="s">
        <v>489</v>
      </c>
      <c r="B165" s="3" t="s">
        <v>490</v>
      </c>
      <c r="C165" s="3" t="s">
        <v>59</v>
      </c>
      <c r="D165" s="3" t="s">
        <v>60</v>
      </c>
      <c r="E165" s="12" t="s">
        <v>641</v>
      </c>
      <c r="F165" s="7">
        <v>694704115988</v>
      </c>
      <c r="G165" s="3" t="s">
        <v>642</v>
      </c>
      <c r="H165" s="3" t="s">
        <v>491</v>
      </c>
      <c r="I165" s="3" t="s">
        <v>76</v>
      </c>
      <c r="J165" s="3" t="s">
        <v>491</v>
      </c>
      <c r="K165" s="8">
        <v>1E-3</v>
      </c>
      <c r="L165" s="8">
        <v>0.125</v>
      </c>
      <c r="M165" s="3" t="s">
        <v>90</v>
      </c>
      <c r="N165" s="12" t="s">
        <v>643</v>
      </c>
      <c r="O165" s="3"/>
      <c r="P165" s="3" t="str">
        <f>HYPERLINK("http://www.paremo.ru/upload/images/goods/494efe94-d457-41cb-b863-9745f1bff072_01.jpg", "Фото 1")</f>
        <v>Фото 1</v>
      </c>
      <c r="Q165" s="3" t="str">
        <f>HYPERLINK("http://www.paremo.ru/upload/images/goods/494efe94-d457-41cb-b863-9745f1bff072_02.jpg", "Фото 2")</f>
        <v>Фото 2</v>
      </c>
      <c r="R165" s="3" t="str">
        <f>HYPERLINK("http://www.paremo.ru/upload/images/goods/494efe94-d457-41cb-b863-9745f1bff072_03.jpg", "Фото 3")</f>
        <v>Фото 3</v>
      </c>
      <c r="S165" s="3" t="str">
        <f>HYPERLINK("http://www.paremo.ru/upload/images/goods/494efe94-d457-41cb-b863-9745f1bff072_04.jpg", "Фото 4")</f>
        <v>Фото 4</v>
      </c>
      <c r="T165" s="3" t="str">
        <f>HYPERLINK("http://www.paremo.ru/upload/images/goods/494efe94-d457-41cb-b863-9745f1bff072_05.jpg", "Фото 5")</f>
        <v>Фото 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 t="s">
        <v>57</v>
      </c>
      <c r="BE165" s="4">
        <v>9609101000</v>
      </c>
    </row>
    <row r="166" spans="1:57" ht="99.95" customHeight="1" x14ac:dyDescent="0.2">
      <c r="A166" s="3" t="s">
        <v>489</v>
      </c>
      <c r="B166" s="3" t="s">
        <v>490</v>
      </c>
      <c r="C166" s="3" t="s">
        <v>59</v>
      </c>
      <c r="D166" s="3" t="s">
        <v>60</v>
      </c>
      <c r="E166" s="12" t="s">
        <v>644</v>
      </c>
      <c r="F166" s="4">
        <v>4607945235045</v>
      </c>
      <c r="G166" s="3" t="s">
        <v>645</v>
      </c>
      <c r="H166" s="3" t="s">
        <v>646</v>
      </c>
      <c r="I166" s="3" t="s">
        <v>88</v>
      </c>
      <c r="J166" s="3" t="s">
        <v>646</v>
      </c>
      <c r="K166" s="8">
        <v>1E-3</v>
      </c>
      <c r="L166" s="9">
        <v>0.03</v>
      </c>
      <c r="M166" s="3" t="s">
        <v>107</v>
      </c>
      <c r="N166" s="12" t="s">
        <v>647</v>
      </c>
      <c r="O166" s="3"/>
      <c r="P166" s="3" t="str">
        <f>HYPERLINK("http://www.paremo.ru/upload/images/goods/155d7380-aec2-482f-8ed4-06c584b30674_01.jpg", "Фото 1")</f>
        <v>Фото 1</v>
      </c>
      <c r="Q166" s="3" t="str">
        <f>HYPERLINK("http://www.paremo.ru/upload/images/goods/155d7380-aec2-482f-8ed4-06c584b30674_02.jpg", "Фото 2")</f>
        <v>Фото 2</v>
      </c>
      <c r="R166" s="3" t="str">
        <f>HYPERLINK("http://www.paremo.ru/upload/images/goods/155d7380-aec2-482f-8ed4-06c584b30674_03.jpg", "Фото 3")</f>
        <v>Фото 3</v>
      </c>
      <c r="S166" s="3" t="str">
        <f>HYPERLINK("http://www.paremo.ru/upload/images/goods/155d7380-aec2-482f-8ed4-06c584b30674_04.jpg", "Фото 4")</f>
        <v>Фото 4</v>
      </c>
      <c r="T166" s="3" t="str">
        <f>HYPERLINK("http://www.paremo.ru/upload/images/goods/155d7380-aec2-482f-8ed4-06c584b30674_05.jpg", "Фото 5")</f>
        <v>Фото 5</v>
      </c>
      <c r="U166" s="3" t="str">
        <f>HYPERLINK("http://www.paremo.ru/upload/images/goods/155d7380-aec2-482f-8ed4-06c584b30674_06.jpg", "Фото 6")</f>
        <v>Фото 6</v>
      </c>
      <c r="V166" s="3" t="str">
        <f>HYPERLINK("http://www.paremo.ru/upload/images/goods/155d7380-aec2-482f-8ed4-06c584b30674_07.jpg", "Фото 7")</f>
        <v>Фото 7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 t="s">
        <v>57</v>
      </c>
      <c r="BE166" s="4">
        <v>9608101000</v>
      </c>
    </row>
    <row r="167" spans="1:57" ht="99.95" customHeight="1" x14ac:dyDescent="0.2">
      <c r="A167" s="3" t="s">
        <v>489</v>
      </c>
      <c r="B167" s="3" t="s">
        <v>490</v>
      </c>
      <c r="C167" s="3" t="s">
        <v>59</v>
      </c>
      <c r="D167" s="3" t="s">
        <v>60</v>
      </c>
      <c r="E167" s="12" t="s">
        <v>648</v>
      </c>
      <c r="F167" s="4">
        <v>4607945235120</v>
      </c>
      <c r="G167" s="3" t="s">
        <v>649</v>
      </c>
      <c r="H167" s="3" t="s">
        <v>646</v>
      </c>
      <c r="I167" s="3" t="s">
        <v>88</v>
      </c>
      <c r="J167" s="3" t="s">
        <v>646</v>
      </c>
      <c r="K167" s="8">
        <v>1E-3</v>
      </c>
      <c r="L167" s="9">
        <v>0.03</v>
      </c>
      <c r="M167" s="3" t="s">
        <v>107</v>
      </c>
      <c r="N167" s="12" t="s">
        <v>650</v>
      </c>
      <c r="O167" s="3"/>
      <c r="P167" s="3" t="str">
        <f>HYPERLINK("http://www.paremo.ru/upload/images/goods/45338055-e730-4d49-86d4-9b561bec6669_01.jpg", "Фото 1")</f>
        <v>Фото 1</v>
      </c>
      <c r="Q167" s="3" t="str">
        <f>HYPERLINK("http://www.paremo.ru/upload/images/goods/45338055-e730-4d49-86d4-9b561bec6669_02.jpg", "Фото 2")</f>
        <v>Фото 2</v>
      </c>
      <c r="R167" s="3" t="str">
        <f>HYPERLINK("http://www.paremo.ru/upload/images/goods/45338055-e730-4d49-86d4-9b561bec6669_03.jpg", "Фото 3")</f>
        <v>Фото 3</v>
      </c>
      <c r="S167" s="3" t="str">
        <f>HYPERLINK("http://www.paremo.ru/upload/images/goods/45338055-e730-4d49-86d4-9b561bec6669_04.jpg", "Фото 4")</f>
        <v>Фото 4</v>
      </c>
      <c r="T167" s="3" t="str">
        <f>HYPERLINK("http://www.paremo.ru/upload/images/goods/45338055-e730-4d49-86d4-9b561bec6669_05.jpg", "Фото 5")</f>
        <v>Фото 5</v>
      </c>
      <c r="U167" s="3" t="str">
        <f>HYPERLINK("http://www.paremo.ru/upload/images/goods/45338055-e730-4d49-86d4-9b561bec6669_06.jpg", "Фото 6")</f>
        <v>Фото 6</v>
      </c>
      <c r="V167" s="3" t="str">
        <f>HYPERLINK("http://www.paremo.ru/upload/images/goods/45338055-e730-4d49-86d4-9b561bec6669_07.jpg", "Фото 7")</f>
        <v>Фото 7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 t="s">
        <v>57</v>
      </c>
      <c r="BE167" s="4">
        <v>9608101000</v>
      </c>
    </row>
    <row r="168" spans="1:57" ht="99.95" customHeight="1" x14ac:dyDescent="0.2">
      <c r="A168" s="3" t="s">
        <v>489</v>
      </c>
      <c r="B168" s="3" t="s">
        <v>490</v>
      </c>
      <c r="C168" s="3" t="s">
        <v>59</v>
      </c>
      <c r="D168" s="3" t="s">
        <v>60</v>
      </c>
      <c r="E168" s="12" t="s">
        <v>651</v>
      </c>
      <c r="F168" s="4">
        <v>4607945235144</v>
      </c>
      <c r="G168" s="3" t="s">
        <v>652</v>
      </c>
      <c r="H168" s="3" t="s">
        <v>646</v>
      </c>
      <c r="I168" s="3" t="s">
        <v>88</v>
      </c>
      <c r="J168" s="3" t="s">
        <v>646</v>
      </c>
      <c r="K168" s="8">
        <v>1E-3</v>
      </c>
      <c r="L168" s="9">
        <v>0.03</v>
      </c>
      <c r="M168" s="3" t="s">
        <v>107</v>
      </c>
      <c r="N168" s="12" t="s">
        <v>653</v>
      </c>
      <c r="O168" s="3"/>
      <c r="P168" s="3" t="str">
        <f>HYPERLINK("http://www.paremo.ru/upload/images/goods/4b62d19c-2432-4ef0-9a9d-4f75918f29fd_01.jpg", "Фото 1")</f>
        <v>Фото 1</v>
      </c>
      <c r="Q168" s="3" t="str">
        <f>HYPERLINK("http://www.paremo.ru/upload/images/goods/4b62d19c-2432-4ef0-9a9d-4f75918f29fd_02.jpg", "Фото 2")</f>
        <v>Фото 2</v>
      </c>
      <c r="R168" s="3" t="str">
        <f>HYPERLINK("http://www.paremo.ru/upload/images/goods/4b62d19c-2432-4ef0-9a9d-4f75918f29fd_03.jpg", "Фото 3")</f>
        <v>Фото 3</v>
      </c>
      <c r="S168" s="3" t="str">
        <f>HYPERLINK("http://www.paremo.ru/upload/images/goods/4b62d19c-2432-4ef0-9a9d-4f75918f29fd_04.jpg", "Фото 4")</f>
        <v>Фото 4</v>
      </c>
      <c r="T168" s="3" t="str">
        <f>HYPERLINK("http://www.paremo.ru/upload/images/goods/4b62d19c-2432-4ef0-9a9d-4f75918f29fd_05.jpg", "Фото 5")</f>
        <v>Фото 5</v>
      </c>
      <c r="U168" s="3" t="str">
        <f>HYPERLINK("http://www.paremo.ru/upload/images/goods/4b62d19c-2432-4ef0-9a9d-4f75918f29fd_06.jpg", "Фото 6")</f>
        <v>Фото 6</v>
      </c>
      <c r="V168" s="3" t="str">
        <f>HYPERLINK("http://www.paremo.ru/upload/images/goods/4b62d19c-2432-4ef0-9a9d-4f75918f29fd_07.jpg", "Фото 7")</f>
        <v>Фото 7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 t="s">
        <v>57</v>
      </c>
      <c r="BE168" s="4">
        <v>9608101000</v>
      </c>
    </row>
    <row r="169" spans="1:57" ht="99.95" customHeight="1" x14ac:dyDescent="0.2">
      <c r="A169" s="3" t="s">
        <v>489</v>
      </c>
      <c r="B169" s="3" t="s">
        <v>490</v>
      </c>
      <c r="C169" s="3" t="s">
        <v>59</v>
      </c>
      <c r="D169" s="3" t="s">
        <v>60</v>
      </c>
      <c r="E169" s="12" t="s">
        <v>654</v>
      </c>
      <c r="F169" s="4">
        <v>4607945235137</v>
      </c>
      <c r="G169" s="3" t="s">
        <v>655</v>
      </c>
      <c r="H169" s="3" t="s">
        <v>646</v>
      </c>
      <c r="I169" s="3" t="s">
        <v>88</v>
      </c>
      <c r="J169" s="3" t="s">
        <v>646</v>
      </c>
      <c r="K169" s="8">
        <v>1E-3</v>
      </c>
      <c r="L169" s="9">
        <v>0.03</v>
      </c>
      <c r="M169" s="3" t="s">
        <v>107</v>
      </c>
      <c r="N169" s="12" t="s">
        <v>656</v>
      </c>
      <c r="O169" s="3"/>
      <c r="P169" s="3" t="str">
        <f>HYPERLINK("http://www.paremo.ru/upload/images/goods/81744248-77fe-461c-95ed-11d8822eb91e_01.jpg", "Фото 1")</f>
        <v>Фото 1</v>
      </c>
      <c r="Q169" s="3" t="str">
        <f>HYPERLINK("http://www.paremo.ru/upload/images/goods/81744248-77fe-461c-95ed-11d8822eb91e_02.jpg", "Фото 2")</f>
        <v>Фото 2</v>
      </c>
      <c r="R169" s="3" t="str">
        <f>HYPERLINK("http://www.paremo.ru/upload/images/goods/81744248-77fe-461c-95ed-11d8822eb91e_03.jpg", "Фото 3")</f>
        <v>Фото 3</v>
      </c>
      <c r="S169" s="3" t="str">
        <f>HYPERLINK("http://www.paremo.ru/upload/images/goods/81744248-77fe-461c-95ed-11d8822eb91e_04.jpg", "Фото 4")</f>
        <v>Фото 4</v>
      </c>
      <c r="T169" s="3" t="str">
        <f>HYPERLINK("http://www.paremo.ru/upload/images/goods/81744248-77fe-461c-95ed-11d8822eb91e_05.jpg", "Фото 5")</f>
        <v>Фото 5</v>
      </c>
      <c r="U169" s="3" t="str">
        <f>HYPERLINK("http://www.paremo.ru/upload/images/goods/81744248-77fe-461c-95ed-11d8822eb91e_06.jpg", "Фото 6")</f>
        <v>Фото 6</v>
      </c>
      <c r="V169" s="3" t="str">
        <f>HYPERLINK("http://www.paremo.ru/upload/images/goods/81744248-77fe-461c-95ed-11d8822eb91e_07.jpg", "Фото 7")</f>
        <v>Фото 7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 t="s">
        <v>57</v>
      </c>
      <c r="BE169" s="4">
        <v>9608101000</v>
      </c>
    </row>
    <row r="170" spans="1:57" ht="99.95" customHeight="1" x14ac:dyDescent="0.2">
      <c r="A170" s="3" t="s">
        <v>489</v>
      </c>
      <c r="B170" s="3" t="s">
        <v>490</v>
      </c>
      <c r="C170" s="3" t="s">
        <v>59</v>
      </c>
      <c r="D170" s="3" t="s">
        <v>60</v>
      </c>
      <c r="E170" s="12" t="s">
        <v>657</v>
      </c>
      <c r="F170" s="7">
        <v>694704125116</v>
      </c>
      <c r="G170" s="3" t="s">
        <v>658</v>
      </c>
      <c r="H170" s="3" t="s">
        <v>659</v>
      </c>
      <c r="I170" s="3" t="s">
        <v>64</v>
      </c>
      <c r="J170" s="3" t="s">
        <v>659</v>
      </c>
      <c r="K170" s="8">
        <v>1E-3</v>
      </c>
      <c r="L170" s="9">
        <v>0.31</v>
      </c>
      <c r="M170" s="3" t="s">
        <v>164</v>
      </c>
      <c r="N170" s="12" t="s">
        <v>660</v>
      </c>
      <c r="O170" s="3"/>
      <c r="P170" s="3" t="str">
        <f>HYPERLINK("http://www.paremo.ru/upload/images/goods/50f56e46-bfaf-4e0f-8814-123743cf6462_01.jpg", "Фото 1")</f>
        <v>Фото 1</v>
      </c>
      <c r="Q170" s="3" t="str">
        <f>HYPERLINK("http://www.paremo.ru/upload/images/goods/50f56e46-bfaf-4e0f-8814-123743cf6462_02.jpg", "Фото 2")</f>
        <v>Фото 2</v>
      </c>
      <c r="R170" s="3" t="str">
        <f>HYPERLINK("http://www.paremo.ru/upload/images/goods/50f56e46-bfaf-4e0f-8814-123743cf6462_03.jpg", "Фото 3")</f>
        <v>Фото 3</v>
      </c>
      <c r="S170" s="3" t="str">
        <f>HYPERLINK("http://www.paremo.ru/upload/images/goods/50f56e46-bfaf-4e0f-8814-123743cf6462_04.jpg", "Фото 4")</f>
        <v>Фото 4</v>
      </c>
      <c r="T170" s="3" t="str">
        <f>HYPERLINK("http://www.paremo.ru/upload/images/goods/50f56e46-bfaf-4e0f-8814-123743cf6462_05.jpg", "Фото 5")</f>
        <v>Фото 5</v>
      </c>
      <c r="U170" s="3" t="str">
        <f>HYPERLINK("http://www.paremo.ru/upload/images/goods/50f56e46-bfaf-4e0f-8814-123743cf6462_06.jpg", "Фото 6")</f>
        <v>Фото 6</v>
      </c>
      <c r="V170" s="3" t="str">
        <f>HYPERLINK("http://www.paremo.ru/upload/images/goods/50f56e46-bfaf-4e0f-8814-123743cf6462_07.jpg", "Фото 7")</f>
        <v>Фото 7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 t="s">
        <v>661</v>
      </c>
      <c r="BD170" s="3" t="s">
        <v>57</v>
      </c>
      <c r="BE170" s="4">
        <v>4820103000</v>
      </c>
    </row>
    <row r="171" spans="1:57" ht="99.95" customHeight="1" x14ac:dyDescent="0.2">
      <c r="A171" s="3" t="s">
        <v>489</v>
      </c>
      <c r="B171" s="3" t="s">
        <v>490</v>
      </c>
      <c r="C171" s="3" t="s">
        <v>59</v>
      </c>
      <c r="D171" s="3" t="s">
        <v>60</v>
      </c>
      <c r="E171" s="12" t="s">
        <v>662</v>
      </c>
      <c r="F171" s="7">
        <v>694704125123</v>
      </c>
      <c r="G171" s="3" t="s">
        <v>663</v>
      </c>
      <c r="H171" s="3" t="s">
        <v>664</v>
      </c>
      <c r="I171" s="3" t="s">
        <v>64</v>
      </c>
      <c r="J171" s="3" t="s">
        <v>664</v>
      </c>
      <c r="K171" s="8">
        <v>1E-3</v>
      </c>
      <c r="L171" s="9">
        <v>0.32</v>
      </c>
      <c r="M171" s="3" t="s">
        <v>164</v>
      </c>
      <c r="N171" s="12" t="s">
        <v>665</v>
      </c>
      <c r="O171" s="3"/>
      <c r="P171" s="3" t="str">
        <f>HYPERLINK("http://www.paremo.ru/upload/images/goods/e17621a6-c9e2-477f-b950-b18f8cbdd0cb_01.jpg", "Фото 1")</f>
        <v>Фото 1</v>
      </c>
      <c r="Q171" s="3" t="str">
        <f>HYPERLINK("http://www.paremo.ru/upload/images/goods/e17621a6-c9e2-477f-b950-b18f8cbdd0cb_02.jpg", "Фото 2")</f>
        <v>Фото 2</v>
      </c>
      <c r="R171" s="3" t="str">
        <f>HYPERLINK("http://www.paremo.ru/upload/images/goods/e17621a6-c9e2-477f-b950-b18f8cbdd0cb_03.jpg", "Фото 3")</f>
        <v>Фото 3</v>
      </c>
      <c r="S171" s="3" t="str">
        <f>HYPERLINK("http://www.paremo.ru/upload/images/goods/e17621a6-c9e2-477f-b950-b18f8cbdd0cb_04.jpg", "Фото 4")</f>
        <v>Фото 4</v>
      </c>
      <c r="T171" s="3" t="str">
        <f>HYPERLINK("http://www.paremo.ru/upload/images/goods/e17621a6-c9e2-477f-b950-b18f8cbdd0cb_05.jpg", "Фото 5")</f>
        <v>Фото 5</v>
      </c>
      <c r="U171" s="3" t="str">
        <f>HYPERLINK("http://www.paremo.ru/upload/images/goods/e17621a6-c9e2-477f-b950-b18f8cbdd0cb_06.jpg", "Фото 6")</f>
        <v>Фото 6</v>
      </c>
      <c r="V171" s="3" t="str">
        <f>HYPERLINK("http://www.paremo.ru/upload/images/goods/e17621a6-c9e2-477f-b950-b18f8cbdd0cb_07.jpg", "Фото 7")</f>
        <v>Фото 7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 t="s">
        <v>661</v>
      </c>
      <c r="BD171" s="3" t="s">
        <v>57</v>
      </c>
      <c r="BE171" s="4">
        <v>4820103000</v>
      </c>
    </row>
    <row r="172" spans="1:57" ht="99.95" customHeight="1" x14ac:dyDescent="0.2">
      <c r="A172" s="3" t="s">
        <v>489</v>
      </c>
      <c r="B172" s="3" t="s">
        <v>490</v>
      </c>
      <c r="C172" s="3" t="s">
        <v>59</v>
      </c>
      <c r="D172" s="3" t="s">
        <v>60</v>
      </c>
      <c r="E172" s="12" t="s">
        <v>666</v>
      </c>
      <c r="F172" s="7">
        <v>694704125130</v>
      </c>
      <c r="G172" s="3" t="s">
        <v>667</v>
      </c>
      <c r="H172" s="3" t="s">
        <v>668</v>
      </c>
      <c r="I172" s="3" t="s">
        <v>64</v>
      </c>
      <c r="J172" s="3" t="s">
        <v>668</v>
      </c>
      <c r="K172" s="8">
        <v>1E-3</v>
      </c>
      <c r="L172" s="9">
        <v>0.31</v>
      </c>
      <c r="M172" s="3" t="s">
        <v>164</v>
      </c>
      <c r="N172" s="12" t="s">
        <v>669</v>
      </c>
      <c r="O172" s="3"/>
      <c r="P172" s="3" t="str">
        <f>HYPERLINK("http://www.paremo.ru/upload/images/goods/9b73acda-1998-4455-9f20-c729ea8f10c9_01.jpg", "Фото 1")</f>
        <v>Фото 1</v>
      </c>
      <c r="Q172" s="3" t="str">
        <f>HYPERLINK("http://www.paremo.ru/upload/images/goods/9b73acda-1998-4455-9f20-c729ea8f10c9_02.jpg", "Фото 2")</f>
        <v>Фото 2</v>
      </c>
      <c r="R172" s="3" t="str">
        <f>HYPERLINK("http://www.paremo.ru/upload/images/goods/9b73acda-1998-4455-9f20-c729ea8f10c9_03.jpg", "Фото 3")</f>
        <v>Фото 3</v>
      </c>
      <c r="S172" s="3" t="str">
        <f>HYPERLINK("http://www.paremo.ru/upload/images/goods/9b73acda-1998-4455-9f20-c729ea8f10c9_04.jpg", "Фото 4")</f>
        <v>Фото 4</v>
      </c>
      <c r="T172" s="3" t="str">
        <f>HYPERLINK("http://www.paremo.ru/upload/images/goods/9b73acda-1998-4455-9f20-c729ea8f10c9_05.jpg", "Фото 5")</f>
        <v>Фото 5</v>
      </c>
      <c r="U172" s="3" t="str">
        <f>HYPERLINK("http://www.paremo.ru/upload/images/goods/9b73acda-1998-4455-9f20-c729ea8f10c9_06.jpg", "Фото 6")</f>
        <v>Фото 6</v>
      </c>
      <c r="V172" s="3" t="str">
        <f>HYPERLINK("http://www.paremo.ru/upload/images/goods/9b73acda-1998-4455-9f20-c729ea8f10c9_07.jpg", "Фото 7")</f>
        <v>Фото 7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 t="s">
        <v>661</v>
      </c>
      <c r="BD172" s="3" t="s">
        <v>57</v>
      </c>
      <c r="BE172" s="4">
        <v>4820103000</v>
      </c>
    </row>
    <row r="173" spans="1:57" ht="99.95" customHeight="1" x14ac:dyDescent="0.2">
      <c r="A173" s="3" t="s">
        <v>489</v>
      </c>
      <c r="B173" s="3" t="s">
        <v>490</v>
      </c>
      <c r="C173" s="3" t="s">
        <v>59</v>
      </c>
      <c r="D173" s="3" t="s">
        <v>60</v>
      </c>
      <c r="E173" s="12" t="s">
        <v>670</v>
      </c>
      <c r="F173" s="7">
        <v>694704125215</v>
      </c>
      <c r="G173" s="3" t="s">
        <v>671</v>
      </c>
      <c r="H173" s="3" t="s">
        <v>672</v>
      </c>
      <c r="I173" s="3" t="s">
        <v>76</v>
      </c>
      <c r="J173" s="3" t="s">
        <v>672</v>
      </c>
      <c r="K173" s="5">
        <v>1.5499999999999999E-3</v>
      </c>
      <c r="L173" s="6">
        <v>0.8</v>
      </c>
      <c r="M173" s="3" t="s">
        <v>194</v>
      </c>
      <c r="N173" s="12" t="s">
        <v>673</v>
      </c>
      <c r="O173" s="3"/>
      <c r="P173" s="3" t="str">
        <f>HYPERLINK("http://www.paremo.ru/upload/images/goods/fd74fdfa-81d0-46e5-a1af-bed70d7e165d_01.jpg", "Фото 1")</f>
        <v>Фото 1</v>
      </c>
      <c r="Q173" s="3" t="str">
        <f>HYPERLINK("http://www.paremo.ru/upload/images/goods/fd74fdfa-81d0-46e5-a1af-bed70d7e165d_02.jpg", "Фото 2")</f>
        <v>Фото 2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 t="s">
        <v>57</v>
      </c>
      <c r="BE173" s="4">
        <v>4820103000</v>
      </c>
    </row>
    <row r="174" spans="1:57" ht="99.95" customHeight="1" x14ac:dyDescent="0.2">
      <c r="A174" s="3" t="s">
        <v>489</v>
      </c>
      <c r="B174" s="3" t="s">
        <v>490</v>
      </c>
      <c r="C174" s="3" t="s">
        <v>59</v>
      </c>
      <c r="D174" s="3" t="s">
        <v>60</v>
      </c>
      <c r="E174" s="12" t="s">
        <v>674</v>
      </c>
      <c r="F174" s="7">
        <v>694704125222</v>
      </c>
      <c r="G174" s="3" t="s">
        <v>675</v>
      </c>
      <c r="H174" s="3" t="s">
        <v>672</v>
      </c>
      <c r="I174" s="3" t="s">
        <v>76</v>
      </c>
      <c r="J174" s="3" t="s">
        <v>672</v>
      </c>
      <c r="K174" s="5">
        <v>1.5499999999999999E-3</v>
      </c>
      <c r="L174" s="6">
        <v>0.8</v>
      </c>
      <c r="M174" s="3" t="s">
        <v>194</v>
      </c>
      <c r="N174" s="12" t="s">
        <v>676</v>
      </c>
      <c r="O174" s="3"/>
      <c r="P174" s="3" t="str">
        <f>HYPERLINK("http://www.paremo.ru/upload/images/goods/6c4c0f38-0e2f-4845-ad5c-24dd0f91fe9b_01.jpg", "Фото 1")</f>
        <v>Фото 1</v>
      </c>
      <c r="Q174" s="3" t="str">
        <f>HYPERLINK("http://www.paremo.ru/upload/images/goods/6c4c0f38-0e2f-4845-ad5c-24dd0f91fe9b_02.jpg", "Фото 2")</f>
        <v>Фото 2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 t="s">
        <v>57</v>
      </c>
      <c r="BE174" s="4">
        <v>4820103000</v>
      </c>
    </row>
    <row r="175" spans="1:57" ht="99.95" customHeight="1" x14ac:dyDescent="0.2">
      <c r="A175" s="3" t="s">
        <v>489</v>
      </c>
      <c r="B175" s="3" t="s">
        <v>490</v>
      </c>
      <c r="C175" s="3" t="s">
        <v>59</v>
      </c>
      <c r="D175" s="3" t="s">
        <v>60</v>
      </c>
      <c r="E175" s="12" t="s">
        <v>677</v>
      </c>
      <c r="F175" s="7">
        <v>694704125239</v>
      </c>
      <c r="G175" s="3" t="s">
        <v>678</v>
      </c>
      <c r="H175" s="3" t="s">
        <v>672</v>
      </c>
      <c r="I175" s="3" t="s">
        <v>76</v>
      </c>
      <c r="J175" s="3" t="s">
        <v>672</v>
      </c>
      <c r="K175" s="5">
        <v>1.5499999999999999E-3</v>
      </c>
      <c r="L175" s="6">
        <v>0.8</v>
      </c>
      <c r="M175" s="3" t="s">
        <v>194</v>
      </c>
      <c r="N175" s="12" t="s">
        <v>679</v>
      </c>
      <c r="O175" s="3"/>
      <c r="P175" s="3" t="str">
        <f>HYPERLINK("http://www.paremo.ru/upload/images/goods/08d275c4-5d98-49cc-8766-b38f0395e98e_01.jpg", "Фото 1")</f>
        <v>Фото 1</v>
      </c>
      <c r="Q175" s="3" t="str">
        <f>HYPERLINK("http://www.paremo.ru/upload/images/goods/08d275c4-5d98-49cc-8766-b38f0395e98e_02.jpg", "Фото 2")</f>
        <v>Фото 2</v>
      </c>
      <c r="R175" s="3" t="str">
        <f>HYPERLINK("http://www.paremo.ru/upload/images/goods/08d275c4-5d98-49cc-8766-b38f0395e98e_03.jpg", "Фото 3")</f>
        <v>Фото 3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 t="s">
        <v>57</v>
      </c>
      <c r="BE175" s="4">
        <v>4820103000</v>
      </c>
    </row>
    <row r="176" spans="1:57" ht="99.95" customHeight="1" x14ac:dyDescent="0.2">
      <c r="A176" s="3" t="s">
        <v>489</v>
      </c>
      <c r="B176" s="3" t="s">
        <v>680</v>
      </c>
      <c r="C176" s="3" t="s">
        <v>59</v>
      </c>
      <c r="D176" s="3" t="s">
        <v>60</v>
      </c>
      <c r="E176" s="12" t="s">
        <v>681</v>
      </c>
      <c r="F176" s="7">
        <v>694704125314</v>
      </c>
      <c r="G176" s="3" t="s">
        <v>682</v>
      </c>
      <c r="H176" s="3" t="s">
        <v>683</v>
      </c>
      <c r="I176" s="3" t="s">
        <v>76</v>
      </c>
      <c r="J176" s="3" t="s">
        <v>683</v>
      </c>
      <c r="K176" s="5">
        <v>4.4850000000000001E-2</v>
      </c>
      <c r="L176" s="8">
        <v>2.625</v>
      </c>
      <c r="M176" s="3" t="s">
        <v>684</v>
      </c>
      <c r="N176" s="12" t="s">
        <v>685</v>
      </c>
      <c r="O176" s="3"/>
      <c r="P176" s="3" t="str">
        <f>HYPERLINK("http://www.paremo.ru/upload/images/goods/c604f878-35d1-43a0-ad6a-7a18a9b37e7f_01.jpg", "Фото 1")</f>
        <v>Фото 1</v>
      </c>
      <c r="Q176" s="3" t="str">
        <f>HYPERLINK("http://www.paremo.ru/upload/images/goods/c604f878-35d1-43a0-ad6a-7a18a9b37e7f_02.jpg", "Фото 2")</f>
        <v>Фото 2</v>
      </c>
      <c r="R176" s="3" t="str">
        <f>HYPERLINK("http://www.paremo.ru/upload/images/goods/c604f878-35d1-43a0-ad6a-7a18a9b37e7f_03.jpg", "Фото 3")</f>
        <v>Фото 3</v>
      </c>
      <c r="S176" s="3" t="str">
        <f>HYPERLINK("http://www.paremo.ru/upload/images/goods/c604f878-35d1-43a0-ad6a-7a18a9b37e7f_04.jpg", "Фото 4")</f>
        <v>Фото 4</v>
      </c>
      <c r="T176" s="3" t="str">
        <f>HYPERLINK("http://www.paremo.ru/upload/images/goods/c604f878-35d1-43a0-ad6a-7a18a9b37e7f_05.jpg", "Фото 5")</f>
        <v>Фото 5</v>
      </c>
      <c r="U176" s="3" t="str">
        <f>HYPERLINK("http://www.paremo.ru/upload/images/goods/c604f878-35d1-43a0-ad6a-7a18a9b37e7f_06.jpg", "Фото 6")</f>
        <v>Фото 6</v>
      </c>
      <c r="V176" s="3" t="str">
        <f>HYPERLINK("http://www.paremo.ru/upload/images/goods/c604f878-35d1-43a0-ad6a-7a18a9b37e7f_07.jpg", "Фото 7")</f>
        <v>Фото 7</v>
      </c>
      <c r="W176" s="3" t="str">
        <f>HYPERLINK("http://www.paremo.ru/upload/images/goods/c604f878-35d1-43a0-ad6a-7a18a9b37e7f_08.jpg", "Фото 8")</f>
        <v>Фото 8</v>
      </c>
      <c r="X176" s="3" t="str">
        <f>HYPERLINK("http://www.paremo.ru/upload/images/goods/c604f878-35d1-43a0-ad6a-7a18a9b37e7f_09.jpg", "Фото 9")</f>
        <v>Фото 9</v>
      </c>
      <c r="Y176" s="3" t="str">
        <f>HYPERLINK("http://www.paremo.ru/upload/images/goods/c604f878-35d1-43a0-ad6a-7a18a9b37e7f_10.jpg", "Фото 10")</f>
        <v>Фото 10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 t="s">
        <v>57</v>
      </c>
      <c r="BE176" s="4">
        <v>4202929100</v>
      </c>
    </row>
    <row r="177" spans="1:57" ht="99.95" customHeight="1" x14ac:dyDescent="0.2">
      <c r="A177" s="3" t="s">
        <v>489</v>
      </c>
      <c r="B177" s="3" t="s">
        <v>680</v>
      </c>
      <c r="C177" s="3" t="s">
        <v>59</v>
      </c>
      <c r="D177" s="3" t="s">
        <v>60</v>
      </c>
      <c r="E177" s="12" t="s">
        <v>686</v>
      </c>
      <c r="F177" s="7">
        <v>694704125321</v>
      </c>
      <c r="G177" s="3" t="s">
        <v>687</v>
      </c>
      <c r="H177" s="3" t="s">
        <v>683</v>
      </c>
      <c r="I177" s="3" t="s">
        <v>76</v>
      </c>
      <c r="J177" s="3" t="s">
        <v>683</v>
      </c>
      <c r="K177" s="5">
        <v>4.4850000000000001E-2</v>
      </c>
      <c r="L177" s="8">
        <v>2.625</v>
      </c>
      <c r="M177" s="3" t="s">
        <v>684</v>
      </c>
      <c r="N177" s="12" t="s">
        <v>685</v>
      </c>
      <c r="O177" s="3"/>
      <c r="P177" s="3" t="str">
        <f>HYPERLINK("http://www.paremo.ru/upload/images/goods/5d53d63c-561b-4bba-9948-f4fdafd4a968_01.jpg", "Фото 1")</f>
        <v>Фото 1</v>
      </c>
      <c r="Q177" s="3" t="str">
        <f>HYPERLINK("http://www.paremo.ru/upload/images/goods/5d53d63c-561b-4bba-9948-f4fdafd4a968_02.jpg", "Фото 2")</f>
        <v>Фото 2</v>
      </c>
      <c r="R177" s="3" t="str">
        <f>HYPERLINK("http://www.paremo.ru/upload/images/goods/5d53d63c-561b-4bba-9948-f4fdafd4a968_03.jpg", "Фото 3")</f>
        <v>Фото 3</v>
      </c>
      <c r="S177" s="3" t="str">
        <f>HYPERLINK("http://www.paremo.ru/upload/images/goods/5d53d63c-561b-4bba-9948-f4fdafd4a968_04.jpg", "Фото 4")</f>
        <v>Фото 4</v>
      </c>
      <c r="T177" s="3" t="str">
        <f>HYPERLINK("http://www.paremo.ru/upload/images/goods/5d53d63c-561b-4bba-9948-f4fdafd4a968_05.jpg", "Фото 5")</f>
        <v>Фото 5</v>
      </c>
      <c r="U177" s="3" t="str">
        <f>HYPERLINK("http://www.paremo.ru/upload/images/goods/5d53d63c-561b-4bba-9948-f4fdafd4a968_06.jpg", "Фото 6")</f>
        <v>Фото 6</v>
      </c>
      <c r="V177" s="3" t="str">
        <f>HYPERLINK("http://www.paremo.ru/upload/images/goods/5d53d63c-561b-4bba-9948-f4fdafd4a968_07.jpg", "Фото 7")</f>
        <v>Фото 7</v>
      </c>
      <c r="W177" s="3" t="str">
        <f>HYPERLINK("http://www.paremo.ru/upload/images/goods/5d53d63c-561b-4bba-9948-f4fdafd4a968_08.jpg", "Фото 8")</f>
        <v>Фото 8</v>
      </c>
      <c r="X177" s="3" t="str">
        <f>HYPERLINK("http://www.paremo.ru/upload/images/goods/5d53d63c-561b-4bba-9948-f4fdafd4a968_09.jpg", "Фото 9")</f>
        <v>Фото 9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 t="s">
        <v>57</v>
      </c>
      <c r="BE177" s="4">
        <v>4202929100</v>
      </c>
    </row>
    <row r="178" spans="1:57" ht="99.95" customHeight="1" x14ac:dyDescent="0.2">
      <c r="A178" s="3" t="s">
        <v>489</v>
      </c>
      <c r="B178" s="3" t="s">
        <v>680</v>
      </c>
      <c r="C178" s="3" t="s">
        <v>59</v>
      </c>
      <c r="D178" s="3" t="s">
        <v>60</v>
      </c>
      <c r="E178" s="12" t="s">
        <v>688</v>
      </c>
      <c r="F178" s="7">
        <v>694704125338</v>
      </c>
      <c r="G178" s="3" t="s">
        <v>689</v>
      </c>
      <c r="H178" s="3" t="s">
        <v>683</v>
      </c>
      <c r="I178" s="3" t="s">
        <v>76</v>
      </c>
      <c r="J178" s="3" t="s">
        <v>683</v>
      </c>
      <c r="K178" s="5">
        <v>4.4850000000000001E-2</v>
      </c>
      <c r="L178" s="8">
        <v>2.625</v>
      </c>
      <c r="M178" s="3" t="s">
        <v>684</v>
      </c>
      <c r="N178" s="12" t="s">
        <v>685</v>
      </c>
      <c r="O178" s="3"/>
      <c r="P178" s="3" t="str">
        <f>HYPERLINK("http://www.paremo.ru/upload/images/goods/bb78603a-94b8-4b0a-86f3-c3d6fdf29eab_01.jpg", "Фото 1")</f>
        <v>Фото 1</v>
      </c>
      <c r="Q178" s="3" t="str">
        <f>HYPERLINK("http://www.paremo.ru/upload/images/goods/bb78603a-94b8-4b0a-86f3-c3d6fdf29eab_02.jpg", "Фото 2")</f>
        <v>Фото 2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 t="s">
        <v>57</v>
      </c>
      <c r="BE178" s="4">
        <v>4202929100</v>
      </c>
    </row>
    <row r="179" spans="1:57" ht="99.95" customHeight="1" x14ac:dyDescent="0.2">
      <c r="A179" s="3" t="s">
        <v>489</v>
      </c>
      <c r="B179" s="3" t="s">
        <v>680</v>
      </c>
      <c r="C179" s="3" t="s">
        <v>59</v>
      </c>
      <c r="D179" s="3" t="s">
        <v>60</v>
      </c>
      <c r="E179" s="12" t="s">
        <v>690</v>
      </c>
      <c r="F179" s="7">
        <v>694704125413</v>
      </c>
      <c r="G179" s="3" t="s">
        <v>691</v>
      </c>
      <c r="H179" s="3" t="s">
        <v>692</v>
      </c>
      <c r="I179" s="3" t="s">
        <v>76</v>
      </c>
      <c r="J179" s="3" t="s">
        <v>692</v>
      </c>
      <c r="K179" s="10">
        <v>2.8899999999999999E-2</v>
      </c>
      <c r="L179" s="9">
        <v>0.79</v>
      </c>
      <c r="M179" s="3" t="s">
        <v>106</v>
      </c>
      <c r="N179" s="12" t="s">
        <v>693</v>
      </c>
      <c r="O179" s="3"/>
      <c r="P179" s="3" t="str">
        <f>HYPERLINK("http://www.paremo.ru/upload/images/goods/d7e184b8-cef5-4d2a-b8f6-f90093feba32_01.jpg", "Фото 1")</f>
        <v>Фото 1</v>
      </c>
      <c r="Q179" s="3" t="str">
        <f>HYPERLINK("http://www.paremo.ru/upload/images/goods/d7e184b8-cef5-4d2a-b8f6-f90093feba32_02.jpg", "Фото 2")</f>
        <v>Фото 2</v>
      </c>
      <c r="R179" s="3" t="str">
        <f>HYPERLINK("http://www.paremo.ru/upload/images/goods/d7e184b8-cef5-4d2a-b8f6-f90093feba32_03.jpg", "Фото 3")</f>
        <v>Фото 3</v>
      </c>
      <c r="S179" s="3" t="str">
        <f>HYPERLINK("http://www.paremo.ru/upload/images/goods/d7e184b8-cef5-4d2a-b8f6-f90093feba32_04.jpg", "Фото 4")</f>
        <v>Фото 4</v>
      </c>
      <c r="T179" s="3" t="str">
        <f>HYPERLINK("http://www.paremo.ru/upload/images/goods/d7e184b8-cef5-4d2a-b8f6-f90093feba32_05.jpg", "Фото 5")</f>
        <v>Фото 5</v>
      </c>
      <c r="U179" s="3" t="str">
        <f>HYPERLINK("http://www.paremo.ru/upload/images/goods/d7e184b8-cef5-4d2a-b8f6-f90093feba32_06.jpg", "Фото 6")</f>
        <v>Фото 6</v>
      </c>
      <c r="V179" s="3" t="str">
        <f>HYPERLINK("http://www.paremo.ru/upload/images/goods/d7e184b8-cef5-4d2a-b8f6-f90093feba32_07.jpg", "Фото 7")</f>
        <v>Фото 7</v>
      </c>
      <c r="W179" s="3" t="str">
        <f>HYPERLINK("http://www.paremo.ru/upload/images/goods/d7e184b8-cef5-4d2a-b8f6-f90093feba32_08.jpg", "Фото 8")</f>
        <v>Фото 8</v>
      </c>
      <c r="X179" s="3" t="str">
        <f>HYPERLINK("http://www.paremo.ru/upload/images/goods/d7e184b8-cef5-4d2a-b8f6-f90093feba32_09.jpg", "Фото 9")</f>
        <v>Фото 9</v>
      </c>
      <c r="Y179" s="3" t="str">
        <f>HYPERLINK("http://www.paremo.ru/upload/images/goods/d7e184b8-cef5-4d2a-b8f6-f90093feba32_10.jpg", "Фото 10")</f>
        <v>Фото 10</v>
      </c>
      <c r="Z179" s="3" t="str">
        <f>HYPERLINK("http://www.paremo.ru/upload/images/goods/d7e184b8-cef5-4d2a-b8f6-f90093feba32_11.jpg", "Фото 11")</f>
        <v>Фото 11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 t="s">
        <v>57</v>
      </c>
      <c r="BE179" s="4">
        <v>4202929100</v>
      </c>
    </row>
    <row r="180" spans="1:57" ht="99.95" customHeight="1" x14ac:dyDescent="0.2">
      <c r="A180" s="3" t="s">
        <v>489</v>
      </c>
      <c r="B180" s="3" t="s">
        <v>680</v>
      </c>
      <c r="C180" s="3" t="s">
        <v>59</v>
      </c>
      <c r="D180" s="3" t="s">
        <v>60</v>
      </c>
      <c r="E180" s="12" t="s">
        <v>694</v>
      </c>
      <c r="F180" s="7">
        <v>694704125420</v>
      </c>
      <c r="G180" s="3" t="s">
        <v>695</v>
      </c>
      <c r="H180" s="3" t="s">
        <v>692</v>
      </c>
      <c r="I180" s="3" t="s">
        <v>76</v>
      </c>
      <c r="J180" s="3" t="s">
        <v>692</v>
      </c>
      <c r="K180" s="10">
        <v>2.8899999999999999E-2</v>
      </c>
      <c r="L180" s="9">
        <v>0.79</v>
      </c>
      <c r="M180" s="3" t="s">
        <v>106</v>
      </c>
      <c r="N180" s="12" t="s">
        <v>693</v>
      </c>
      <c r="O180" s="3"/>
      <c r="P180" s="3" t="str">
        <f>HYPERLINK("http://www.paremo.ru/upload/images/goods/3251abb3-a7fa-492f-bebd-d6d1c4d52cc9_01.jpg", "Фото 1")</f>
        <v>Фото 1</v>
      </c>
      <c r="Q180" s="3" t="str">
        <f>HYPERLINK("http://www.paremo.ru/upload/images/goods/3251abb3-a7fa-492f-bebd-d6d1c4d52cc9_02.jpg", "Фото 2")</f>
        <v>Фото 2</v>
      </c>
      <c r="R180" s="3" t="str">
        <f>HYPERLINK("http://www.paremo.ru/upload/images/goods/3251abb3-a7fa-492f-bebd-d6d1c4d52cc9_03.jpg", "Фото 3")</f>
        <v>Фото 3</v>
      </c>
      <c r="S180" s="3" t="str">
        <f>HYPERLINK("http://www.paremo.ru/upload/images/goods/3251abb3-a7fa-492f-bebd-d6d1c4d52cc9_04.jpg", "Фото 4")</f>
        <v>Фото 4</v>
      </c>
      <c r="T180" s="3" t="str">
        <f>HYPERLINK("http://www.paremo.ru/upload/images/goods/3251abb3-a7fa-492f-bebd-d6d1c4d52cc9_05.jpg", "Фото 5")</f>
        <v>Фото 5</v>
      </c>
      <c r="U180" s="3" t="str">
        <f>HYPERLINK("http://www.paremo.ru/upload/images/goods/3251abb3-a7fa-492f-bebd-d6d1c4d52cc9_06.jpg", "Фото 6")</f>
        <v>Фото 6</v>
      </c>
      <c r="V180" s="3" t="str">
        <f>HYPERLINK("http://www.paremo.ru/upload/images/goods/3251abb3-a7fa-492f-bebd-d6d1c4d52cc9_07.jpg", "Фото 7")</f>
        <v>Фото 7</v>
      </c>
      <c r="W180" s="3" t="str">
        <f>HYPERLINK("http://www.paremo.ru/upload/images/goods/3251abb3-a7fa-492f-bebd-d6d1c4d52cc9_08.jpg", "Фото 8")</f>
        <v>Фото 8</v>
      </c>
      <c r="X180" s="3" t="str">
        <f>HYPERLINK("http://www.paremo.ru/upload/images/goods/3251abb3-a7fa-492f-bebd-d6d1c4d52cc9_09.jpg", "Фото 9")</f>
        <v>Фото 9</v>
      </c>
      <c r="Y180" s="3" t="str">
        <f>HYPERLINK("http://www.paremo.ru/upload/images/goods/3251abb3-a7fa-492f-bebd-d6d1c4d52cc9_10.jpg", "Фото 10")</f>
        <v>Фото 10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 t="s">
        <v>57</v>
      </c>
      <c r="BE180" s="4">
        <v>4202929100</v>
      </c>
    </row>
    <row r="181" spans="1:57" ht="99.95" customHeight="1" x14ac:dyDescent="0.2">
      <c r="A181" s="3" t="s">
        <v>489</v>
      </c>
      <c r="B181" s="3" t="s">
        <v>680</v>
      </c>
      <c r="C181" s="3" t="s">
        <v>59</v>
      </c>
      <c r="D181" s="3" t="s">
        <v>60</v>
      </c>
      <c r="E181" s="12" t="s">
        <v>696</v>
      </c>
      <c r="F181" s="7">
        <v>694704125437</v>
      </c>
      <c r="G181" s="3" t="s">
        <v>697</v>
      </c>
      <c r="H181" s="3" t="s">
        <v>692</v>
      </c>
      <c r="I181" s="3" t="s">
        <v>76</v>
      </c>
      <c r="J181" s="3" t="s">
        <v>692</v>
      </c>
      <c r="K181" s="10">
        <v>2.8899999999999999E-2</v>
      </c>
      <c r="L181" s="9">
        <v>0.79</v>
      </c>
      <c r="M181" s="3" t="s">
        <v>106</v>
      </c>
      <c r="N181" s="12" t="s">
        <v>693</v>
      </c>
      <c r="O181" s="3"/>
      <c r="P181" s="3" t="str">
        <f>HYPERLINK("http://www.paremo.ru/upload/images/goods/06571ec8-d0fd-4d80-9c41-b96d9b95e866_01.jpg", "Фото 1")</f>
        <v>Фото 1</v>
      </c>
      <c r="Q181" s="3" t="str">
        <f>HYPERLINK("http://www.paremo.ru/upload/images/goods/06571ec8-d0fd-4d80-9c41-b96d9b95e866_02.jpg", "Фото 2")</f>
        <v>Фото 2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 t="s">
        <v>57</v>
      </c>
      <c r="BE181" s="4">
        <v>4202929100</v>
      </c>
    </row>
    <row r="182" spans="1:57" ht="99.95" customHeight="1" x14ac:dyDescent="0.2">
      <c r="A182" s="3" t="s">
        <v>489</v>
      </c>
      <c r="B182" s="3" t="s">
        <v>490</v>
      </c>
      <c r="C182" s="3" t="s">
        <v>59</v>
      </c>
      <c r="D182" s="3" t="s">
        <v>60</v>
      </c>
      <c r="E182" s="12" t="s">
        <v>698</v>
      </c>
      <c r="F182" s="7">
        <v>694704125611</v>
      </c>
      <c r="G182" s="3" t="s">
        <v>699</v>
      </c>
      <c r="H182" s="3" t="s">
        <v>700</v>
      </c>
      <c r="I182" s="3" t="s">
        <v>88</v>
      </c>
      <c r="J182" s="3" t="s">
        <v>700</v>
      </c>
      <c r="K182" s="5">
        <v>1.8400000000000001E-3</v>
      </c>
      <c r="L182" s="9">
        <v>0.11</v>
      </c>
      <c r="M182" s="3" t="s">
        <v>116</v>
      </c>
      <c r="N182" s="12" t="s">
        <v>701</v>
      </c>
      <c r="O182" s="3"/>
      <c r="P182" s="3" t="str">
        <f>HYPERLINK("http://www.paremo.ru/upload/images/goods/cc4ab0c1-eebc-40dd-8674-6ca38b510e34_01.jpg", "Фото 1")</f>
        <v>Фото 1</v>
      </c>
      <c r="Q182" s="3" t="str">
        <f>HYPERLINK("http://www.paremo.ru/upload/images/goods/cc4ab0c1-eebc-40dd-8674-6ca38b510e34_02.jpg", "Фото 2")</f>
        <v>Фото 2</v>
      </c>
      <c r="R182" s="3" t="str">
        <f>HYPERLINK("http://www.paremo.ru/upload/images/goods/cc4ab0c1-eebc-40dd-8674-6ca38b510e34_03.jpg", "Фото 3")</f>
        <v>Фото 3</v>
      </c>
      <c r="S182" s="3" t="str">
        <f>HYPERLINK("http://www.paremo.ru/upload/images/goods/cc4ab0c1-eebc-40dd-8674-6ca38b510e34_04.jpg", "Фото 4")</f>
        <v>Фото 4</v>
      </c>
      <c r="T182" s="3" t="str">
        <f>HYPERLINK("http://www.paremo.ru/upload/images/goods/cc4ab0c1-eebc-40dd-8674-6ca38b510e34_05.jpg", "Фото 5")</f>
        <v>Фото 5</v>
      </c>
      <c r="U182" s="3" t="str">
        <f>HYPERLINK("http://www.paremo.ru/upload/images/goods/cc4ab0c1-eebc-40dd-8674-6ca38b510e34_06.jpg", "Фото 6")</f>
        <v>Фото 6</v>
      </c>
      <c r="V182" s="3" t="str">
        <f>HYPERLINK("http://www.paremo.ru/upload/images/goods/cc4ab0c1-eebc-40dd-8674-6ca38b510e34_07.jpg", "Фото 7")</f>
        <v>Фото 7</v>
      </c>
      <c r="W182" s="3" t="str">
        <f>HYPERLINK("http://www.paremo.ru/upload/images/goods/cc4ab0c1-eebc-40dd-8674-6ca38b510e34_08.jpg", "Фото 8")</f>
        <v>Фото 8</v>
      </c>
      <c r="X182" s="3" t="str">
        <f>HYPERLINK("http://www.paremo.ru/upload/images/goods/cc4ab0c1-eebc-40dd-8674-6ca38b510e34_09.jpg", "Фото 9")</f>
        <v>Фото 9</v>
      </c>
      <c r="Y182" s="3" t="str">
        <f>HYPERLINK("http://www.paremo.ru/upload/images/goods/cc4ab0c1-eebc-40dd-8674-6ca38b510e34_10.jpg", "Фото 10")</f>
        <v>Фото 10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 t="s">
        <v>57</v>
      </c>
      <c r="BE182" s="4">
        <v>4202929100</v>
      </c>
    </row>
    <row r="183" spans="1:57" ht="99.95" customHeight="1" x14ac:dyDescent="0.2">
      <c r="A183" s="3" t="s">
        <v>489</v>
      </c>
      <c r="B183" s="3" t="s">
        <v>490</v>
      </c>
      <c r="C183" s="3" t="s">
        <v>59</v>
      </c>
      <c r="D183" s="3" t="s">
        <v>60</v>
      </c>
      <c r="E183" s="12" t="s">
        <v>702</v>
      </c>
      <c r="F183" s="7">
        <v>694704125628</v>
      </c>
      <c r="G183" s="3" t="s">
        <v>703</v>
      </c>
      <c r="H183" s="3" t="s">
        <v>700</v>
      </c>
      <c r="I183" s="3" t="s">
        <v>88</v>
      </c>
      <c r="J183" s="3" t="s">
        <v>700</v>
      </c>
      <c r="K183" s="5">
        <v>1.8400000000000001E-3</v>
      </c>
      <c r="L183" s="9">
        <v>0.11</v>
      </c>
      <c r="M183" s="3" t="s">
        <v>116</v>
      </c>
      <c r="N183" s="12" t="s">
        <v>701</v>
      </c>
      <c r="O183" s="3"/>
      <c r="P183" s="3" t="str">
        <f>HYPERLINK("http://www.paremo.ru/upload/images/goods/335f0060-15b0-4429-9b6d-083a22464cac_01.jpg", "Фото 1")</f>
        <v>Фото 1</v>
      </c>
      <c r="Q183" s="3" t="str">
        <f>HYPERLINK("http://www.paremo.ru/upload/images/goods/335f0060-15b0-4429-9b6d-083a22464cac_02.jpg", "Фото 2")</f>
        <v>Фото 2</v>
      </c>
      <c r="R183" s="3" t="str">
        <f>HYPERLINK("http://www.paremo.ru/upload/images/goods/335f0060-15b0-4429-9b6d-083a22464cac_03.jpg", "Фото 3")</f>
        <v>Фото 3</v>
      </c>
      <c r="S183" s="3" t="str">
        <f>HYPERLINK("http://www.paremo.ru/upload/images/goods/335f0060-15b0-4429-9b6d-083a22464cac_04.jpg12562_NSDA_ (5).jpg", "Фото 4")</f>
        <v>Фото 4</v>
      </c>
      <c r="T183" s="3" t="str">
        <f>HYPERLINK("http://www.paremo.ru/upload/images/goods/335f0060-15b0-4429-9b6d-083a22464cac_05.jpg", "Фото 5")</f>
        <v>Фото 5</v>
      </c>
      <c r="U183" s="3" t="str">
        <f>HYPERLINK("http://www.paremo.ru/upload/images/goods/335f0060-15b0-4429-9b6d-083a22464cac_06.jpg", "Фото 6")</f>
        <v>Фото 6</v>
      </c>
      <c r="V183" s="3" t="str">
        <f>HYPERLINK("http://www.paremo.ru/upload/images/goods/335f0060-15b0-4429-9b6d-083a22464cac_07.jpg", "Фото 7")</f>
        <v>Фото 7</v>
      </c>
      <c r="W183" s="3" t="str">
        <f>HYPERLINK("http://www.paremo.ru/upload/images/goods/335f0060-15b0-4429-9b6d-083a22464cac_08.jpg", "Фото 8")</f>
        <v>Фото 8</v>
      </c>
      <c r="X183" s="3" t="str">
        <f>HYPERLINK("http://www.paremo.ru/upload/images/goods/335f0060-15b0-4429-9b6d-083a22464cac_09.jpg", "Фото 9")</f>
        <v>Фото 9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 t="s">
        <v>57</v>
      </c>
      <c r="BE183" s="4">
        <v>9608500000</v>
      </c>
    </row>
    <row r="184" spans="1:57" ht="99.95" customHeight="1" x14ac:dyDescent="0.2">
      <c r="A184" s="3" t="s">
        <v>489</v>
      </c>
      <c r="B184" s="3" t="s">
        <v>490</v>
      </c>
      <c r="C184" s="3" t="s">
        <v>59</v>
      </c>
      <c r="D184" s="3" t="s">
        <v>60</v>
      </c>
      <c r="E184" s="12" t="s">
        <v>704</v>
      </c>
      <c r="F184" s="7">
        <v>694704125635</v>
      </c>
      <c r="G184" s="3" t="s">
        <v>705</v>
      </c>
      <c r="H184" s="3" t="s">
        <v>700</v>
      </c>
      <c r="I184" s="3" t="s">
        <v>76</v>
      </c>
      <c r="J184" s="3" t="s">
        <v>700</v>
      </c>
      <c r="K184" s="5">
        <v>1.8400000000000001E-3</v>
      </c>
      <c r="L184" s="9">
        <v>0.11</v>
      </c>
      <c r="M184" s="3" t="s">
        <v>116</v>
      </c>
      <c r="N184" s="12" t="s">
        <v>701</v>
      </c>
      <c r="O184" s="3"/>
      <c r="P184" s="3" t="str">
        <f>HYPERLINK("http://www.paremo.ru/upload/images/goods/cadac4af-fdca-4f0b-a038-5b1e7f1d2eb2_01.jpg", "Фото 1")</f>
        <v>Фото 1</v>
      </c>
      <c r="Q184" s="3" t="str">
        <f>HYPERLINK("http://www.paremo.ru/upload/images/goods/cadac4af-fdca-4f0b-a038-5b1e7f1d2eb2_02.jpg", "Фото 2")</f>
        <v>Фото 2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 t="s">
        <v>57</v>
      </c>
      <c r="BE184" s="4">
        <v>4202929800</v>
      </c>
    </row>
    <row r="185" spans="1:57" ht="99.95" customHeight="1" x14ac:dyDescent="0.2">
      <c r="A185" s="3" t="s">
        <v>489</v>
      </c>
      <c r="B185" s="3" t="s">
        <v>680</v>
      </c>
      <c r="C185" s="3" t="s">
        <v>59</v>
      </c>
      <c r="D185" s="3" t="s">
        <v>60</v>
      </c>
      <c r="E185" s="12" t="s">
        <v>706</v>
      </c>
      <c r="F185" s="7">
        <v>694704125710</v>
      </c>
      <c r="G185" s="3" t="s">
        <v>707</v>
      </c>
      <c r="H185" s="3" t="s">
        <v>708</v>
      </c>
      <c r="I185" s="3" t="s">
        <v>88</v>
      </c>
      <c r="J185" s="3" t="s">
        <v>708</v>
      </c>
      <c r="K185" s="5">
        <v>1.58E-3</v>
      </c>
      <c r="L185" s="9">
        <v>0.17</v>
      </c>
      <c r="M185" s="3" t="s">
        <v>116</v>
      </c>
      <c r="N185" s="12" t="s">
        <v>709</v>
      </c>
      <c r="O185" s="3"/>
      <c r="P185" s="3" t="str">
        <f>HYPERLINK("http://www.paremo.ru/upload/images/goods/64a4f2e9-facb-4939-90e5-5e4dc210f5bc_01.jpg", "Фото 1")</f>
        <v>Фото 1</v>
      </c>
      <c r="Q185" s="3" t="str">
        <f>HYPERLINK("http://www.paremo.ru/upload/images/goods/64a4f2e9-facb-4939-90e5-5e4dc210f5bc_02.jpg", "Фото 2")</f>
        <v>Фото 2</v>
      </c>
      <c r="R185" s="3" t="str">
        <f>HYPERLINK("http://www.paremo.ru/upload/images/goods/64a4f2e9-facb-4939-90e5-5e4dc210f5bc_03.jpg", "Фото 3")</f>
        <v>Фото 3</v>
      </c>
      <c r="S185" s="3" t="str">
        <f>HYPERLINK("http://www.paremo.ru/upload/images/goods/64a4f2e9-facb-4939-90e5-5e4dc210f5bc_04.jpg", "Фото 4")</f>
        <v>Фото 4</v>
      </c>
      <c r="T185" s="3" t="str">
        <f>HYPERLINK("http://www.paremo.ru/upload/images/goods/64a4f2e9-facb-4939-90e5-5e4dc210f5bc_05.jpg", "Фото 5")</f>
        <v>Фото 5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 t="s">
        <v>57</v>
      </c>
      <c r="BE185" s="4">
        <v>4202929100</v>
      </c>
    </row>
    <row r="186" spans="1:57" ht="99.95" customHeight="1" x14ac:dyDescent="0.2">
      <c r="A186" s="3" t="s">
        <v>489</v>
      </c>
      <c r="B186" s="3" t="s">
        <v>680</v>
      </c>
      <c r="C186" s="3" t="s">
        <v>59</v>
      </c>
      <c r="D186" s="3" t="s">
        <v>60</v>
      </c>
      <c r="E186" s="12" t="s">
        <v>710</v>
      </c>
      <c r="F186" s="7">
        <v>694704125727</v>
      </c>
      <c r="G186" s="3" t="s">
        <v>711</v>
      </c>
      <c r="H186" s="3" t="s">
        <v>708</v>
      </c>
      <c r="I186" s="3" t="s">
        <v>88</v>
      </c>
      <c r="J186" s="3" t="s">
        <v>708</v>
      </c>
      <c r="K186" s="5">
        <v>1.58E-3</v>
      </c>
      <c r="L186" s="9">
        <v>0.17</v>
      </c>
      <c r="M186" s="3" t="s">
        <v>116</v>
      </c>
      <c r="N186" s="12" t="s">
        <v>709</v>
      </c>
      <c r="O186" s="3"/>
      <c r="P186" s="3" t="str">
        <f>HYPERLINK("http://www.paremo.ru/upload/images/goods/7baa5754-8e2a-46c0-84a4-c01c30e0897c_01.jpg", "Фото 1")</f>
        <v>Фото 1</v>
      </c>
      <c r="Q186" s="3" t="str">
        <f>HYPERLINK("http://www.paremo.ru/upload/images/goods/7baa5754-8e2a-46c0-84a4-c01c30e0897c_02.jpg", "Фото 2")</f>
        <v>Фото 2</v>
      </c>
      <c r="R186" s="3" t="str">
        <f>HYPERLINK("http://www.paremo.ru/upload/images/goods/7baa5754-8e2a-46c0-84a4-c01c30e0897c_03.jpg", "Фото 3")</f>
        <v>Фото 3</v>
      </c>
      <c r="S186" s="3" t="str">
        <f>HYPERLINK("http://www.paremo.ru/upload/images/goods/7baa5754-8e2a-46c0-84a4-c01c30e0897c_04.jpg", "Фото 4")</f>
        <v>Фото 4</v>
      </c>
      <c r="T186" s="3" t="str">
        <f>HYPERLINK("http://www.paremo.ru/upload/images/goods/7baa5754-8e2a-46c0-84a4-c01c30e0897c_05.jpg", "Фото 5")</f>
        <v>Фото 5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 t="s">
        <v>57</v>
      </c>
      <c r="BE186" s="4">
        <v>4202929100</v>
      </c>
    </row>
    <row r="187" spans="1:57" ht="99.95" customHeight="1" x14ac:dyDescent="0.2">
      <c r="A187" s="3" t="s">
        <v>489</v>
      </c>
      <c r="B187" s="3" t="s">
        <v>680</v>
      </c>
      <c r="C187" s="3" t="s">
        <v>59</v>
      </c>
      <c r="D187" s="3" t="s">
        <v>60</v>
      </c>
      <c r="E187" s="12" t="s">
        <v>712</v>
      </c>
      <c r="F187" s="7">
        <v>694704125734</v>
      </c>
      <c r="G187" s="3" t="s">
        <v>713</v>
      </c>
      <c r="H187" s="3" t="s">
        <v>708</v>
      </c>
      <c r="I187" s="3" t="s">
        <v>76</v>
      </c>
      <c r="J187" s="3" t="s">
        <v>708</v>
      </c>
      <c r="K187" s="5">
        <v>1.58E-3</v>
      </c>
      <c r="L187" s="9">
        <v>0.17</v>
      </c>
      <c r="M187" s="3" t="s">
        <v>116</v>
      </c>
      <c r="N187" s="12" t="s">
        <v>709</v>
      </c>
      <c r="O187" s="3"/>
      <c r="P187" s="3" t="str">
        <f>HYPERLINK("http://www.paremo.ru/upload/images/goods/40209bac-648b-4a46-807f-e4a2e6eaf5a3_01.jpg", "Фото 1")</f>
        <v>Фото 1</v>
      </c>
      <c r="Q187" s="3" t="str">
        <f>HYPERLINK("http://www.paremo.ru/upload/images/goods/40209bac-648b-4a46-807f-e4a2e6eaf5a3_02.jpg", "Фото 2")</f>
        <v>Фото 2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 t="s">
        <v>57</v>
      </c>
      <c r="BE187" s="4">
        <v>4202929100</v>
      </c>
    </row>
    <row r="188" spans="1:57" ht="99.95" customHeight="1" x14ac:dyDescent="0.2">
      <c r="A188" s="3" t="s">
        <v>489</v>
      </c>
      <c r="B188" s="3" t="s">
        <v>680</v>
      </c>
      <c r="C188" s="3" t="s">
        <v>59</v>
      </c>
      <c r="D188" s="3" t="s">
        <v>60</v>
      </c>
      <c r="E188" s="12" t="s">
        <v>714</v>
      </c>
      <c r="F188" s="7">
        <v>694704125819</v>
      </c>
      <c r="G188" s="3" t="s">
        <v>715</v>
      </c>
      <c r="H188" s="3" t="s">
        <v>716</v>
      </c>
      <c r="I188" s="3" t="s">
        <v>88</v>
      </c>
      <c r="J188" s="3" t="s">
        <v>716</v>
      </c>
      <c r="K188" s="5">
        <v>4.45E-3</v>
      </c>
      <c r="L188" s="6">
        <v>0.2</v>
      </c>
      <c r="M188" s="3" t="s">
        <v>116</v>
      </c>
      <c r="N188" s="12" t="s">
        <v>717</v>
      </c>
      <c r="O188" s="3"/>
      <c r="P188" s="3" t="str">
        <f>HYPERLINK("http://www.paremo.ru/upload/images/goods/3d10befe-cb41-4345-9ea1-e2d050a90222_01.jpg", "Фото 1")</f>
        <v>Фото 1</v>
      </c>
      <c r="Q188" s="3" t="str">
        <f>HYPERLINK("http://www.paremo.ru/upload/images/goods/3d10befe-cb41-4345-9ea1-e2d050a90222_02.jpg", "Фото 2")</f>
        <v>Фото 2</v>
      </c>
      <c r="R188" s="3" t="str">
        <f>HYPERLINK("http://www.paremo.ru/upload/images/goods/3d10befe-cb41-4345-9ea1-e2d050a90222_03.jpg", "Фото 3")</f>
        <v>Фото 3</v>
      </c>
      <c r="S188" s="3" t="str">
        <f>HYPERLINK("http://www.paremo.ru/upload/images/goods/3d10befe-cb41-4345-9ea1-e2d050a90222_04.jpg", "Фото 4")</f>
        <v>Фото 4</v>
      </c>
      <c r="T188" s="3" t="str">
        <f>HYPERLINK("http://www.paremo.ru/upload/images/goods/3d10befe-cb41-4345-9ea1-e2d050a90222_05.jpg", "Фото 5")</f>
        <v>Фото 5</v>
      </c>
      <c r="U188" s="3" t="str">
        <f>HYPERLINK("http://www.paremo.ru/upload/images/goods/3d10befe-cb41-4345-9ea1-e2d050a90222_06.jpg", "Фото 6")</f>
        <v>Фото 6</v>
      </c>
      <c r="V188" s="3" t="str">
        <f>HYPERLINK("http://www.paremo.ru/upload/images/goods/3d10befe-cb41-4345-9ea1-e2d050a90222_07.jpg", "Фото 7")</f>
        <v>Фото 7</v>
      </c>
      <c r="W188" s="3" t="str">
        <f>HYPERLINK("http://www.paremo.ru/upload/images/goods/3d10befe-cb41-4345-9ea1-e2d050a90222_08.jpg", "Фото 8")</f>
        <v>Фото 8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 t="s">
        <v>57</v>
      </c>
      <c r="BE188" s="4">
        <v>4202929100</v>
      </c>
    </row>
    <row r="189" spans="1:57" ht="99.95" customHeight="1" x14ac:dyDescent="0.2">
      <c r="A189" s="3" t="s">
        <v>489</v>
      </c>
      <c r="B189" s="3" t="s">
        <v>680</v>
      </c>
      <c r="C189" s="3" t="s">
        <v>59</v>
      </c>
      <c r="D189" s="3" t="s">
        <v>60</v>
      </c>
      <c r="E189" s="12" t="s">
        <v>718</v>
      </c>
      <c r="F189" s="7">
        <v>694704125826</v>
      </c>
      <c r="G189" s="3" t="s">
        <v>719</v>
      </c>
      <c r="H189" s="3" t="s">
        <v>716</v>
      </c>
      <c r="I189" s="3" t="s">
        <v>88</v>
      </c>
      <c r="J189" s="3" t="s">
        <v>716</v>
      </c>
      <c r="K189" s="5">
        <v>4.45E-3</v>
      </c>
      <c r="L189" s="6">
        <v>0.2</v>
      </c>
      <c r="M189" s="3" t="s">
        <v>116</v>
      </c>
      <c r="N189" s="12" t="s">
        <v>717</v>
      </c>
      <c r="O189" s="3"/>
      <c r="P189" s="3" t="str">
        <f>HYPERLINK("http://www.paremo.ru/upload/images/goods/79f7e142-5803-4d2c-991a-ad86db558234_01.jpg", "Фото 1")</f>
        <v>Фото 1</v>
      </c>
      <c r="Q189" s="3" t="str">
        <f>HYPERLINK("http://www.paremo.ru/upload/images/goods/79f7e142-5803-4d2c-991a-ad86db558234_02.jpg", "Фото 2")</f>
        <v>Фото 2</v>
      </c>
      <c r="R189" s="3" t="str">
        <f>HYPERLINK("http://www.paremo.ru/upload/images/goods/79f7e142-5803-4d2c-991a-ad86db558234_03.jpg", "Фото 3")</f>
        <v>Фото 3</v>
      </c>
      <c r="S189" s="3" t="str">
        <f>HYPERLINK("http://www.paremo.ru/upload/images/goods/79f7e142-5803-4d2c-991a-ad86db558234_04.jpg", "Фото 4")</f>
        <v>Фото 4</v>
      </c>
      <c r="T189" s="3" t="str">
        <f>HYPERLINK("http://www.paremo.ru/upload/images/goods/79f7e142-5803-4d2c-991a-ad86db558234_05.jpg", "Фото 5")</f>
        <v>Фото 5</v>
      </c>
      <c r="U189" s="3" t="str">
        <f>HYPERLINK("http://www.paremo.ru/upload/images/goods/79f7e142-5803-4d2c-991a-ad86db558234_06.jpg", "Фото 6")</f>
        <v>Фото 6</v>
      </c>
      <c r="V189" s="3" t="str">
        <f>HYPERLINK("http://www.paremo.ru/upload/images/goods/79f7e142-5803-4d2c-991a-ad86db558234_07.jpg", "Фото 7")</f>
        <v>Фото 7</v>
      </c>
      <c r="W189" s="3" t="str">
        <f>HYPERLINK("http://www.paremo.ru/upload/images/goods/79f7e142-5803-4d2c-991a-ad86db558234_08.jpg", "Фото 8")</f>
        <v>Фото 8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 t="s">
        <v>57</v>
      </c>
      <c r="BE189" s="4">
        <v>4202929100</v>
      </c>
    </row>
    <row r="190" spans="1:57" ht="99.95" customHeight="1" x14ac:dyDescent="0.2">
      <c r="A190" s="3" t="s">
        <v>489</v>
      </c>
      <c r="B190" s="3" t="s">
        <v>680</v>
      </c>
      <c r="C190" s="3" t="s">
        <v>59</v>
      </c>
      <c r="D190" s="3" t="s">
        <v>60</v>
      </c>
      <c r="E190" s="12" t="s">
        <v>720</v>
      </c>
      <c r="F190" s="7">
        <v>694704125833</v>
      </c>
      <c r="G190" s="3" t="s">
        <v>721</v>
      </c>
      <c r="H190" s="3" t="s">
        <v>722</v>
      </c>
      <c r="I190" s="3" t="s">
        <v>76</v>
      </c>
      <c r="J190" s="3" t="s">
        <v>722</v>
      </c>
      <c r="K190" s="5">
        <v>6.0299999999999998E-3</v>
      </c>
      <c r="L190" s="6">
        <v>0.2</v>
      </c>
      <c r="M190" s="3" t="s">
        <v>116</v>
      </c>
      <c r="N190" s="12" t="s">
        <v>717</v>
      </c>
      <c r="O190" s="3"/>
      <c r="P190" s="3" t="str">
        <f>HYPERLINK("http://www.paremo.ru/upload/images/goods/87773047-6607-4a97-ae20-16d4d8ad72fd_01.jpg", "Фото 1")</f>
        <v>Фото 1</v>
      </c>
      <c r="Q190" s="3" t="str">
        <f>HYPERLINK("http://www.paremo.ru/upload/images/goods/87773047-6607-4a97-ae20-16d4d8ad72fd_02.jpg", "Фото 2")</f>
        <v>Фото 2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 t="s">
        <v>57</v>
      </c>
      <c r="BE190" s="4">
        <v>4202929100</v>
      </c>
    </row>
    <row r="191" spans="1:57" ht="99.95" customHeight="1" x14ac:dyDescent="0.2">
      <c r="A191" s="3" t="s">
        <v>489</v>
      </c>
      <c r="B191" s="3" t="s">
        <v>490</v>
      </c>
      <c r="C191" s="3" t="s">
        <v>59</v>
      </c>
      <c r="D191" s="3" t="s">
        <v>60</v>
      </c>
      <c r="E191" s="12" t="s">
        <v>723</v>
      </c>
      <c r="F191" s="7">
        <v>694704126021</v>
      </c>
      <c r="G191" s="3" t="s">
        <v>724</v>
      </c>
      <c r="H191" s="3" t="s">
        <v>725</v>
      </c>
      <c r="I191" s="3" t="s">
        <v>76</v>
      </c>
      <c r="J191" s="3" t="s">
        <v>725</v>
      </c>
      <c r="K191" s="5">
        <v>1.7799999999999999E-3</v>
      </c>
      <c r="L191" s="6">
        <v>0.6</v>
      </c>
      <c r="M191" s="3" t="s">
        <v>492</v>
      </c>
      <c r="N191" s="12" t="s">
        <v>493</v>
      </c>
      <c r="O191" s="3"/>
      <c r="P191" s="3" t="str">
        <f>HYPERLINK("http://www.paremo.ru/upload/images/goods/79490925-dba3-44ea-9c16-71e99f2bfbc8_01.jpg", "Фото 1")</f>
        <v>Фото 1</v>
      </c>
      <c r="Q191" s="3" t="str">
        <f>HYPERLINK("http://www.paremo.ru/upload/images/goods/79490925-dba3-44ea-9c16-71e99f2bfbc8_02.jpg", "Фото 2")</f>
        <v>Фото 2</v>
      </c>
      <c r="R191" s="3" t="str">
        <f>HYPERLINK("http://www.paremo.ru/upload/images/goods/79490925-dba3-44ea-9c16-71e99f2bfbc8_03.jpg", "Фото 3")</f>
        <v>Фото 3</v>
      </c>
      <c r="S191" s="3" t="str">
        <f>HYPERLINK("http://www.paremo.ru/upload/images/goods/79490925-dba3-44ea-9c16-71e99f2bfbc8_04.jpg", "Фото 4")</f>
        <v>Фото 4</v>
      </c>
      <c r="T191" s="3" t="str">
        <f>HYPERLINK("http://www.paremo.ru/upload/images/goods/79490925-dba3-44ea-9c16-71e99f2bfbc8_05.jpg", "Фото 5")</f>
        <v>Фото 5</v>
      </c>
      <c r="U191" s="3" t="str">
        <f>HYPERLINK("http://www.paremo.ru/upload/images/goods/79490925-dba3-44ea-9c16-71e99f2bfbc8_06.jpg", "Фото 6")</f>
        <v>Фото 6</v>
      </c>
      <c r="V191" s="3" t="str">
        <f>HYPERLINK("http://www.paremo.ru/upload/images/goods/79490925-dba3-44ea-9c16-71e99f2bfbc8_07.jpg", "Фото 7")</f>
        <v>Фото 7</v>
      </c>
      <c r="W191" s="3" t="str">
        <f>HYPERLINK("http://www.paremo.ru/upload/images/goods/79490925-dba3-44ea-9c16-71e99f2bfbc8_08.jpg", "Фото 8")</f>
        <v>Фото 8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 t="s">
        <v>57</v>
      </c>
      <c r="BE191" s="4">
        <v>9608500000</v>
      </c>
    </row>
    <row r="192" spans="1:57" ht="99.95" customHeight="1" x14ac:dyDescent="0.2">
      <c r="A192" s="3" t="s">
        <v>489</v>
      </c>
      <c r="B192" s="3" t="s">
        <v>490</v>
      </c>
      <c r="C192" s="3" t="s">
        <v>59</v>
      </c>
      <c r="D192" s="3" t="s">
        <v>60</v>
      </c>
      <c r="E192" s="12" t="s">
        <v>726</v>
      </c>
      <c r="F192" s="7">
        <v>694704126038</v>
      </c>
      <c r="G192" s="3" t="s">
        <v>727</v>
      </c>
      <c r="H192" s="3" t="s">
        <v>725</v>
      </c>
      <c r="I192" s="3" t="s">
        <v>76</v>
      </c>
      <c r="J192" s="3" t="s">
        <v>725</v>
      </c>
      <c r="K192" s="5">
        <v>1.7799999999999999E-3</v>
      </c>
      <c r="L192" s="6">
        <v>0.6</v>
      </c>
      <c r="M192" s="3" t="s">
        <v>492</v>
      </c>
      <c r="N192" s="12" t="s">
        <v>493</v>
      </c>
      <c r="O192" s="3"/>
      <c r="P192" s="3" t="str">
        <f>HYPERLINK("http://www.paremo.ru/upload/images/goods/0bd67e7d-c317-49ba-9314-b4cc746e2ae6_01.jpg", "Фото 1")</f>
        <v>Фото 1</v>
      </c>
      <c r="Q192" s="3" t="str">
        <f>HYPERLINK("http://www.paremo.ru/upload/images/goods/0bd67e7d-c317-49ba-9314-b4cc746e2ae6_02.jpg", "Фото 2")</f>
        <v>Фото 2</v>
      </c>
      <c r="R192" s="3" t="str">
        <f>HYPERLINK("http://www.paremo.ru/upload/images/goods/0bd67e7d-c317-49ba-9314-b4cc746e2ae6_03.jpg", "Фото 3")</f>
        <v>Фото 3</v>
      </c>
      <c r="S192" s="3" t="str">
        <f>HYPERLINK("http://www.paremo.ru/upload/images/goods/0bd67e7d-c317-49ba-9314-b4cc746e2ae6_04.jpg", "Фото 4")</f>
        <v>Фото 4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 t="s">
        <v>57</v>
      </c>
      <c r="BE192" s="4">
        <v>9608500000</v>
      </c>
    </row>
    <row r="193" spans="1:57" ht="99.95" customHeight="1" x14ac:dyDescent="0.2">
      <c r="A193" s="3" t="s">
        <v>489</v>
      </c>
      <c r="B193" s="3" t="s">
        <v>490</v>
      </c>
      <c r="C193" s="3" t="s">
        <v>59</v>
      </c>
      <c r="D193" s="3" t="s">
        <v>60</v>
      </c>
      <c r="E193" s="12" t="s">
        <v>728</v>
      </c>
      <c r="F193" s="7">
        <v>694704126045</v>
      </c>
      <c r="G193" s="3" t="s">
        <v>729</v>
      </c>
      <c r="H193" s="3" t="s">
        <v>725</v>
      </c>
      <c r="I193" s="3" t="s">
        <v>76</v>
      </c>
      <c r="J193" s="3" t="s">
        <v>725</v>
      </c>
      <c r="K193" s="5">
        <v>1.7799999999999999E-3</v>
      </c>
      <c r="L193" s="6">
        <v>0.6</v>
      </c>
      <c r="M193" s="3" t="s">
        <v>492</v>
      </c>
      <c r="N193" s="12" t="s">
        <v>493</v>
      </c>
      <c r="O193" s="3"/>
      <c r="P193" s="3" t="str">
        <f>HYPERLINK("http://www.paremo.ru/upload/images/goods/80cb93f3-f9d7-4d26-9342-569d3c7d51a6_01.jpg", "Фото 1")</f>
        <v>Фото 1</v>
      </c>
      <c r="Q193" s="3" t="str">
        <f>HYPERLINK("http://www.paremo.ru/upload/images/goods/80cb93f3-f9d7-4d26-9342-569d3c7d51a6_02.jpg", "Фото 2")</f>
        <v>Фото 2</v>
      </c>
      <c r="R193" s="3" t="str">
        <f>HYPERLINK("http://www.paremo.ru/upload/images/goods/80cb93f3-f9d7-4d26-9342-569d3c7d51a6_03.jpg", "Фото 3")</f>
        <v>Фото 3</v>
      </c>
      <c r="S193" s="3" t="str">
        <f>HYPERLINK("http://www.paremo.ru/upload/images/goods/80cb93f3-f9d7-4d26-9342-569d3c7d51a6_04.jpg", "Фото 4")</f>
        <v>Фото 4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 t="s">
        <v>57</v>
      </c>
      <c r="BE193" s="4">
        <v>9608500000</v>
      </c>
    </row>
    <row r="194" spans="1:57" ht="99.95" customHeight="1" x14ac:dyDescent="0.2">
      <c r="A194" s="3" t="s">
        <v>489</v>
      </c>
      <c r="B194" s="3" t="s">
        <v>490</v>
      </c>
      <c r="C194" s="3" t="s">
        <v>59</v>
      </c>
      <c r="D194" s="3" t="s">
        <v>60</v>
      </c>
      <c r="E194" s="12" t="s">
        <v>730</v>
      </c>
      <c r="F194" s="7">
        <v>694704126052</v>
      </c>
      <c r="G194" s="3" t="s">
        <v>731</v>
      </c>
      <c r="H194" s="3" t="s">
        <v>725</v>
      </c>
      <c r="I194" s="3" t="s">
        <v>76</v>
      </c>
      <c r="J194" s="3" t="s">
        <v>725</v>
      </c>
      <c r="K194" s="5">
        <v>1.7799999999999999E-3</v>
      </c>
      <c r="L194" s="6">
        <v>0.6</v>
      </c>
      <c r="M194" s="3" t="s">
        <v>492</v>
      </c>
      <c r="N194" s="12" t="s">
        <v>493</v>
      </c>
      <c r="O194" s="3"/>
      <c r="P194" s="3" t="str">
        <f>HYPERLINK("http://www.paremo.ru/upload/images/goods/0f3eb955-b67f-420d-a633-4d071541151c_01.jpg", "Фото 1")</f>
        <v>Фото 1</v>
      </c>
      <c r="Q194" s="3" t="str">
        <f>HYPERLINK("http://www.paremo.ru/upload/images/goods/0f3eb955-b67f-420d-a633-4d071541151c_02.jpg", "Фото 2")</f>
        <v>Фото 2</v>
      </c>
      <c r="R194" s="3" t="str">
        <f>HYPERLINK("http://www.paremo.ru/upload/images/goods/0f3eb955-b67f-420d-a633-4d071541151c_03.jpg", "Фото 3")</f>
        <v>Фото 3</v>
      </c>
      <c r="S194" s="3" t="str">
        <f>HYPERLINK("http://www.paremo.ru/upload/images/goods/0f3eb955-b67f-420d-a633-4d071541151c_04.jpg", "Фото 4")</f>
        <v>Фото 4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 t="s">
        <v>57</v>
      </c>
      <c r="BE194" s="4">
        <v>9608500000</v>
      </c>
    </row>
    <row r="195" spans="1:57" ht="99.95" customHeight="1" x14ac:dyDescent="0.2">
      <c r="A195" s="3" t="s">
        <v>489</v>
      </c>
      <c r="B195" s="3" t="s">
        <v>680</v>
      </c>
      <c r="C195" s="3" t="s">
        <v>59</v>
      </c>
      <c r="D195" s="3" t="s">
        <v>60</v>
      </c>
      <c r="E195" s="12" t="s">
        <v>732</v>
      </c>
      <c r="F195" s="7">
        <v>694704126229</v>
      </c>
      <c r="G195" s="3" t="s">
        <v>733</v>
      </c>
      <c r="H195" s="3" t="s">
        <v>734</v>
      </c>
      <c r="I195" s="3" t="s">
        <v>88</v>
      </c>
      <c r="J195" s="3" t="s">
        <v>734</v>
      </c>
      <c r="K195" s="8">
        <v>1E-3</v>
      </c>
      <c r="L195" s="8">
        <v>9.2999999999999999E-2</v>
      </c>
      <c r="M195" s="3" t="s">
        <v>116</v>
      </c>
      <c r="N195" s="12" t="s">
        <v>735</v>
      </c>
      <c r="O195" s="3"/>
      <c r="P195" s="3" t="str">
        <f>HYPERLINK("http://www.paremo.ru/upload/images/goods/4bf68f79-a846-4318-8fec-3660ce2459dd_01.jpg", "Фото 1")</f>
        <v>Фото 1</v>
      </c>
      <c r="Q195" s="3" t="str">
        <f>HYPERLINK("http://www.paremo.ru/upload/images/goods/4bf68f79-a846-4318-8fec-3660ce2459dd_02.jpg", "Фото 2")</f>
        <v>Фото 2</v>
      </c>
      <c r="R195" s="3" t="str">
        <f>HYPERLINK("http://www.paremo.ru/upload/images/goods/4bf68f79-a846-4318-8fec-3660ce2459dd_03.jpg", "Фото 3")</f>
        <v>Фото 3</v>
      </c>
      <c r="S195" s="3" t="str">
        <f>HYPERLINK("http://www.paremo.ru/upload/images/goods/4bf68f79-a846-4318-8fec-3660ce2459dd_04.jpg", "Фото 4")</f>
        <v>Фото 4</v>
      </c>
      <c r="T195" s="3" t="str">
        <f>HYPERLINK("http://www.paremo.ru/upload/images/goods/4bf68f79-a846-4318-8fec-3660ce2459dd_05.jpg", "Фото 5")</f>
        <v>Фото 5</v>
      </c>
      <c r="U195" s="3" t="str">
        <f>HYPERLINK("http://www.paremo.ru/upload/images/goods/4bf68f79-a846-4318-8fec-3660ce2459dd_06.jpg", "Фото 6")</f>
        <v>Фото 6</v>
      </c>
      <c r="V195" s="3" t="str">
        <f>HYPERLINK("http://www.paremo.ru/upload/images/goods/4bf68f79-a846-4318-8fec-3660ce2459dd_07.jpg", "Фото 7")</f>
        <v>Фото 7</v>
      </c>
      <c r="W195" s="3" t="str">
        <f>HYPERLINK("http://www.paremo.ru/upload/images/goods/4bf68f79-a846-4318-8fec-3660ce2459dd_08.jpg", "Фото 8")</f>
        <v>Фото 8</v>
      </c>
      <c r="X195" s="3" t="str">
        <f>HYPERLINK("http://www.paremo.ru/upload/images/goods/4bf68f79-a846-4318-8fec-3660ce2459dd_09.jpg", "Фото 9")</f>
        <v>Фото 9</v>
      </c>
      <c r="Y195" s="3" t="str">
        <f>HYPERLINK("http://www.paremo.ru/upload/images/goods/4bf68f79-a846-4318-8fec-3660ce2459dd_10.jpg", "Фото 10")</f>
        <v>Фото 10</v>
      </c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 t="s">
        <v>57</v>
      </c>
      <c r="BE195" s="4">
        <v>4202929800</v>
      </c>
    </row>
    <row r="196" spans="1:57" ht="99.95" customHeight="1" x14ac:dyDescent="0.2">
      <c r="A196" s="3" t="s">
        <v>489</v>
      </c>
      <c r="B196" s="3" t="s">
        <v>680</v>
      </c>
      <c r="C196" s="3" t="s">
        <v>59</v>
      </c>
      <c r="D196" s="3" t="s">
        <v>60</v>
      </c>
      <c r="E196" s="12" t="s">
        <v>736</v>
      </c>
      <c r="F196" s="7">
        <v>694704126236</v>
      </c>
      <c r="G196" s="3" t="s">
        <v>737</v>
      </c>
      <c r="H196" s="3" t="s">
        <v>734</v>
      </c>
      <c r="I196" s="3" t="s">
        <v>88</v>
      </c>
      <c r="J196" s="3" t="s">
        <v>734</v>
      </c>
      <c r="K196" s="8">
        <v>1E-3</v>
      </c>
      <c r="L196" s="9">
        <v>0.09</v>
      </c>
      <c r="M196" s="3" t="s">
        <v>116</v>
      </c>
      <c r="N196" s="12" t="s">
        <v>735</v>
      </c>
      <c r="O196" s="3"/>
      <c r="P196" s="3" t="str">
        <f>HYPERLINK("http://www.paremo.ru/upload/images/goods/a7dab677-4af8-477a-a623-79774247d500_01.jpg", "Фото 1")</f>
        <v>Фото 1</v>
      </c>
      <c r="Q196" s="3" t="str">
        <f>HYPERLINK("http://www.paremo.ru/upload/images/goods/a7dab677-4af8-477a-a623-79774247d500_02.jpg", "Фото 2")</f>
        <v>Фото 2</v>
      </c>
      <c r="R196" s="3" t="str">
        <f>HYPERLINK("http://www.paremo.ru/upload/images/goods/a7dab677-4af8-477a-a623-79774247d500_03.jpg", "Фото 3")</f>
        <v>Фото 3</v>
      </c>
      <c r="S196" s="3" t="str">
        <f>HYPERLINK("http://www.paremo.ru/upload/images/goods/a7dab677-4af8-477a-a623-79774247d500_04.jpg", "Фото 4")</f>
        <v>Фото 4</v>
      </c>
      <c r="T196" s="3" t="str">
        <f>HYPERLINK("http://www.paremo.ru/upload/images/goods/a7dab677-4af8-477a-a623-79774247d500_05.jpg", "Фото 5")</f>
        <v>Фото 5</v>
      </c>
      <c r="U196" s="3" t="str">
        <f>HYPERLINK("http://www.paremo.ru/upload/images/goods/a7dab677-4af8-477a-a623-79774247d500_06.jpg", "Фото 6")</f>
        <v>Фото 6</v>
      </c>
      <c r="V196" s="3" t="str">
        <f>HYPERLINK("http://www.paremo.ru/upload/images/goods/a7dab677-4af8-477a-a623-79774247d500_07.jpg", "Фото 7")</f>
        <v>Фото 7</v>
      </c>
      <c r="W196" s="3" t="str">
        <f>HYPERLINK("http://www.paremo.ru/upload/images/goods/a7dab677-4af8-477a-a623-79774247d500_08.jpg", "Фото 8")</f>
        <v>Фото 8</v>
      </c>
      <c r="X196" s="3" t="str">
        <f>HYPERLINK("http://www.paremo.ru/upload/images/goods/a7dab677-4af8-477a-a623-79774247d500_09.jpg", "Фото 9")</f>
        <v>Фото 9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 t="s">
        <v>57</v>
      </c>
      <c r="BE196" s="4">
        <v>4202929800</v>
      </c>
    </row>
    <row r="197" spans="1:57" ht="99.95" customHeight="1" x14ac:dyDescent="0.2">
      <c r="A197" s="3" t="s">
        <v>489</v>
      </c>
      <c r="B197" s="3" t="s">
        <v>680</v>
      </c>
      <c r="C197" s="3" t="s">
        <v>59</v>
      </c>
      <c r="D197" s="3" t="s">
        <v>60</v>
      </c>
      <c r="E197" s="12" t="s">
        <v>738</v>
      </c>
      <c r="F197" s="7">
        <v>694704126243</v>
      </c>
      <c r="G197" s="3" t="s">
        <v>739</v>
      </c>
      <c r="H197" s="3" t="s">
        <v>734</v>
      </c>
      <c r="I197" s="3" t="s">
        <v>88</v>
      </c>
      <c r="J197" s="3" t="s">
        <v>734</v>
      </c>
      <c r="K197" s="8">
        <v>1E-3</v>
      </c>
      <c r="L197" s="9">
        <v>0.09</v>
      </c>
      <c r="M197" s="3" t="s">
        <v>116</v>
      </c>
      <c r="N197" s="12" t="s">
        <v>735</v>
      </c>
      <c r="O197" s="3"/>
      <c r="P197" s="3" t="str">
        <f>HYPERLINK("http://www.paremo.ru/upload/images/goods/9c7156c1-c62a-4ea0-85c2-528feeb84113_01.jpg", "Фото 1")</f>
        <v>Фото 1</v>
      </c>
      <c r="Q197" s="3" t="str">
        <f>HYPERLINK("http://www.paremo.ru/upload/images/goods/9c7156c1-c62a-4ea0-85c2-528feeb84113_02.jpg", "Фото 2")</f>
        <v>Фото 2</v>
      </c>
      <c r="R197" s="3" t="str">
        <f>HYPERLINK("http://www.paremo.ru/upload/images/goods/9c7156c1-c62a-4ea0-85c2-528feeb84113_03.jpg", "Фото 3")</f>
        <v>Фото 3</v>
      </c>
      <c r="S197" s="3" t="str">
        <f>HYPERLINK("http://www.paremo.ru/upload/images/goods/9c7156c1-c62a-4ea0-85c2-528feeb84113_04.jpg", "Фото 4")</f>
        <v>Фото 4</v>
      </c>
      <c r="T197" s="3" t="str">
        <f>HYPERLINK("http://www.paremo.ru/upload/images/goods/9c7156c1-c62a-4ea0-85c2-528feeb84113_05.jpg", "Фото 5")</f>
        <v>Фото 5</v>
      </c>
      <c r="U197" s="3" t="str">
        <f>HYPERLINK("http://www.paremo.ru/upload/images/goods/9c7156c1-c62a-4ea0-85c2-528feeb84113_06.jpg", "Фото 6")</f>
        <v>Фото 6</v>
      </c>
      <c r="V197" s="3" t="str">
        <f>HYPERLINK("http://www.paremo.ru/upload/images/goods/9c7156c1-c62a-4ea0-85c2-528feeb84113_07.jpg", "Фото 7")</f>
        <v>Фото 7</v>
      </c>
      <c r="W197" s="3" t="str">
        <f>HYPERLINK("http://www.paremo.ru/upload/images/goods/9c7156c1-c62a-4ea0-85c2-528feeb84113_08.jpg", "Фото 8")</f>
        <v>Фото 8</v>
      </c>
      <c r="X197" s="3" t="str">
        <f>HYPERLINK("http://www.paremo.ru/upload/images/goods/9c7156c1-c62a-4ea0-85c2-528feeb84113_09.jpg", "Фото 9")</f>
        <v>Фото 9</v>
      </c>
      <c r="Y197" s="3" t="str">
        <f>HYPERLINK("http://www.paremo.ru/upload/images/goods/9c7156c1-c62a-4ea0-85c2-528feeb84113_10.jpg", "Фото 10")</f>
        <v>Фото 10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 t="s">
        <v>57</v>
      </c>
      <c r="BE197" s="4">
        <v>4202929800</v>
      </c>
    </row>
    <row r="198" spans="1:57" ht="99.95" customHeight="1" x14ac:dyDescent="0.2">
      <c r="A198" s="3" t="s">
        <v>489</v>
      </c>
      <c r="B198" s="3" t="s">
        <v>680</v>
      </c>
      <c r="C198" s="3" t="s">
        <v>59</v>
      </c>
      <c r="D198" s="3" t="s">
        <v>60</v>
      </c>
      <c r="E198" s="12" t="s">
        <v>740</v>
      </c>
      <c r="F198" s="7">
        <v>694704126250</v>
      </c>
      <c r="G198" s="3" t="s">
        <v>741</v>
      </c>
      <c r="H198" s="3" t="s">
        <v>742</v>
      </c>
      <c r="I198" s="3" t="s">
        <v>64</v>
      </c>
      <c r="J198" s="3" t="s">
        <v>742</v>
      </c>
      <c r="K198" s="8">
        <v>1E-3</v>
      </c>
      <c r="L198" s="9">
        <v>0.09</v>
      </c>
      <c r="M198" s="3" t="s">
        <v>116</v>
      </c>
      <c r="N198" s="12" t="s">
        <v>743</v>
      </c>
      <c r="O198" s="3"/>
      <c r="P198" s="3" t="str">
        <f>HYPERLINK("http://www.paremo.ru/upload/images/goods/af4cdf1f-20cb-4569-bebf-95ca090f694e_01.jpg", "Фото 1")</f>
        <v>Фото 1</v>
      </c>
      <c r="Q198" s="3" t="str">
        <f>HYPERLINK("http://www.paremo.ru/upload/images/goods/af4cdf1f-20cb-4569-bebf-95ca090f694e_02.jpg", "Фото 2")</f>
        <v>Фото 2</v>
      </c>
      <c r="R198" s="3" t="str">
        <f>HYPERLINK("http://www.paremo.ru/upload/images/goods/af4cdf1f-20cb-4569-bebf-95ca090f694e_03.jpg", "Фото 3")</f>
        <v>Фото 3</v>
      </c>
      <c r="S198" s="3" t="str">
        <f>HYPERLINK("http://www.paremo.ru/upload/images/goods/af4cdf1f-20cb-4569-bebf-95ca090f694e_04.jpg", "Фото 4")</f>
        <v>Фото 4</v>
      </c>
      <c r="T198" s="3" t="str">
        <f>HYPERLINK("http://www.paremo.ru/upload/images/goods/af4cdf1f-20cb-4569-bebf-95ca090f694e_05.jpg", "Фото 5")</f>
        <v>Фото 5</v>
      </c>
      <c r="U198" s="3" t="str">
        <f>HYPERLINK("http://www.paremo.ru/upload/images/goods/af4cdf1f-20cb-4569-bebf-95ca090f694e_06.jpg", "Фото 6")</f>
        <v>Фото 6</v>
      </c>
      <c r="V198" s="3" t="str">
        <f>HYPERLINK("http://www.paremo.ru/upload/images/goods/af4cdf1f-20cb-4569-bebf-95ca090f694e_07.jpg", "Фото 7")</f>
        <v>Фото 7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 t="s">
        <v>57</v>
      </c>
      <c r="BE198" s="4">
        <v>4202929100</v>
      </c>
    </row>
    <row r="199" spans="1:57" ht="99.95" customHeight="1" x14ac:dyDescent="0.2">
      <c r="A199" s="3" t="s">
        <v>489</v>
      </c>
      <c r="B199" s="3" t="s">
        <v>680</v>
      </c>
      <c r="C199" s="3" t="s">
        <v>59</v>
      </c>
      <c r="D199" s="3" t="s">
        <v>60</v>
      </c>
      <c r="E199" s="12" t="s">
        <v>744</v>
      </c>
      <c r="F199" s="7">
        <v>694704126427</v>
      </c>
      <c r="G199" s="3" t="s">
        <v>745</v>
      </c>
      <c r="H199" s="3" t="s">
        <v>746</v>
      </c>
      <c r="I199" s="3" t="s">
        <v>76</v>
      </c>
      <c r="J199" s="3" t="s">
        <v>746</v>
      </c>
      <c r="K199" s="5">
        <v>7.5599999999999999E-3</v>
      </c>
      <c r="L199" s="9">
        <v>0.41</v>
      </c>
      <c r="M199" s="3" t="s">
        <v>116</v>
      </c>
      <c r="N199" s="12" t="s">
        <v>747</v>
      </c>
      <c r="O199" s="3"/>
      <c r="P199" s="3" t="str">
        <f>HYPERLINK("http://www.paremo.ru/upload/images/goods/087226e0-ab7c-4f76-9341-b3413f2f2362_01.jpg", "Фото 1")</f>
        <v>Фото 1</v>
      </c>
      <c r="Q199" s="3" t="str">
        <f>HYPERLINK("http://www.paremo.ru/upload/images/goods/087226e0-ab7c-4f76-9341-b3413f2f2362_02.jpg", "Фото 2")</f>
        <v>Фото 2</v>
      </c>
      <c r="R199" s="3" t="str">
        <f>HYPERLINK("http://www.paremo.ru/upload/images/goods/087226e0-ab7c-4f76-9341-b3413f2f2362_03.jpg", "Фото 3")</f>
        <v>Фото 3</v>
      </c>
      <c r="S199" s="3" t="str">
        <f>HYPERLINK("http://www.paremo.ru/upload/images/goods/087226e0-ab7c-4f76-9341-b3413f2f2362_04.jpg", "Фото 4")</f>
        <v>Фото 4</v>
      </c>
      <c r="T199" s="3" t="str">
        <f>HYPERLINK("http://www.paremo.ru/upload/images/goods/087226e0-ab7c-4f76-9341-b3413f2f2362_05.jpg", "Фото 5")</f>
        <v>Фото 5</v>
      </c>
      <c r="U199" s="3" t="str">
        <f>HYPERLINK("http://www.paremo.ru/upload/images/goods/087226e0-ab7c-4f76-9341-b3413f2f2362_06.jpg", "Фото 6")</f>
        <v>Фото 6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 t="s">
        <v>57</v>
      </c>
      <c r="BE199" s="4">
        <v>4202929100</v>
      </c>
    </row>
    <row r="200" spans="1:57" ht="99.95" customHeight="1" x14ac:dyDescent="0.2">
      <c r="A200" s="3" t="s">
        <v>489</v>
      </c>
      <c r="B200" s="3" t="s">
        <v>680</v>
      </c>
      <c r="C200" s="3" t="s">
        <v>59</v>
      </c>
      <c r="D200" s="3" t="s">
        <v>60</v>
      </c>
      <c r="E200" s="12" t="s">
        <v>748</v>
      </c>
      <c r="F200" s="7">
        <v>694704126434</v>
      </c>
      <c r="G200" s="3" t="s">
        <v>749</v>
      </c>
      <c r="H200" s="3" t="s">
        <v>746</v>
      </c>
      <c r="I200" s="3" t="s">
        <v>76</v>
      </c>
      <c r="J200" s="3" t="s">
        <v>746</v>
      </c>
      <c r="K200" s="5">
        <v>7.5599999999999999E-3</v>
      </c>
      <c r="L200" s="9">
        <v>0.41</v>
      </c>
      <c r="M200" s="3" t="s">
        <v>116</v>
      </c>
      <c r="N200" s="12" t="s">
        <v>750</v>
      </c>
      <c r="O200" s="3"/>
      <c r="P200" s="3" t="str">
        <f>HYPERLINK("http://www.paremo.ru/upload/images/goods/acc7605f-4861-4b5a-a89f-fbbfe59c744a_01.jpg", "Фото 1")</f>
        <v>Фото 1</v>
      </c>
      <c r="Q200" s="3" t="str">
        <f>HYPERLINK("http://www.paremo.ru/upload/images/goods/acc7605f-4861-4b5a-a89f-fbbfe59c744a_02.jpg", "Фото 2")</f>
        <v>Фото 2</v>
      </c>
      <c r="R200" s="3" t="str">
        <f>HYPERLINK("http://www.paremo.ru/upload/images/goods/acc7605f-4861-4b5a-a89f-fbbfe59c744a_03.jpg", "Фото 3")</f>
        <v>Фото 3</v>
      </c>
      <c r="S200" s="3" t="str">
        <f>HYPERLINK("http://www.paremo.ru/upload/images/goods/acc7605f-4861-4b5a-a89f-fbbfe59c744a_04.jpg", "Фото 4")</f>
        <v>Фото 4</v>
      </c>
      <c r="T200" s="3" t="str">
        <f>HYPERLINK("http://www.paremo.ru/upload/images/goods/acc7605f-4861-4b5a-a89f-fbbfe59c744a_05.jpg", "Фото 5")</f>
        <v>Фото 5</v>
      </c>
      <c r="U200" s="3" t="str">
        <f>HYPERLINK("http://www.paremo.ru/upload/images/goods/acc7605f-4861-4b5a-a89f-fbbfe59c744a_06.jpg", "Фото 6")</f>
        <v>Фото 6</v>
      </c>
      <c r="V200" s="3" t="str">
        <f>HYPERLINK("http://www.paremo.ru/upload/images/goods/acc7605f-4861-4b5a-a89f-fbbfe59c744a_07.jpg", "Фото 7")</f>
        <v>Фото 7</v>
      </c>
      <c r="W200" s="3" t="str">
        <f>HYPERLINK("http://www.paremo.ru/upload/images/goods/acc7605f-4861-4b5a-a89f-fbbfe59c744a_08.jpg", "Фото 8")</f>
        <v>Фото 8</v>
      </c>
      <c r="X200" s="3" t="str">
        <f>HYPERLINK("http://www.paremo.ru/upload/images/goods/acc7605f-4861-4b5a-a89f-fbbfe59c744a_09.jpg", "Фото 9")</f>
        <v>Фото 9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 t="s">
        <v>57</v>
      </c>
      <c r="BE200" s="4">
        <v>4202929100</v>
      </c>
    </row>
    <row r="201" spans="1:57" ht="99.95" customHeight="1" x14ac:dyDescent="0.2">
      <c r="A201" s="3" t="s">
        <v>489</v>
      </c>
      <c r="B201" s="3" t="s">
        <v>680</v>
      </c>
      <c r="C201" s="3" t="s">
        <v>59</v>
      </c>
      <c r="D201" s="3" t="s">
        <v>60</v>
      </c>
      <c r="E201" s="12" t="s">
        <v>751</v>
      </c>
      <c r="F201" s="7">
        <v>694704126441</v>
      </c>
      <c r="G201" s="3" t="s">
        <v>752</v>
      </c>
      <c r="H201" s="3" t="s">
        <v>746</v>
      </c>
      <c r="I201" s="3" t="s">
        <v>76</v>
      </c>
      <c r="J201" s="3" t="s">
        <v>746</v>
      </c>
      <c r="K201" s="5">
        <v>7.5599999999999999E-3</v>
      </c>
      <c r="L201" s="9">
        <v>0.41</v>
      </c>
      <c r="M201" s="3" t="s">
        <v>116</v>
      </c>
      <c r="N201" s="12" t="s">
        <v>753</v>
      </c>
      <c r="O201" s="3"/>
      <c r="P201" s="3" t="str">
        <f>HYPERLINK("http://www.paremo.ru/upload/images/goods/31070586-2e96-4082-96ee-0a6f999e25da_01.jpg", "Фото 1")</f>
        <v>Фото 1</v>
      </c>
      <c r="Q201" s="3" t="str">
        <f>HYPERLINK("http://www.paremo.ru/upload/images/goods/31070586-2e96-4082-96ee-0a6f999e25da_02.jpg", "Фото 2")</f>
        <v>Фото 2</v>
      </c>
      <c r="R201" s="3" t="str">
        <f>HYPERLINK("http://www.paremo.ru/upload/images/goods/31070586-2e96-4082-96ee-0a6f999e25da_03.jpg", "Фото 3")</f>
        <v>Фото 3</v>
      </c>
      <c r="S201" s="3" t="str">
        <f>HYPERLINK("http://www.paremo.ru/upload/images/goods/31070586-2e96-4082-96ee-0a6f999e25da_04.jpg", "Фото 4")</f>
        <v>Фото 4</v>
      </c>
      <c r="T201" s="3" t="str">
        <f>HYPERLINK("http://www.paremo.ru/upload/images/goods/31070586-2e96-4082-96ee-0a6f999e25da_05.jpg", "Фото 5")</f>
        <v>Фото 5</v>
      </c>
      <c r="U201" s="3" t="str">
        <f>HYPERLINK("http://www.paremo.ru/upload/images/goods/31070586-2e96-4082-96ee-0a6f999e25da_06.jpg", "Фото 6")</f>
        <v>Фото 6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 t="s">
        <v>57</v>
      </c>
      <c r="BE201" s="4">
        <v>4202929100</v>
      </c>
    </row>
    <row r="202" spans="1:57" ht="99.95" customHeight="1" x14ac:dyDescent="0.2">
      <c r="A202" s="3" t="s">
        <v>489</v>
      </c>
      <c r="B202" s="3" t="s">
        <v>680</v>
      </c>
      <c r="C202" s="3" t="s">
        <v>59</v>
      </c>
      <c r="D202" s="3" t="s">
        <v>60</v>
      </c>
      <c r="E202" s="12" t="s">
        <v>754</v>
      </c>
      <c r="F202" s="7">
        <v>694704126458</v>
      </c>
      <c r="G202" s="3" t="s">
        <v>755</v>
      </c>
      <c r="H202" s="3" t="s">
        <v>746</v>
      </c>
      <c r="I202" s="3" t="s">
        <v>76</v>
      </c>
      <c r="J202" s="3" t="s">
        <v>746</v>
      </c>
      <c r="K202" s="5">
        <v>7.5599999999999999E-3</v>
      </c>
      <c r="L202" s="9">
        <v>0.41</v>
      </c>
      <c r="M202" s="3" t="s">
        <v>116</v>
      </c>
      <c r="N202" s="12" t="s">
        <v>756</v>
      </c>
      <c r="O202" s="3"/>
      <c r="P202" s="3" t="str">
        <f>HYPERLINK("http://www.paremo.ru/upload/images/goods/fba877f1-7ab5-4672-b4f2-2d2f4bb991c4_01.jpg", "Фото 1")</f>
        <v>Фото 1</v>
      </c>
      <c r="Q202" s="3" t="str">
        <f>HYPERLINK("http://www.paremo.ru/upload/images/goods/fba877f1-7ab5-4672-b4f2-2d2f4bb991c4_02.jpg", "Фото 2")</f>
        <v>Фото 2</v>
      </c>
      <c r="R202" s="3" t="str">
        <f>HYPERLINK("http://www.paremo.ru/upload/images/goods/fba877f1-7ab5-4672-b4f2-2d2f4bb991c4_03.jpg", "Фото 3")</f>
        <v>Фото 3</v>
      </c>
      <c r="S202" s="3" t="str">
        <f>HYPERLINK("http://www.paremo.ru/upload/images/goods/fba877f1-7ab5-4672-b4f2-2d2f4bb991c4_04.jpg", "Фото 4")</f>
        <v>Фото 4</v>
      </c>
      <c r="T202" s="3" t="str">
        <f>HYPERLINK("http://www.paremo.ru/upload/images/goods/fba877f1-7ab5-4672-b4f2-2d2f4bb991c4_05.jpg", "Фото 5")</f>
        <v>Фото 5</v>
      </c>
      <c r="U202" s="3" t="str">
        <f>HYPERLINK("http://www.paremo.ru/upload/images/goods/fba877f1-7ab5-4672-b4f2-2d2f4bb991c4_06.jpg", "Фото 6")</f>
        <v>Фото 6</v>
      </c>
      <c r="V202" s="3" t="str">
        <f>HYPERLINK("http://www.paremo.ru/upload/images/goods/fba877f1-7ab5-4672-b4f2-2d2f4bb991c4_07.jpg", "Фото 7")</f>
        <v>Фото 7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 t="s">
        <v>57</v>
      </c>
      <c r="BE202" s="4">
        <v>4202929100</v>
      </c>
    </row>
  </sheetData>
  <autoFilter ref="A1:BE202" xr:uid="{00000000-0001-0000-0000-000000000000}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Yerbol Anissov</cp:lastModifiedBy>
  <dcterms:created xsi:type="dcterms:W3CDTF">2024-10-15T14:48:23Z</dcterms:created>
  <dcterms:modified xsi:type="dcterms:W3CDTF">2024-11-24T10:03:30Z</dcterms:modified>
</cp:coreProperties>
</file>