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bela\Documents\CDO_Fernanda Face\Aulas\M04_Previsao de crescimento\"/>
    </mc:Choice>
  </mc:AlternateContent>
  <xr:revisionPtr revIDLastSave="0" documentId="13_ncr:1_{991091BC-46C2-4F8A-92E7-C2C5DFC67A7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me" sheetId="1" r:id="rId1"/>
    <sheet name="Assumptions" sheetId="2" r:id="rId2"/>
    <sheet name="INPUTS Leads - Paid Traffic" sheetId="3" r:id="rId3"/>
    <sheet name="Source - Paid Traffic" sheetId="7" state="hidden" r:id="rId4"/>
    <sheet name="INPUTS Leads - Organic Traffic" sheetId="4" r:id="rId5"/>
    <sheet name="Source - Organic Traffic" sheetId="8" state="hidden" r:id="rId6"/>
    <sheet name="OUTPUTS Sales Performace" sheetId="5" r:id="rId7"/>
    <sheet name="Charts Paid Traffic" sheetId="11" r:id="rId8"/>
    <sheet name="Charts Organic Traffic" sheetId="12" r:id="rId9"/>
    <sheet name="Charts Sales Performance" sheetId="14" r:id="rId10"/>
    <sheet name="Organic Traffic details" sheetId="13" state="hidden" r:id="rId11"/>
    <sheet name="Study forecast organic" sheetId="9" state="hidden" r:id="rId12"/>
    <sheet name="Study forecast emails" sheetId="10" state="hidden" r:id="rId13"/>
  </sheets>
  <definedNames>
    <definedName name="solver_adj" localSheetId="12" hidden="1">'Study forecast emails'!$C$20:$C$21</definedName>
    <definedName name="solver_adj" localSheetId="11" hidden="1">'Study forecast organic'!$C$20:$C$21</definedName>
    <definedName name="solver_cvg" localSheetId="12" hidden="1">0.0001</definedName>
    <definedName name="solver_cvg" localSheetId="11" hidden="1">0.0001</definedName>
    <definedName name="solver_drv" localSheetId="12" hidden="1">1</definedName>
    <definedName name="solver_drv" localSheetId="11" hidden="1">1</definedName>
    <definedName name="solver_eng" localSheetId="12" hidden="1">1</definedName>
    <definedName name="solver_eng" localSheetId="11" hidden="1">1</definedName>
    <definedName name="solver_est" localSheetId="12" hidden="1">1</definedName>
    <definedName name="solver_est" localSheetId="11" hidden="1">1</definedName>
    <definedName name="solver_itr" localSheetId="12" hidden="1">2147483647</definedName>
    <definedName name="solver_itr" localSheetId="11" hidden="1">2147483647</definedName>
    <definedName name="solver_lhs1" localSheetId="12" hidden="1">'Study forecast emails'!$C$22</definedName>
    <definedName name="solver_lhs1" localSheetId="11" hidden="1">'Study forecast organic'!$C$22</definedName>
    <definedName name="solver_mip" localSheetId="12" hidden="1">2147483647</definedName>
    <definedName name="solver_mip" localSheetId="11" hidden="1">2147483647</definedName>
    <definedName name="solver_mni" localSheetId="12" hidden="1">30</definedName>
    <definedName name="solver_mni" localSheetId="11" hidden="1">30</definedName>
    <definedName name="solver_mrt" localSheetId="12" hidden="1">0.075</definedName>
    <definedName name="solver_mrt" localSheetId="11" hidden="1">0.075</definedName>
    <definedName name="solver_msl" localSheetId="12" hidden="1">2</definedName>
    <definedName name="solver_msl" localSheetId="11" hidden="1">2</definedName>
    <definedName name="solver_neg" localSheetId="12" hidden="1">1</definedName>
    <definedName name="solver_neg" localSheetId="11" hidden="1">1</definedName>
    <definedName name="solver_nod" localSheetId="12" hidden="1">2147483647</definedName>
    <definedName name="solver_nod" localSheetId="11" hidden="1">2147483647</definedName>
    <definedName name="solver_num" localSheetId="12" hidden="1">1</definedName>
    <definedName name="solver_num" localSheetId="11" hidden="1">1</definedName>
    <definedName name="solver_nwt" localSheetId="12" hidden="1">1</definedName>
    <definedName name="solver_nwt" localSheetId="11" hidden="1">1</definedName>
    <definedName name="solver_opt" localSheetId="12" hidden="1">'Study forecast emails'!$C$43</definedName>
    <definedName name="solver_opt" localSheetId="11" hidden="1">'Study forecast organic'!$C$43</definedName>
    <definedName name="solver_pre" localSheetId="12" hidden="1">0.000001</definedName>
    <definedName name="solver_pre" localSheetId="11" hidden="1">0.000001</definedName>
    <definedName name="solver_rbv" localSheetId="12" hidden="1">1</definedName>
    <definedName name="solver_rbv" localSheetId="11" hidden="1">1</definedName>
    <definedName name="solver_rel1" localSheetId="12" hidden="1">2</definedName>
    <definedName name="solver_rel1" localSheetId="11" hidden="1">2</definedName>
    <definedName name="solver_rhs1" localSheetId="12" hidden="1">1</definedName>
    <definedName name="solver_rhs1" localSheetId="11" hidden="1">1</definedName>
    <definedName name="solver_rlx" localSheetId="12" hidden="1">2</definedName>
    <definedName name="solver_rlx" localSheetId="11" hidden="1">2</definedName>
    <definedName name="solver_rsd" localSheetId="12" hidden="1">0</definedName>
    <definedName name="solver_rsd" localSheetId="11" hidden="1">0</definedName>
    <definedName name="solver_scl" localSheetId="12" hidden="1">1</definedName>
    <definedName name="solver_scl" localSheetId="11" hidden="1">1</definedName>
    <definedName name="solver_sho" localSheetId="12" hidden="1">2</definedName>
    <definedName name="solver_sho" localSheetId="11" hidden="1">2</definedName>
    <definedName name="solver_ssz" localSheetId="12" hidden="1">100</definedName>
    <definedName name="solver_ssz" localSheetId="11" hidden="1">100</definedName>
    <definedName name="solver_tim" localSheetId="12" hidden="1">2147483647</definedName>
    <definedName name="solver_tim" localSheetId="11" hidden="1">2147483647</definedName>
    <definedName name="solver_tol" localSheetId="12" hidden="1">0.01</definedName>
    <definedName name="solver_tol" localSheetId="11" hidden="1">0.01</definedName>
    <definedName name="solver_typ" localSheetId="12" hidden="1">2</definedName>
    <definedName name="solver_typ" localSheetId="11" hidden="1">2</definedName>
    <definedName name="solver_val" localSheetId="12" hidden="1">0</definedName>
    <definedName name="solver_val" localSheetId="11" hidden="1">0</definedName>
    <definedName name="solver_ver" localSheetId="12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4" l="1" a="1"/>
  <c r="C18" i="4" s="1"/>
  <c r="C20" i="4" s="1"/>
  <c r="C35" i="5" s="1"/>
  <c r="J20" i="4" l="1"/>
  <c r="J35" i="5" s="1"/>
  <c r="J37" i="5" s="1"/>
  <c r="L20" i="4"/>
  <c r="L35" i="5" s="1"/>
  <c r="L37" i="5" s="1"/>
  <c r="K20" i="4"/>
  <c r="K35" i="5" s="1"/>
  <c r="H20" i="4"/>
  <c r="H35" i="5" s="1"/>
  <c r="H37" i="5" s="1"/>
  <c r="N20" i="4"/>
  <c r="N35" i="5" s="1"/>
  <c r="N37" i="5" s="1"/>
  <c r="D20" i="4"/>
  <c r="D35" i="5" s="1"/>
  <c r="D37" i="5" s="1"/>
  <c r="I20" i="4"/>
  <c r="I35" i="5" s="1"/>
  <c r="I37" i="5" s="1"/>
  <c r="G20" i="4"/>
  <c r="G35" i="5" s="1"/>
  <c r="G37" i="5" s="1"/>
  <c r="F20" i="4"/>
  <c r="F35" i="5" s="1"/>
  <c r="F37" i="5" s="1"/>
  <c r="M20" i="4"/>
  <c r="M35" i="5" s="1"/>
  <c r="M37" i="5" s="1"/>
  <c r="E20" i="4"/>
  <c r="E35" i="5" s="1"/>
  <c r="C37" i="5"/>
  <c r="K37" i="5"/>
  <c r="E37" i="5"/>
  <c r="C12" i="4" a="1"/>
  <c r="C12" i="4" s="1"/>
  <c r="C14" i="4" s="1"/>
  <c r="C29" i="5" s="1"/>
  <c r="C31" i="5" s="1"/>
  <c r="C30" i="3" a="1"/>
  <c r="C30" i="3" s="1"/>
  <c r="C27" i="3" a="1"/>
  <c r="C27" i="3" s="1"/>
  <c r="C22" i="3" a="1"/>
  <c r="C22" i="3" s="1"/>
  <c r="C19" i="3" a="1"/>
  <c r="C19" i="3" s="1"/>
  <c r="C14" i="3" a="1"/>
  <c r="C14" i="3" s="1"/>
  <c r="C11" i="3" a="1"/>
  <c r="C11" i="3" s="1"/>
  <c r="P24" i="5"/>
  <c r="Q24" i="5"/>
  <c r="R24" i="5"/>
  <c r="S24" i="5"/>
  <c r="T24" i="5"/>
  <c r="U24" i="5"/>
  <c r="V24" i="5"/>
  <c r="W24" i="5"/>
  <c r="X24" i="5"/>
  <c r="Y24" i="5"/>
  <c r="Z24" i="5"/>
  <c r="O24" i="5"/>
  <c r="P13" i="4"/>
  <c r="Q13" i="4"/>
  <c r="R13" i="4"/>
  <c r="S13" i="4"/>
  <c r="T13" i="4"/>
  <c r="U13" i="4"/>
  <c r="V13" i="4"/>
  <c r="W13" i="4"/>
  <c r="X13" i="4"/>
  <c r="Y13" i="4"/>
  <c r="Z13" i="4"/>
  <c r="O13" i="4"/>
  <c r="P19" i="4"/>
  <c r="Q19" i="4"/>
  <c r="R19" i="4"/>
  <c r="S19" i="4"/>
  <c r="T19" i="4"/>
  <c r="U19" i="4"/>
  <c r="V19" i="4"/>
  <c r="W19" i="4"/>
  <c r="X19" i="4"/>
  <c r="Y19" i="4"/>
  <c r="Z19" i="4"/>
  <c r="O19" i="4"/>
  <c r="D23" i="5"/>
  <c r="E23" i="5"/>
  <c r="F23" i="5"/>
  <c r="G23" i="5"/>
  <c r="H23" i="5"/>
  <c r="I23" i="5"/>
  <c r="J23" i="5"/>
  <c r="K23" i="5"/>
  <c r="L23" i="5"/>
  <c r="M23" i="5"/>
  <c r="N23" i="5"/>
  <c r="C23" i="5"/>
  <c r="D17" i="5"/>
  <c r="E17" i="5"/>
  <c r="F17" i="5"/>
  <c r="G17" i="5"/>
  <c r="H17" i="5"/>
  <c r="I17" i="5"/>
  <c r="J17" i="5"/>
  <c r="K17" i="5"/>
  <c r="L17" i="5"/>
  <c r="M17" i="5"/>
  <c r="N17" i="5"/>
  <c r="C17" i="5"/>
  <c r="D11" i="5"/>
  <c r="E11" i="5"/>
  <c r="F11" i="5"/>
  <c r="G11" i="5"/>
  <c r="H11" i="5"/>
  <c r="I11" i="5"/>
  <c r="J11" i="5"/>
  <c r="K11" i="5"/>
  <c r="L11" i="5"/>
  <c r="M11" i="5"/>
  <c r="N11" i="5"/>
  <c r="C11" i="5"/>
  <c r="O36" i="5"/>
  <c r="P36" i="5" s="1"/>
  <c r="O30" i="5"/>
  <c r="P30" i="5" s="1"/>
  <c r="Q30" i="5" s="1"/>
  <c r="R30" i="5" s="1"/>
  <c r="O18" i="5"/>
  <c r="P18" i="5" s="1"/>
  <c r="Q18" i="5" s="1"/>
  <c r="O12" i="5"/>
  <c r="E14" i="4" l="1"/>
  <c r="E29" i="5" s="1"/>
  <c r="E31" i="5" s="1"/>
  <c r="L14" i="4"/>
  <c r="L29" i="5" s="1"/>
  <c r="L31" i="5" s="1"/>
  <c r="D14" i="4"/>
  <c r="D29" i="5" s="1"/>
  <c r="D31" i="5" s="1"/>
  <c r="K14" i="4"/>
  <c r="K29" i="5" s="1"/>
  <c r="K31" i="5" s="1"/>
  <c r="I14" i="4"/>
  <c r="I29" i="5" s="1"/>
  <c r="I31" i="5" s="1"/>
  <c r="H14" i="4"/>
  <c r="H29" i="5" s="1"/>
  <c r="H31" i="5" s="1"/>
  <c r="G14" i="4"/>
  <c r="G29" i="5" s="1"/>
  <c r="G31" i="5" s="1"/>
  <c r="M14" i="4"/>
  <c r="M29" i="5" s="1"/>
  <c r="M31" i="5" s="1"/>
  <c r="J14" i="4"/>
  <c r="J29" i="5" s="1"/>
  <c r="J31" i="5" s="1"/>
  <c r="N14" i="4"/>
  <c r="N29" i="5" s="1"/>
  <c r="N31" i="5" s="1"/>
  <c r="F14" i="4"/>
  <c r="F29" i="5" s="1"/>
  <c r="F31" i="5" s="1"/>
  <c r="O27" i="3"/>
  <c r="P27" i="3" s="1"/>
  <c r="Q27" i="3" s="1"/>
  <c r="O19" i="3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O20" i="3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O11" i="3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O12" i="3"/>
  <c r="P12" i="3" s="1"/>
  <c r="Q12" i="3" s="1"/>
  <c r="R12" i="3" s="1"/>
  <c r="Q36" i="5"/>
  <c r="R36" i="5" s="1"/>
  <c r="P12" i="5"/>
  <c r="Q12" i="5" s="1"/>
  <c r="C40" i="5"/>
  <c r="K40" i="5"/>
  <c r="S30" i="5"/>
  <c r="R18" i="5"/>
  <c r="F40" i="5" l="1"/>
  <c r="G40" i="5"/>
  <c r="D40" i="5"/>
  <c r="M40" i="5"/>
  <c r="L40" i="5"/>
  <c r="N40" i="5"/>
  <c r="I40" i="5"/>
  <c r="E40" i="5"/>
  <c r="H40" i="5"/>
  <c r="J40" i="5"/>
  <c r="P28" i="3"/>
  <c r="R12" i="5"/>
  <c r="S12" i="5" s="1"/>
  <c r="R27" i="3"/>
  <c r="Q28" i="3"/>
  <c r="S12" i="3"/>
  <c r="S36" i="5"/>
  <c r="T30" i="5"/>
  <c r="S18" i="5"/>
  <c r="D24" i="4"/>
  <c r="E24" i="4"/>
  <c r="F24" i="4"/>
  <c r="G24" i="4"/>
  <c r="H24" i="4"/>
  <c r="I24" i="4"/>
  <c r="J24" i="4"/>
  <c r="K24" i="4"/>
  <c r="L24" i="4"/>
  <c r="M24" i="4"/>
  <c r="N24" i="4"/>
  <c r="C24" i="4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F36" i="10"/>
  <c r="H36" i="10" s="1"/>
  <c r="J36" i="10" s="1"/>
  <c r="E36" i="10"/>
  <c r="G36" i="10" s="1"/>
  <c r="I36" i="10" s="1"/>
  <c r="K36" i="10" s="1"/>
  <c r="D36" i="10"/>
  <c r="F35" i="10"/>
  <c r="H35" i="10" s="1"/>
  <c r="J35" i="10" s="1"/>
  <c r="E35" i="10"/>
  <c r="G35" i="10" s="1"/>
  <c r="I35" i="10" s="1"/>
  <c r="K35" i="10" s="1"/>
  <c r="D35" i="10"/>
  <c r="F34" i="10"/>
  <c r="H34" i="10" s="1"/>
  <c r="J34" i="10" s="1"/>
  <c r="E34" i="10"/>
  <c r="G34" i="10" s="1"/>
  <c r="I34" i="10" s="1"/>
  <c r="K34" i="10" s="1"/>
  <c r="D34" i="10"/>
  <c r="F33" i="10"/>
  <c r="H33" i="10" s="1"/>
  <c r="J33" i="10" s="1"/>
  <c r="E33" i="10"/>
  <c r="G33" i="10" s="1"/>
  <c r="I33" i="10" s="1"/>
  <c r="K33" i="10" s="1"/>
  <c r="D33" i="10"/>
  <c r="F32" i="10"/>
  <c r="H32" i="10" s="1"/>
  <c r="J32" i="10" s="1"/>
  <c r="E32" i="10"/>
  <c r="G32" i="10" s="1"/>
  <c r="I32" i="10" s="1"/>
  <c r="K32" i="10" s="1"/>
  <c r="D32" i="10"/>
  <c r="F31" i="10"/>
  <c r="H31" i="10" s="1"/>
  <c r="J31" i="10" s="1"/>
  <c r="E31" i="10"/>
  <c r="G31" i="10" s="1"/>
  <c r="I31" i="10" s="1"/>
  <c r="K31" i="10" s="1"/>
  <c r="D31" i="10"/>
  <c r="F30" i="10"/>
  <c r="H30" i="10" s="1"/>
  <c r="J30" i="10" s="1"/>
  <c r="E30" i="10"/>
  <c r="G30" i="10" s="1"/>
  <c r="I30" i="10" s="1"/>
  <c r="K30" i="10" s="1"/>
  <c r="D30" i="10"/>
  <c r="F29" i="10"/>
  <c r="H29" i="10" s="1"/>
  <c r="J29" i="10" s="1"/>
  <c r="E29" i="10"/>
  <c r="G29" i="10" s="1"/>
  <c r="I29" i="10" s="1"/>
  <c r="K29" i="10" s="1"/>
  <c r="D29" i="10"/>
  <c r="F28" i="10"/>
  <c r="H28" i="10" s="1"/>
  <c r="J28" i="10" s="1"/>
  <c r="E28" i="10"/>
  <c r="G28" i="10" s="1"/>
  <c r="I28" i="10" s="1"/>
  <c r="K28" i="10" s="1"/>
  <c r="D28" i="10"/>
  <c r="F27" i="10"/>
  <c r="C43" i="10" s="1"/>
  <c r="E27" i="10"/>
  <c r="G27" i="10" s="1"/>
  <c r="C25" i="10"/>
  <c r="C25" i="10" a="1"/>
  <c r="C22" i="10"/>
  <c r="E36" i="9"/>
  <c r="D36" i="9"/>
  <c r="F36" i="9" s="1"/>
  <c r="H36" i="9" s="1"/>
  <c r="J36" i="9" s="1"/>
  <c r="E35" i="9"/>
  <c r="D35" i="9"/>
  <c r="F35" i="9" s="1"/>
  <c r="H35" i="9" s="1"/>
  <c r="J35" i="9" s="1"/>
  <c r="F34" i="9"/>
  <c r="H34" i="9" s="1"/>
  <c r="J34" i="9" s="1"/>
  <c r="E34" i="9"/>
  <c r="D34" i="9"/>
  <c r="F33" i="9"/>
  <c r="H33" i="9" s="1"/>
  <c r="J33" i="9" s="1"/>
  <c r="E33" i="9"/>
  <c r="D33" i="9"/>
  <c r="E32" i="9"/>
  <c r="D32" i="9"/>
  <c r="F32" i="9" s="1"/>
  <c r="H32" i="9" s="1"/>
  <c r="J32" i="9" s="1"/>
  <c r="E31" i="9"/>
  <c r="D31" i="9"/>
  <c r="F31" i="9" s="1"/>
  <c r="H31" i="9" s="1"/>
  <c r="J31" i="9" s="1"/>
  <c r="E30" i="9"/>
  <c r="D30" i="9"/>
  <c r="F30" i="9" s="1"/>
  <c r="H30" i="9" s="1"/>
  <c r="J30" i="9" s="1"/>
  <c r="E29" i="9"/>
  <c r="D29" i="9"/>
  <c r="F29" i="9" s="1"/>
  <c r="H29" i="9" s="1"/>
  <c r="J29" i="9" s="1"/>
  <c r="E28" i="9"/>
  <c r="D28" i="9"/>
  <c r="F28" i="9" s="1"/>
  <c r="H28" i="9" s="1"/>
  <c r="J28" i="9" s="1"/>
  <c r="E27" i="9"/>
  <c r="D27" i="9"/>
  <c r="F27" i="9" s="1"/>
  <c r="C25" i="9"/>
  <c r="C25" i="9" a="1"/>
  <c r="G36" i="9" s="1"/>
  <c r="I36" i="9" s="1"/>
  <c r="K36" i="9" s="1"/>
  <c r="C22" i="9"/>
  <c r="T12" i="5" l="1"/>
  <c r="U12" i="5" s="1"/>
  <c r="V12" i="5" s="1"/>
  <c r="U30" i="5"/>
  <c r="V30" i="5" s="1"/>
  <c r="S27" i="3"/>
  <c r="R28" i="3"/>
  <c r="T12" i="3"/>
  <c r="O34" i="3"/>
  <c r="O13" i="3"/>
  <c r="O15" i="3" s="1"/>
  <c r="O11" i="5" s="1"/>
  <c r="O13" i="5" s="1"/>
  <c r="P21" i="3"/>
  <c r="P23" i="3" s="1"/>
  <c r="P17" i="5" s="1"/>
  <c r="P19" i="5" s="1"/>
  <c r="O28" i="3"/>
  <c r="O29" i="3" s="1"/>
  <c r="O31" i="3" s="1"/>
  <c r="O23" i="5" s="1"/>
  <c r="O25" i="5" s="1"/>
  <c r="P13" i="3"/>
  <c r="O21" i="3"/>
  <c r="O23" i="3" s="1"/>
  <c r="O17" i="5" s="1"/>
  <c r="O19" i="5" s="1"/>
  <c r="T36" i="5"/>
  <c r="T18" i="5"/>
  <c r="P29" i="3"/>
  <c r="P31" i="3" s="1"/>
  <c r="P23" i="5" s="1"/>
  <c r="Q29" i="3"/>
  <c r="Q31" i="3" s="1"/>
  <c r="Q23" i="5" s="1"/>
  <c r="P7" i="4"/>
  <c r="O14" i="4"/>
  <c r="O20" i="4"/>
  <c r="O35" i="5" s="1"/>
  <c r="O37" i="5" s="1"/>
  <c r="D43" i="10"/>
  <c r="D42" i="10"/>
  <c r="I27" i="10"/>
  <c r="K27" i="10" s="1"/>
  <c r="D41" i="10" s="1"/>
  <c r="D40" i="10"/>
  <c r="C40" i="10"/>
  <c r="H27" i="10"/>
  <c r="J27" i="10" s="1"/>
  <c r="C41" i="10" s="1"/>
  <c r="C42" i="10"/>
  <c r="C43" i="9"/>
  <c r="H27" i="9"/>
  <c r="C40" i="9"/>
  <c r="G27" i="9"/>
  <c r="G28" i="9"/>
  <c r="I28" i="9" s="1"/>
  <c r="K28" i="9" s="1"/>
  <c r="G29" i="9"/>
  <c r="I29" i="9" s="1"/>
  <c r="K29" i="9" s="1"/>
  <c r="G30" i="9"/>
  <c r="I30" i="9" s="1"/>
  <c r="K30" i="9" s="1"/>
  <c r="G31" i="9"/>
  <c r="I31" i="9" s="1"/>
  <c r="K31" i="9" s="1"/>
  <c r="G32" i="9"/>
  <c r="I32" i="9" s="1"/>
  <c r="K32" i="9" s="1"/>
  <c r="G33" i="9"/>
  <c r="I33" i="9" s="1"/>
  <c r="K33" i="9" s="1"/>
  <c r="G34" i="9"/>
  <c r="I34" i="9" s="1"/>
  <c r="K34" i="9" s="1"/>
  <c r="G35" i="9"/>
  <c r="I35" i="9" s="1"/>
  <c r="K35" i="9" s="1"/>
  <c r="W12" i="5" l="1"/>
  <c r="X12" i="5" s="1"/>
  <c r="Y12" i="5" s="1"/>
  <c r="W30" i="5"/>
  <c r="X30" i="5" s="1"/>
  <c r="U36" i="5"/>
  <c r="T27" i="3"/>
  <c r="S28" i="3"/>
  <c r="U12" i="3"/>
  <c r="O35" i="3"/>
  <c r="Q13" i="3"/>
  <c r="P15" i="3"/>
  <c r="P11" i="5" s="1"/>
  <c r="P13" i="5" s="1"/>
  <c r="P34" i="3"/>
  <c r="Q21" i="3"/>
  <c r="Q23" i="3" s="1"/>
  <c r="Q17" i="5" s="1"/>
  <c r="Q19" i="5" s="1"/>
  <c r="Q25" i="5"/>
  <c r="O12" i="4"/>
  <c r="O29" i="5"/>
  <c r="O31" i="5" s="1"/>
  <c r="O18" i="4"/>
  <c r="P25" i="5"/>
  <c r="U18" i="5"/>
  <c r="R29" i="3"/>
  <c r="R31" i="3" s="1"/>
  <c r="Q7" i="4"/>
  <c r="P20" i="4"/>
  <c r="P35" i="5" s="1"/>
  <c r="P37" i="5" s="1"/>
  <c r="P14" i="4"/>
  <c r="P29" i="5" s="1"/>
  <c r="P31" i="5" s="1"/>
  <c r="O23" i="4"/>
  <c r="J27" i="9"/>
  <c r="C41" i="9" s="1"/>
  <c r="C42" i="9"/>
  <c r="D43" i="9"/>
  <c r="I27" i="9"/>
  <c r="D40" i="9"/>
  <c r="D25" i="5"/>
  <c r="E25" i="5"/>
  <c r="F25" i="5"/>
  <c r="G25" i="5"/>
  <c r="H25" i="5"/>
  <c r="I25" i="5"/>
  <c r="J25" i="5"/>
  <c r="K25" i="5"/>
  <c r="L25" i="5"/>
  <c r="M25" i="5"/>
  <c r="N25" i="5"/>
  <c r="C25" i="5"/>
  <c r="D19" i="5"/>
  <c r="E19" i="5"/>
  <c r="F19" i="5"/>
  <c r="G19" i="5"/>
  <c r="H19" i="5"/>
  <c r="I19" i="5"/>
  <c r="J19" i="5"/>
  <c r="K19" i="5"/>
  <c r="L19" i="5"/>
  <c r="M19" i="5"/>
  <c r="N19" i="5"/>
  <c r="C19" i="5"/>
  <c r="D13" i="5"/>
  <c r="E13" i="5"/>
  <c r="F13" i="5"/>
  <c r="G13" i="5"/>
  <c r="H13" i="5"/>
  <c r="I13" i="5"/>
  <c r="J13" i="5"/>
  <c r="K13" i="5"/>
  <c r="L13" i="5"/>
  <c r="M13" i="5"/>
  <c r="N13" i="5"/>
  <c r="C13" i="5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D23" i="4"/>
  <c r="E23" i="4"/>
  <c r="F23" i="4"/>
  <c r="G23" i="4"/>
  <c r="H23" i="4"/>
  <c r="I23" i="4"/>
  <c r="J23" i="4"/>
  <c r="K23" i="4"/>
  <c r="L23" i="4"/>
  <c r="M23" i="4"/>
  <c r="N23" i="4"/>
  <c r="C23" i="4"/>
  <c r="E34" i="3"/>
  <c r="D35" i="3"/>
  <c r="C35" i="3"/>
  <c r="D34" i="3"/>
  <c r="F34" i="3"/>
  <c r="G34" i="3"/>
  <c r="H34" i="3"/>
  <c r="I34" i="3"/>
  <c r="J34" i="3"/>
  <c r="K34" i="3"/>
  <c r="L34" i="3"/>
  <c r="M34" i="3"/>
  <c r="N34" i="3"/>
  <c r="C34" i="3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B31" i="3"/>
  <c r="B23" i="3"/>
  <c r="B15" i="3"/>
  <c r="Y30" i="5" l="1"/>
  <c r="V36" i="5"/>
  <c r="Z12" i="5"/>
  <c r="U27" i="3"/>
  <c r="T28" i="3"/>
  <c r="V12" i="3"/>
  <c r="P35" i="3"/>
  <c r="V18" i="5"/>
  <c r="W18" i="5" s="1"/>
  <c r="X18" i="5" s="1"/>
  <c r="H41" i="5"/>
  <c r="R21" i="3"/>
  <c r="R23" i="3" s="1"/>
  <c r="R17" i="5" s="1"/>
  <c r="R19" i="5" s="1"/>
  <c r="R13" i="3"/>
  <c r="Q15" i="3"/>
  <c r="Q34" i="3"/>
  <c r="P18" i="4"/>
  <c r="P41" i="5"/>
  <c r="O24" i="4"/>
  <c r="R23" i="5"/>
  <c r="O41" i="5"/>
  <c r="O40" i="5"/>
  <c r="G41" i="5"/>
  <c r="F41" i="5"/>
  <c r="E41" i="5"/>
  <c r="M41" i="5"/>
  <c r="C41" i="5"/>
  <c r="N41" i="5"/>
  <c r="J41" i="5"/>
  <c r="L41" i="5"/>
  <c r="D41" i="5"/>
  <c r="K41" i="5"/>
  <c r="I41" i="5"/>
  <c r="S29" i="3"/>
  <c r="S31" i="3" s="1"/>
  <c r="R7" i="4"/>
  <c r="Q20" i="4"/>
  <c r="Q35" i="5" s="1"/>
  <c r="Q37" i="5" s="1"/>
  <c r="Q14" i="4"/>
  <c r="Q29" i="5" s="1"/>
  <c r="Q31" i="5" s="1"/>
  <c r="P12" i="4"/>
  <c r="P23" i="4"/>
  <c r="K27" i="9"/>
  <c r="D41" i="9" s="1"/>
  <c r="D42" i="9"/>
  <c r="G35" i="3"/>
  <c r="N35" i="3"/>
  <c r="F35" i="3"/>
  <c r="M35" i="3"/>
  <c r="E35" i="3"/>
  <c r="L35" i="3"/>
  <c r="I35" i="3"/>
  <c r="K35" i="3"/>
  <c r="J35" i="3"/>
  <c r="H35" i="3"/>
  <c r="W36" i="5" l="1"/>
  <c r="Z30" i="5"/>
  <c r="V27" i="3"/>
  <c r="U28" i="3"/>
  <c r="W12" i="3"/>
  <c r="P40" i="5"/>
  <c r="P24" i="4"/>
  <c r="Q11" i="5"/>
  <c r="Q13" i="5" s="1"/>
  <c r="Q35" i="3"/>
  <c r="S13" i="3"/>
  <c r="R15" i="3"/>
  <c r="R34" i="3"/>
  <c r="S21" i="3"/>
  <c r="S23" i="3" s="1"/>
  <c r="S17" i="5" s="1"/>
  <c r="S19" i="5" s="1"/>
  <c r="R25" i="5"/>
  <c r="S23" i="5"/>
  <c r="Q18" i="4"/>
  <c r="Y18" i="5"/>
  <c r="Z18" i="5" s="1"/>
  <c r="T29" i="3"/>
  <c r="T31" i="3" s="1"/>
  <c r="S7" i="4"/>
  <c r="R14" i="4"/>
  <c r="R29" i="5" s="1"/>
  <c r="R31" i="5" s="1"/>
  <c r="R20" i="4"/>
  <c r="R35" i="5" s="1"/>
  <c r="R37" i="5" s="1"/>
  <c r="Q12" i="4"/>
  <c r="Q23" i="4"/>
  <c r="X36" i="5" l="1"/>
  <c r="W27" i="3"/>
  <c r="V28" i="3"/>
  <c r="X12" i="3"/>
  <c r="Q41" i="5"/>
  <c r="T21" i="3"/>
  <c r="T23" i="3" s="1"/>
  <c r="T17" i="5" s="1"/>
  <c r="T19" i="5" s="1"/>
  <c r="R11" i="5"/>
  <c r="R13" i="5" s="1"/>
  <c r="R35" i="3"/>
  <c r="T13" i="3"/>
  <c r="S15" i="3"/>
  <c r="S34" i="3"/>
  <c r="Q24" i="4"/>
  <c r="Q40" i="5"/>
  <c r="T23" i="5"/>
  <c r="S25" i="5"/>
  <c r="R18" i="4"/>
  <c r="U29" i="3"/>
  <c r="U31" i="3" s="1"/>
  <c r="R12" i="4"/>
  <c r="R23" i="4"/>
  <c r="T7" i="4"/>
  <c r="S14" i="4"/>
  <c r="S29" i="5" s="1"/>
  <c r="S31" i="5" s="1"/>
  <c r="S20" i="4"/>
  <c r="S35" i="5" s="1"/>
  <c r="S37" i="5" s="1"/>
  <c r="Y36" i="5" l="1"/>
  <c r="X27" i="3"/>
  <c r="W28" i="3"/>
  <c r="Y12" i="3"/>
  <c r="R41" i="5"/>
  <c r="R24" i="4"/>
  <c r="S11" i="5"/>
  <c r="S13" i="5" s="1"/>
  <c r="S35" i="3"/>
  <c r="U13" i="3"/>
  <c r="T15" i="3"/>
  <c r="T34" i="3"/>
  <c r="U21" i="3"/>
  <c r="U23" i="3" s="1"/>
  <c r="U17" i="5" s="1"/>
  <c r="U19" i="5" s="1"/>
  <c r="T25" i="5"/>
  <c r="U23" i="5"/>
  <c r="R40" i="5"/>
  <c r="S18" i="4"/>
  <c r="V29" i="3"/>
  <c r="V31" i="3" s="1"/>
  <c r="S12" i="4"/>
  <c r="S23" i="4"/>
  <c r="U7" i="4"/>
  <c r="T14" i="4"/>
  <c r="T29" i="5" s="1"/>
  <c r="T31" i="5" s="1"/>
  <c r="T20" i="4"/>
  <c r="T35" i="5" s="1"/>
  <c r="T37" i="5" s="1"/>
  <c r="Z36" i="5" l="1"/>
  <c r="Y27" i="3"/>
  <c r="X28" i="3"/>
  <c r="Z12" i="3"/>
  <c r="S41" i="5"/>
  <c r="S40" i="5"/>
  <c r="T11" i="5"/>
  <c r="T13" i="5" s="1"/>
  <c r="T35" i="3"/>
  <c r="V13" i="3"/>
  <c r="U15" i="3"/>
  <c r="U34" i="3"/>
  <c r="V21" i="3"/>
  <c r="V23" i="3" s="1"/>
  <c r="V17" i="5" s="1"/>
  <c r="V19" i="5" s="1"/>
  <c r="S24" i="4"/>
  <c r="U25" i="5"/>
  <c r="V23" i="5"/>
  <c r="T18" i="4"/>
  <c r="W29" i="3"/>
  <c r="W31" i="3" s="1"/>
  <c r="T12" i="4"/>
  <c r="T23" i="4"/>
  <c r="V7" i="4"/>
  <c r="U14" i="4"/>
  <c r="U29" i="5" s="1"/>
  <c r="U31" i="5" s="1"/>
  <c r="U20" i="4"/>
  <c r="U35" i="5" s="1"/>
  <c r="U37" i="5" s="1"/>
  <c r="Z27" i="3" l="1"/>
  <c r="Z28" i="3" s="1"/>
  <c r="Y28" i="3"/>
  <c r="T41" i="5"/>
  <c r="U11" i="5"/>
  <c r="U13" i="5" s="1"/>
  <c r="U35" i="3"/>
  <c r="W13" i="3"/>
  <c r="V15" i="3"/>
  <c r="V34" i="3"/>
  <c r="W21" i="3"/>
  <c r="W23" i="3" s="1"/>
  <c r="W17" i="5" s="1"/>
  <c r="W19" i="5" s="1"/>
  <c r="T24" i="4"/>
  <c r="U18" i="4"/>
  <c r="W23" i="5"/>
  <c r="V25" i="5"/>
  <c r="T40" i="5"/>
  <c r="X29" i="3"/>
  <c r="X31" i="3" s="1"/>
  <c r="U12" i="4"/>
  <c r="U23" i="4"/>
  <c r="W7" i="4"/>
  <c r="V14" i="4"/>
  <c r="V29" i="5" s="1"/>
  <c r="V31" i="5" s="1"/>
  <c r="V20" i="4"/>
  <c r="V35" i="5" s="1"/>
  <c r="V37" i="5" s="1"/>
  <c r="U40" i="5" l="1"/>
  <c r="U41" i="5"/>
  <c r="U24" i="4"/>
  <c r="V11" i="5"/>
  <c r="V13" i="5" s="1"/>
  <c r="V35" i="3"/>
  <c r="X13" i="3"/>
  <c r="W15" i="3"/>
  <c r="W34" i="3"/>
  <c r="X21" i="3"/>
  <c r="X23" i="3" s="1"/>
  <c r="X17" i="5" s="1"/>
  <c r="X19" i="5" s="1"/>
  <c r="W25" i="5"/>
  <c r="X23" i="5"/>
  <c r="V18" i="4"/>
  <c r="Y29" i="3"/>
  <c r="Y31" i="3" s="1"/>
  <c r="V12" i="4"/>
  <c r="V23" i="4"/>
  <c r="X7" i="4"/>
  <c r="W14" i="4"/>
  <c r="W29" i="5" s="1"/>
  <c r="W31" i="5" s="1"/>
  <c r="W20" i="4"/>
  <c r="W35" i="5" s="1"/>
  <c r="W37" i="5" s="1"/>
  <c r="V41" i="5" l="1"/>
  <c r="W11" i="5"/>
  <c r="W13" i="5" s="1"/>
  <c r="W35" i="3"/>
  <c r="Z21" i="3"/>
  <c r="Z23" i="3" s="1"/>
  <c r="Z17" i="5" s="1"/>
  <c r="Z19" i="5" s="1"/>
  <c r="Y21" i="3"/>
  <c r="Y23" i="3" s="1"/>
  <c r="Y17" i="5" s="1"/>
  <c r="Y19" i="5" s="1"/>
  <c r="Y13" i="3"/>
  <c r="X15" i="3"/>
  <c r="X34" i="3"/>
  <c r="X25" i="5"/>
  <c r="W18" i="4"/>
  <c r="V24" i="4"/>
  <c r="V40" i="5"/>
  <c r="Y23" i="5"/>
  <c r="Z29" i="3"/>
  <c r="Z31" i="3" s="1"/>
  <c r="W12" i="4"/>
  <c r="W23" i="4"/>
  <c r="Y7" i="4"/>
  <c r="X20" i="4"/>
  <c r="X35" i="5" s="1"/>
  <c r="X37" i="5" s="1"/>
  <c r="X14" i="4"/>
  <c r="X29" i="5" s="1"/>
  <c r="X31" i="5" s="1"/>
  <c r="W24" i="4" l="1"/>
  <c r="X11" i="5"/>
  <c r="X13" i="5" s="1"/>
  <c r="X35" i="3"/>
  <c r="Z13" i="3"/>
  <c r="Y15" i="3"/>
  <c r="Y34" i="3"/>
  <c r="W41" i="5"/>
  <c r="X18" i="4"/>
  <c r="Y25" i="5"/>
  <c r="Z23" i="5"/>
  <c r="W40" i="5"/>
  <c r="X12" i="4"/>
  <c r="X23" i="4"/>
  <c r="Z7" i="4"/>
  <c r="Y14" i="4"/>
  <c r="Y29" i="5" s="1"/>
  <c r="Y31" i="5" s="1"/>
  <c r="Y20" i="4"/>
  <c r="Y35" i="5" s="1"/>
  <c r="Y37" i="5" s="1"/>
  <c r="X41" i="5" l="1"/>
  <c r="X40" i="5"/>
  <c r="X24" i="4"/>
  <c r="Y11" i="5"/>
  <c r="Y13" i="5" s="1"/>
  <c r="Y35" i="3"/>
  <c r="Z15" i="3"/>
  <c r="Z34" i="3"/>
  <c r="Y18" i="4"/>
  <c r="Z25" i="5"/>
  <c r="Z20" i="4"/>
  <c r="Z35" i="5" s="1"/>
  <c r="Z37" i="5" s="1"/>
  <c r="Z14" i="4"/>
  <c r="Z29" i="5" s="1"/>
  <c r="Z31" i="5" s="1"/>
  <c r="Y12" i="4"/>
  <c r="Y23" i="4"/>
  <c r="Y41" i="5" l="1"/>
  <c r="Z11" i="5"/>
  <c r="Z13" i="5" s="1"/>
  <c r="Z35" i="3"/>
  <c r="Z18" i="4"/>
  <c r="Y24" i="4"/>
  <c r="Y40" i="5"/>
  <c r="Z12" i="4"/>
  <c r="Z24" i="4" s="1"/>
  <c r="Z23" i="4"/>
  <c r="Z40" i="5" l="1"/>
  <c r="Z4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<sst xmlns="http://schemas.openxmlformats.org/spreadsheetml/2006/main" count="409" uniqueCount="137">
  <si>
    <t>Paid Traffic</t>
  </si>
  <si>
    <t>1. Google Search</t>
  </si>
  <si>
    <t>Clicks</t>
  </si>
  <si>
    <t>Convertion rate</t>
  </si>
  <si>
    <t>2. Google Display</t>
  </si>
  <si>
    <t xml:space="preserve"> </t>
  </si>
  <si>
    <t>3. Facebook</t>
  </si>
  <si>
    <t>LEADS TOTAL</t>
  </si>
  <si>
    <t>SEARCH</t>
  </si>
  <si>
    <t>Data</t>
  </si>
  <si>
    <t>CPC</t>
  </si>
  <si>
    <t>Click</t>
  </si>
  <si>
    <t>Usuários</t>
  </si>
  <si>
    <t>Sessóes</t>
  </si>
  <si>
    <t>Taxa de conversão</t>
  </si>
  <si>
    <t>Conclusões da meta 1</t>
  </si>
  <si>
    <t>2017-06</t>
  </si>
  <si>
    <t>SEARCH-1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</si>
  <si>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</si>
  <si>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</si>
  <si>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</si>
  <si>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</si>
  <si>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</si>
  <si>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</si>
  <si>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</si>
  <si>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</si>
  <si>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</si>
  <si>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</si>
  <si>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</si>
  <si>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DISPLAY</t>
  </si>
  <si>
    <t>DISPLAY-1</t>
  </si>
  <si>
    <t>OTHER- FACEBOOK</t>
  </si>
  <si>
    <t>FACE-ADS-1</t>
  </si>
  <si>
    <t>EMAIL</t>
  </si>
  <si>
    <t>Leads</t>
  </si>
  <si>
    <t>OUTROS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</si>
  <si>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</si>
  <si>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</si>
  <si>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</si>
  <si>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</si>
  <si>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</si>
  <si>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</si>
  <si>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</si>
  <si>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</si>
  <si>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</si>
  <si>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</si>
  <si>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</si>
  <si>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</si>
  <si>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1. Email</t>
  </si>
  <si>
    <t>TOTAL LEADS</t>
  </si>
  <si>
    <t>TOTAL SESSIONS</t>
  </si>
  <si>
    <t>Organic Traffic</t>
  </si>
  <si>
    <t>4. Email</t>
  </si>
  <si>
    <t>Sales convertion</t>
  </si>
  <si>
    <t>Sales Performance</t>
  </si>
  <si>
    <t>Coeficiente  Regression</t>
  </si>
  <si>
    <t>Alpha month -2</t>
  </si>
  <si>
    <t>a</t>
  </si>
  <si>
    <t>Alpha month (-1)</t>
  </si>
  <si>
    <t>c</t>
  </si>
  <si>
    <t>Exponential 
Smoothing</t>
  </si>
  <si>
    <t>Linear 
Regression</t>
  </si>
  <si>
    <t>ES Error</t>
  </si>
  <si>
    <t>LR Error</t>
  </si>
  <si>
    <t>ES Abs. Error</t>
  </si>
  <si>
    <t>LR Abs. Error</t>
  </si>
  <si>
    <t xml:space="preserve">Absolute
% Error ES </t>
  </si>
  <si>
    <t xml:space="preserve">Absolute 
% Error LR </t>
  </si>
  <si>
    <t>Evaluation Metrics</t>
  </si>
  <si>
    <t>Bias Forecast Error</t>
  </si>
  <si>
    <t>MAPE</t>
  </si>
  <si>
    <t>MAE</t>
  </si>
  <si>
    <t xml:space="preserve">RSME </t>
  </si>
  <si>
    <t>Month</t>
  </si>
  <si>
    <t>Organic leads</t>
  </si>
  <si>
    <t>ORGANIC LEADS</t>
  </si>
  <si>
    <t>Date</t>
  </si>
  <si>
    <t>EMAILS LEADS</t>
  </si>
  <si>
    <t>Email leads</t>
  </si>
  <si>
    <t>Linear Regression - Email</t>
  </si>
  <si>
    <t>Linear Regression - Organic</t>
  </si>
  <si>
    <t>Sessions</t>
  </si>
  <si>
    <t>2. Organic</t>
  </si>
  <si>
    <t>Page convertions</t>
  </si>
  <si>
    <t>TOTAL INVESTMENT</t>
  </si>
  <si>
    <t>Campaing</t>
  </si>
  <si>
    <t>Cost</t>
  </si>
  <si>
    <t>Users</t>
  </si>
  <si>
    <t xml:space="preserve">  </t>
  </si>
  <si>
    <t>ORGANIC</t>
  </si>
  <si>
    <t>FACEBOOK</t>
  </si>
  <si>
    <t>Linear Regression - Facebook</t>
  </si>
  <si>
    <t>Website conversion rate</t>
  </si>
  <si>
    <t>Total Leads</t>
  </si>
  <si>
    <t>Total Sales</t>
  </si>
  <si>
    <t>SALES</t>
  </si>
  <si>
    <t>Forecast E-commerce</t>
  </si>
  <si>
    <t>Isabela Barbosa</t>
  </si>
  <si>
    <t>Description:</t>
  </si>
  <si>
    <t>Forecast leads by channels</t>
  </si>
  <si>
    <t>Contact:</t>
  </si>
  <si>
    <t>isabela.barbosa@gmail.com</t>
  </si>
  <si>
    <t>Assumptions</t>
  </si>
  <si>
    <t>Leads - Paid Traffic</t>
  </si>
  <si>
    <t>Leads - Organic Traffic</t>
  </si>
  <si>
    <t>Convertion rate (except Facebook)</t>
  </si>
  <si>
    <t xml:space="preserve">Convertion rate </t>
  </si>
  <si>
    <t>average from the last 3 months</t>
  </si>
  <si>
    <t>GOOGLE SEARCH</t>
  </si>
  <si>
    <t>Investiment increase rate</t>
  </si>
  <si>
    <t>CPC increase rate</t>
  </si>
  <si>
    <t>GOOGLE DISPLAY</t>
  </si>
  <si>
    <t>Shortcuts</t>
  </si>
  <si>
    <t>Investment Search</t>
  </si>
  <si>
    <t>Investment Display</t>
  </si>
  <si>
    <t>Investment Facebook</t>
  </si>
  <si>
    <t>Total leads email</t>
  </si>
  <si>
    <t>Total leads organic</t>
  </si>
  <si>
    <t>direct_traffic</t>
  </si>
  <si>
    <t>organic</t>
  </si>
  <si>
    <t>organic_search</t>
  </si>
  <si>
    <t>referral</t>
  </si>
  <si>
    <t>social</t>
  </si>
  <si>
    <t>Total sales Search</t>
  </si>
  <si>
    <t>Total sales Display</t>
  </si>
  <si>
    <t>Total sales Facebook</t>
  </si>
  <si>
    <t>Total sales Email</t>
  </si>
  <si>
    <t>Evolution on the number of Paid Leads</t>
  </si>
  <si>
    <t>Evolution of the investment in paid media</t>
  </si>
  <si>
    <t>Evolution on the number of Organic Leads</t>
  </si>
  <si>
    <t>Convertion rates details organic channels</t>
  </si>
  <si>
    <t>5. Organic</t>
  </si>
  <si>
    <t>Total sales Organic</t>
  </si>
  <si>
    <t>Charts</t>
  </si>
  <si>
    <t>Author:</t>
  </si>
  <si>
    <t>Date Last Updated:</t>
  </si>
  <si>
    <t>Forecast E-commerce (Olist) from June 2018 to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</si>
</sst>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yyyy\-mm"/>
    <numFmt numFmtId="165" formatCode="_([$$-409]* #,##0.00_);_([$$-409]* \(#,##0.00\);_([$$-409]* &quot;-&quot;??_);_(@_)"/>
    <numFmt numFmtId="166" formatCode="#,##0.000"/>
    <numFmt numFmtId="167" formatCode="#,##0.0000"/>
    <numFmt numFmtId="168" formatCode="[$-409]d\-mmm\-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66CC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20"/>
      <color theme="4" tint="-0.499984740745262"/>
      <name val="Calibri"/>
      <family val="2"/>
    </font>
    <font>
      <sz val="14"/>
      <color theme="0"/>
      <name val="Arial Rounded MT Bold"/>
      <family val="2"/>
    </font>
    <font>
      <b/>
      <sz val="11"/>
      <color theme="1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66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9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9" fontId="0" fillId="0" borderId="0" xfId="1" applyFont="1"/>
    <xf numFmtId="165" fontId="0" fillId="0" borderId="0" xfId="0" applyNumberFormat="1"/>
    <xf numFmtId="3" fontId="0" fillId="0" borderId="0" xfId="0" applyNumberFormat="1"/>
    <xf numFmtId="166" fontId="0" fillId="0" borderId="1" xfId="0" applyNumberFormat="1" applyBorder="1"/>
    <xf numFmtId="0" fontId="4" fillId="2" borderId="1" xfId="0" applyFont="1" applyFill="1" applyBorder="1"/>
    <xf numFmtId="1" fontId="0" fillId="0" borderId="1" xfId="0" applyNumberFormat="1" applyBorder="1"/>
    <xf numFmtId="9" fontId="0" fillId="0" borderId="1" xfId="1" applyFont="1" applyBorder="1"/>
    <xf numFmtId="9" fontId="0" fillId="2" borderId="1" xfId="1" applyFont="1" applyFill="1" applyBorder="1"/>
    <xf numFmtId="9" fontId="0" fillId="2" borderId="1" xfId="0" applyNumberFormat="1" applyFill="1" applyBorder="1"/>
    <xf numFmtId="1" fontId="0" fillId="2" borderId="1" xfId="0" applyNumberFormat="1" applyFill="1" applyBorder="1"/>
    <xf numFmtId="9" fontId="0" fillId="3" borderId="1" xfId="1" applyFont="1" applyFill="1" applyBorder="1"/>
    <xf numFmtId="9" fontId="0" fillId="3" borderId="1" xfId="0" applyNumberFormat="1" applyFill="1" applyBorder="1"/>
    <xf numFmtId="1" fontId="0" fillId="3" borderId="1" xfId="0" applyNumberForma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166" fontId="0" fillId="0" borderId="0" xfId="0" applyNumberFormat="1" applyBorder="1"/>
    <xf numFmtId="0" fontId="0" fillId="0" borderId="0" xfId="0" applyFont="1" applyBorder="1" applyAlignment="1">
      <alignment horizontal="left"/>
    </xf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9" fillId="0" borderId="0" xfId="3"/>
    <xf numFmtId="0" fontId="10" fillId="0" borderId="0" xfId="0" applyFont="1"/>
    <xf numFmtId="0" fontId="11" fillId="0" borderId="0" xfId="0" applyFont="1"/>
    <xf numFmtId="167" fontId="0" fillId="0" borderId="0" xfId="0" applyNumberFormat="1" applyBorder="1"/>
    <xf numFmtId="0" fontId="0" fillId="0" borderId="1" xfId="0" applyFont="1" applyBorder="1" applyAlignment="1">
      <alignment horizontal="left"/>
    </xf>
    <xf numFmtId="9" fontId="8" fillId="0" borderId="1" xfId="0" applyNumberFormat="1" applyFont="1" applyBorder="1"/>
    <xf numFmtId="9" fontId="8" fillId="0" borderId="1" xfId="1" applyFont="1" applyBorder="1"/>
    <xf numFmtId="167" fontId="8" fillId="0" borderId="0" xfId="0" applyNumberFormat="1" applyFont="1" applyBorder="1"/>
    <xf numFmtId="0" fontId="0" fillId="0" borderId="1" xfId="0" applyFont="1" applyFill="1" applyBorder="1" applyAlignment="1">
      <alignment horizontal="left"/>
    </xf>
    <xf numFmtId="0" fontId="6" fillId="5" borderId="0" xfId="0" applyFont="1" applyFill="1"/>
    <xf numFmtId="0" fontId="7" fillId="5" borderId="0" xfId="0" applyFont="1" applyFill="1"/>
    <xf numFmtId="0" fontId="6" fillId="6" borderId="0" xfId="0" applyFont="1" applyFill="1"/>
    <xf numFmtId="0" fontId="7" fillId="6" borderId="0" xfId="0" applyFont="1" applyFill="1"/>
    <xf numFmtId="2" fontId="0" fillId="0" borderId="0" xfId="1" applyNumberFormat="1" applyFont="1" applyBorder="1"/>
    <xf numFmtId="4" fontId="8" fillId="0" borderId="1" xfId="0" applyNumberFormat="1" applyFont="1" applyBorder="1"/>
    <xf numFmtId="4" fontId="8" fillId="0" borderId="0" xfId="0" applyNumberFormat="1" applyFont="1" applyBorder="1"/>
    <xf numFmtId="164" fontId="7" fillId="5" borderId="1" xfId="0" applyNumberFormat="1" applyFont="1" applyFill="1" applyBorder="1"/>
    <xf numFmtId="0" fontId="14" fillId="0" borderId="0" xfId="0" applyFont="1"/>
    <xf numFmtId="0" fontId="15" fillId="3" borderId="0" xfId="0" applyFont="1" applyFill="1"/>
    <xf numFmtId="0" fontId="16" fillId="0" borderId="0" xfId="0" applyFont="1"/>
    <xf numFmtId="168" fontId="10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166" fontId="0" fillId="5" borderId="0" xfId="0" applyNumberFormat="1" applyFill="1" applyBorder="1"/>
    <xf numFmtId="44" fontId="13" fillId="0" borderId="1" xfId="2" applyFont="1" applyBorder="1"/>
    <xf numFmtId="44" fontId="5" fillId="0" borderId="1" xfId="0" applyNumberFormat="1" applyFont="1" applyBorder="1"/>
    <xf numFmtId="44" fontId="4" fillId="0" borderId="1" xfId="0" applyNumberFormat="1" applyFont="1" applyBorder="1"/>
    <xf numFmtId="3" fontId="13" fillId="0" borderId="1" xfId="0" applyNumberFormat="1" applyFont="1" applyBorder="1"/>
    <xf numFmtId="3" fontId="0" fillId="0" borderId="1" xfId="0" applyNumberFormat="1" applyBorder="1"/>
    <xf numFmtId="9" fontId="13" fillId="0" borderId="1" xfId="1" applyFont="1" applyBorder="1"/>
    <xf numFmtId="165" fontId="13" fillId="0" borderId="1" xfId="0" applyNumberFormat="1" applyFont="1" applyBorder="1"/>
    <xf numFmtId="165" fontId="5" fillId="0" borderId="1" xfId="0" applyNumberFormat="1" applyFont="1" applyBorder="1"/>
    <xf numFmtId="165" fontId="4" fillId="0" borderId="1" xfId="0" applyNumberFormat="1" applyFont="1" applyBorder="1"/>
    <xf numFmtId="165" fontId="1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0" fontId="8" fillId="0" borderId="0" xfId="0" applyFont="1" applyBorder="1"/>
    <xf numFmtId="0" fontId="13" fillId="0" borderId="1" xfId="0" applyFont="1" applyBorder="1"/>
    <xf numFmtId="9" fontId="8" fillId="0" borderId="1" xfId="1" applyNumberFormat="1" applyFont="1" applyBorder="1"/>
    <xf numFmtId="9" fontId="5" fillId="0" borderId="1" xfId="0" applyNumberFormat="1" applyFont="1" applyBorder="1"/>
    <xf numFmtId="9" fontId="0" fillId="0" borderId="1" xfId="0" applyNumberFormat="1" applyFont="1" applyBorder="1"/>
    <xf numFmtId="9" fontId="12" fillId="0" borderId="1" xfId="0" applyNumberFormat="1" applyFont="1" applyBorder="1"/>
    <xf numFmtId="9" fontId="4" fillId="0" borderId="1" xfId="0" applyNumberFormat="1" applyFont="1" applyBorder="1"/>
    <xf numFmtId="0" fontId="6" fillId="3" borderId="0" xfId="0" applyFont="1" applyFill="1"/>
    <xf numFmtId="0" fontId="0" fillId="3" borderId="0" xfId="0" applyFill="1"/>
    <xf numFmtId="0" fontId="0" fillId="3" borderId="0" xfId="0" applyFont="1" applyFill="1"/>
    <xf numFmtId="0" fontId="17" fillId="0" borderId="1" xfId="0" applyFont="1" applyBorder="1"/>
    <xf numFmtId="3" fontId="17" fillId="0" borderId="1" xfId="0" applyNumberFormat="1" applyFont="1" applyBorder="1"/>
    <xf numFmtId="3" fontId="18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0" xfId="0" applyFill="1"/>
    <xf numFmtId="0" fontId="15" fillId="0" borderId="0" xfId="0" applyFont="1" applyFill="1" applyAlignment="1">
      <alignment horizontal="left"/>
    </xf>
    <xf numFmtId="0" fontId="0" fillId="5" borderId="0" xfId="0" applyFill="1"/>
    <xf numFmtId="9" fontId="0" fillId="0" borderId="0" xfId="1" applyFont="1" applyBorder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1.4244313210848644E-2"/>
                  <c:y val="0.38724555263925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'Source - Paid Traffic'!$D$38:$D$48</c:f>
              <c:numCache>
                <c:formatCode>_([$$-409]* #,##0.00_);_([$$-409]* \(#,##0.00\);_([$$-409]* "-"??_);_(@_)</c:formatCode>
                <c:ptCount val="11"/>
                <c:pt idx="0">
                  <c:v>41.93</c:v>
                </c:pt>
                <c:pt idx="1">
                  <c:v>23.68</c:v>
                </c:pt>
                <c:pt idx="2">
                  <c:v>59.9</c:v>
                </c:pt>
                <c:pt idx="3">
                  <c:v>177.58</c:v>
                </c:pt>
                <c:pt idx="4">
                  <c:v>47.57</c:v>
                </c:pt>
                <c:pt idx="5">
                  <c:v>8.4600000000000009</c:v>
                </c:pt>
                <c:pt idx="6">
                  <c:v>135.65</c:v>
                </c:pt>
                <c:pt idx="7">
                  <c:v>81.040000000000006</c:v>
                </c:pt>
                <c:pt idx="8">
                  <c:v>164.9</c:v>
                </c:pt>
                <c:pt idx="9">
                  <c:v>263.08999999999997</c:v>
                </c:pt>
                <c:pt idx="10">
                  <c:v>172.65</c:v>
                </c:pt>
              </c:numCache>
            </c:numRef>
          </c:xVal>
          <c:yVal>
            <c:numRef>
              <c:f>'Source - Paid Traffic'!$E$38:$E$48</c:f>
              <c:numCache>
                <c:formatCode>_([$$-409]* #,##0.00_);_([$$-409]* \(#,##0.00\);_([$$-409]* "-"??_);_(@_)</c:formatCode>
                <c:ptCount val="11"/>
                <c:pt idx="0">
                  <c:v>2.99</c:v>
                </c:pt>
                <c:pt idx="1">
                  <c:v>2.96</c:v>
                </c:pt>
                <c:pt idx="2">
                  <c:v>3.52</c:v>
                </c:pt>
                <c:pt idx="3">
                  <c:v>3.29</c:v>
                </c:pt>
                <c:pt idx="4">
                  <c:v>3.17</c:v>
                </c:pt>
                <c:pt idx="5">
                  <c:v>2.82</c:v>
                </c:pt>
                <c:pt idx="6">
                  <c:v>3.88</c:v>
                </c:pt>
                <c:pt idx="7">
                  <c:v>3.52</c:v>
                </c:pt>
                <c:pt idx="8">
                  <c:v>4.12</c:v>
                </c:pt>
                <c:pt idx="9">
                  <c:v>4.1100000000000003</c:v>
                </c:pt>
                <c:pt idx="10">
                  <c:v>4.1100000000000003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3-4DFA-9A3B-BD3D19135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25519"/>
        <c:axId val="1845123439"/>
      </c:scatterChart>
      <c:valAx>
        <c:axId val="184512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23439"/>
        <c:crosses val="autoZero"/>
        <c:crossBetween val="midCat"/>
      </c:valAx>
      <c:valAx>
        <c:axId val="18451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2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50000"/>
                  </a:schemeClr>
                </a:solidFill>
              </a:rPr>
              <a:t>Evolution in the numbers of paid leads: Real vs Forecast (12 months)</a:t>
            </a:r>
          </a:p>
        </c:rich>
      </c:tx>
      <c:layout>
        <c:manualLayout>
          <c:xMode val="edge"/>
          <c:yMode val="edge"/>
          <c:x val="0.17677920062087699"/>
          <c:y val="2.834147677409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'INPUTS Leads - Paid Traffic'!$B$15</c:f>
              <c:strCache>
                <c:ptCount val="1"/>
                <c:pt idx="0">
                  <c:v>Total leads Google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Traffic'!$C$15:$Z$15</c:f>
              <c:numCache>
                <c:formatCode>General</c:formatCode>
                <c:ptCount val="16"/>
                <c:pt idx="0">
                  <c:v>212</c:v>
                </c:pt>
                <c:pt idx="1">
                  <c:v>262</c:v>
                </c:pt>
                <c:pt idx="2">
                  <c:v>272</c:v>
                </c:pt>
                <c:pt idx="3">
                  <c:v>266</c:v>
                </c:pt>
                <c:pt idx="4">
                  <c:v>298</c:v>
                </c:pt>
                <c:pt idx="5">
                  <c:v>310</c:v>
                </c:pt>
                <c:pt idx="6">
                  <c:v>322</c:v>
                </c:pt>
                <c:pt idx="7">
                  <c:v>335</c:v>
                </c:pt>
                <c:pt idx="8">
                  <c:v>348</c:v>
                </c:pt>
                <c:pt idx="9">
                  <c:v>362</c:v>
                </c:pt>
                <c:pt idx="10">
                  <c:v>376</c:v>
                </c:pt>
                <c:pt idx="11">
                  <c:v>391</c:v>
                </c:pt>
                <c:pt idx="12">
                  <c:v>407</c:v>
                </c:pt>
                <c:pt idx="13">
                  <c:v>423</c:v>
                </c:pt>
                <c:pt idx="14">
                  <c:v>440</c:v>
                </c:pt>
                <c:pt idx="15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C-405B-86C5-0D432EF0C3F6}"/>
            </c:ext>
          </c:extLst>
        </c:ser>
        <c:ser>
          <c:idx val="1"/>
          <c:order val="1"/>
          <c:tx>
            <c:strRef>
              <c:f>'INPUTS Leads - Paid Traffic'!$B$23</c:f>
              <c:strCache>
                <c:ptCount val="1"/>
                <c:pt idx="0">
                  <c:v>Total leads Google Display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Traffic'!$C$23:$Z$23</c:f>
              <c:numCache>
                <c:formatCode>General</c:formatCode>
                <c:ptCount val="16"/>
                <c:pt idx="0">
                  <c:v>18</c:v>
                </c:pt>
                <c:pt idx="1">
                  <c:v>16</c:v>
                </c:pt>
                <c:pt idx="2">
                  <c:v>19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C-405B-86C5-0D432EF0C3F6}"/>
            </c:ext>
          </c:extLst>
        </c:ser>
        <c:ser>
          <c:idx val="2"/>
          <c:order val="2"/>
          <c:tx>
            <c:strRef>
              <c:f>'INPUTS Leads - Paid Traffic'!$B$31</c:f>
              <c:strCache>
                <c:ptCount val="1"/>
                <c:pt idx="0">
                  <c:v>Total leads Facebook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5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81C-405B-86C5-0D432EF0C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Traffic'!$C$31:$Z$31</c:f>
              <c:numCache>
                <c:formatCode>General</c:formatCode>
                <c:ptCount val="16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1C-405B-86C5-0D432EF0C3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3715552"/>
        <c:axId val="1233718048"/>
      </c:lineChart>
      <c:dateAx>
        <c:axId val="1233715552"/>
        <c:scaling>
          <c:orientation val="minMax"/>
        </c:scaling>
        <c:delete val="0"/>
        <c:axPos val="b"/>
        <c:numFmt formatCode="yyyy\-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718048"/>
        <c:crosses val="autoZero"/>
        <c:auto val="1"/>
        <c:lblOffset val="100"/>
        <c:baseTimeUnit val="months"/>
      </c:dateAx>
      <c:valAx>
        <c:axId val="1233718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3715552"/>
        <c:crossesAt val="4313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50000"/>
                  </a:schemeClr>
                </a:solidFill>
              </a:rPr>
              <a:t>Evolution</a:t>
            </a:r>
            <a:r>
              <a:rPr lang="en-US" sz="1600" b="1" baseline="0">
                <a:solidFill>
                  <a:schemeClr val="accent1">
                    <a:lumMod val="50000"/>
                  </a:schemeClr>
                </a:solidFill>
              </a:rPr>
              <a:t> of the investment in paid media - Real vs Forecast (12 months)</a:t>
            </a:r>
            <a:endParaRPr lang="en-US" sz="1600" b="1">
              <a:solidFill>
                <a:schemeClr val="accent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4354961530577351"/>
          <c:y val="1.7204301075268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'INPUTS Leads - Paid Traffic'!$B$11</c:f>
              <c:strCache>
                <c:ptCount val="1"/>
                <c:pt idx="0">
                  <c:v>Investment 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horzOverflow="clip" vert="horz" wrap="square" lIns="0" tIns="0" rIns="38100" bIns="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Traffic'!$C$11:$Z$11</c:f>
              <c:numCache>
                <c:formatCode>_("$"* #,##0.00_);_("$"* \(#,##0.00\);_("$"* "-"??_);_(@_)</c:formatCode>
                <c:ptCount val="16"/>
                <c:pt idx="0">
                  <c:v>2717.01</c:v>
                </c:pt>
                <c:pt idx="1">
                  <c:v>4119.4399999999996</c:v>
                </c:pt>
                <c:pt idx="2">
                  <c:v>4479.2</c:v>
                </c:pt>
                <c:pt idx="3">
                  <c:v>3982.86</c:v>
                </c:pt>
                <c:pt idx="4">
                  <c:v>4182.0030000000006</c:v>
                </c:pt>
                <c:pt idx="5">
                  <c:v>4391.1031500000008</c:v>
                </c:pt>
                <c:pt idx="6">
                  <c:v>4610.6583075000008</c:v>
                </c:pt>
                <c:pt idx="7">
                  <c:v>4841.1912228750007</c:v>
                </c:pt>
                <c:pt idx="8">
                  <c:v>5083.2507840187509</c:v>
                </c:pt>
                <c:pt idx="9">
                  <c:v>5337.4133232196882</c:v>
                </c:pt>
                <c:pt idx="10">
                  <c:v>5604.2839893806731</c:v>
                </c:pt>
                <c:pt idx="11">
                  <c:v>5884.4981888497068</c:v>
                </c:pt>
                <c:pt idx="12">
                  <c:v>6178.7230982921928</c:v>
                </c:pt>
                <c:pt idx="13">
                  <c:v>6487.6592532068025</c:v>
                </c:pt>
                <c:pt idx="14">
                  <c:v>6812.0422158671427</c:v>
                </c:pt>
                <c:pt idx="15">
                  <c:v>7152.6443266605002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4-4673-B33F-E54C7356436F}"/>
            </c:ext>
          </c:extLst>
        </c:ser>
        <c:ser>
          <c:idx val="1"/>
          <c:order val="1"/>
          <c:tx>
            <c:strRef>
              <c:f>'INPUTS Leads - Paid Traffic'!$B$19</c:f>
              <c:strCache>
                <c:ptCount val="1"/>
                <c:pt idx="0">
                  <c:v>Investment Display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5"/>
              <c:tx>
                <c:rich>
                  <a:bodyPr/>
                  <a:lstStyle/>
                  <a:p>
                    <a:fld id="{5E8A15E1-3605-4785-885C-0B1760776CE4}" type="VALUE">
                      <a:rPr lang="en-US">
                        <a:solidFill>
                          <a:srgbClr val="0070C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154-4673-B33F-E54C7356436F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502920" tIns="0" rIns="0" bIns="0" anchor="b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Traffic'!$C$19:$Z$19</c:f>
              <c:numCache>
                <c:formatCode>_([$$-409]* #,##0.00_);_([$$-409]* \(#,##0.00\);_([$$-409]* "-"??_);_(@_)</c:formatCode>
                <c:ptCount val="16"/>
                <c:pt idx="0">
                  <c:v>261</c:v>
                </c:pt>
                <c:pt idx="1">
                  <c:v>284.31</c:v>
                </c:pt>
                <c:pt idx="2">
                  <c:v>357</c:v>
                </c:pt>
                <c:pt idx="3">
                  <c:v>189</c:v>
                </c:pt>
                <c:pt idx="4">
                  <c:v>198.45000000000002</c:v>
                </c:pt>
                <c:pt idx="5">
                  <c:v>208.37250000000003</c:v>
                </c:pt>
                <c:pt idx="6">
                  <c:v>218.79112500000005</c:v>
                </c:pt>
                <c:pt idx="7">
                  <c:v>229.73068125000006</c:v>
                </c:pt>
                <c:pt idx="8">
                  <c:v>241.21721531250009</c:v>
                </c:pt>
                <c:pt idx="9">
                  <c:v>253.27807607812511</c:v>
                </c:pt>
                <c:pt idx="10">
                  <c:v>265.94197988203138</c:v>
                </c:pt>
                <c:pt idx="11">
                  <c:v>279.23907887613296</c:v>
                </c:pt>
                <c:pt idx="12">
                  <c:v>293.2010328199396</c:v>
                </c:pt>
                <c:pt idx="13">
                  <c:v>307.86108446093658</c:v>
                </c:pt>
                <c:pt idx="14">
                  <c:v>323.2541386839834</c:v>
                </c:pt>
                <c:pt idx="15">
                  <c:v>339.41684561818261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4-4673-B33F-E54C7356436F}"/>
            </c:ext>
          </c:extLst>
        </c:ser>
        <c:ser>
          <c:idx val="2"/>
          <c:order val="2"/>
          <c:tx>
            <c:strRef>
              <c:f>'INPUTS Leads - Paid Traffic'!$B$27</c:f>
              <c:strCache>
                <c:ptCount val="1"/>
                <c:pt idx="0">
                  <c:v>Investment Facebook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502920" tIns="0" rIns="0" bIns="19050" anchor="t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Traffic'!$C$27:$Z$27</c:f>
              <c:numCache>
                <c:formatCode>_([$$-409]* #,##0.00_);_([$$-409]* \(#,##0.00\);_([$$-409]* "-"??_);_(@_)</c:formatCode>
                <c:ptCount val="16"/>
                <c:pt idx="0">
                  <c:v>81.040000000000006</c:v>
                </c:pt>
                <c:pt idx="1">
                  <c:v>164.9</c:v>
                </c:pt>
                <c:pt idx="2">
                  <c:v>263.08999999999997</c:v>
                </c:pt>
                <c:pt idx="3">
                  <c:v>172.65</c:v>
                </c:pt>
                <c:pt idx="4">
                  <c:v>184.73550000000003</c:v>
                </c:pt>
                <c:pt idx="5">
                  <c:v>197.66698500000004</c:v>
                </c:pt>
                <c:pt idx="6">
                  <c:v>211.50367395000006</c:v>
                </c:pt>
                <c:pt idx="7">
                  <c:v>226.30893112650008</c:v>
                </c:pt>
                <c:pt idx="8">
                  <c:v>242.15055630535511</c:v>
                </c:pt>
                <c:pt idx="9">
                  <c:v>259.10109524672998</c:v>
                </c:pt>
                <c:pt idx="10">
                  <c:v>277.2381719140011</c:v>
                </c:pt>
                <c:pt idx="11">
                  <c:v>296.6448439479812</c:v>
                </c:pt>
                <c:pt idx="12">
                  <c:v>317.40998302433991</c:v>
                </c:pt>
                <c:pt idx="13">
                  <c:v>339.62868183604371</c:v>
                </c:pt>
                <c:pt idx="14">
                  <c:v>363.4026895645668</c:v>
                </c:pt>
                <c:pt idx="15">
                  <c:v>388.84087783408648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54-4673-B33F-E54C7356436F}"/>
            </c:ext>
          </c:extLst>
        </c:ser>
        <c:ser>
          <c:idx val="3"/>
          <c:order val="3"/>
          <c:tx>
            <c:strRef>
              <c:f>'INPUTS Leads - Paid Traffic'!$B$34</c:f>
              <c:strCache>
                <c:ptCount val="1"/>
                <c:pt idx="0">
                  <c:v>TOTAL INVESTMENT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274320" rIns="38100" bIns="9144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 - Paid Traffic'!$K$7:$Z$7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 - Paid Traffic'!$C$34:$Z$34</c:f>
              <c:numCache>
                <c:formatCode>_([$$-409]* #,##0.00_);_([$$-409]* \(#,##0.00\);_([$$-409]* "-"??_);_(@_)</c:formatCode>
                <c:ptCount val="16"/>
                <c:pt idx="0">
                  <c:v>3059.05</c:v>
                </c:pt>
                <c:pt idx="1">
                  <c:v>4568.6499999999996</c:v>
                </c:pt>
                <c:pt idx="2">
                  <c:v>5099.29</c:v>
                </c:pt>
                <c:pt idx="3">
                  <c:v>4344.51</c:v>
                </c:pt>
                <c:pt idx="4">
                  <c:v>4565.1885000000002</c:v>
                </c:pt>
                <c:pt idx="5">
                  <c:v>4797.1426350000011</c:v>
                </c:pt>
                <c:pt idx="6">
                  <c:v>5040.9531064500006</c:v>
                </c:pt>
                <c:pt idx="7">
                  <c:v>5297.230835251501</c:v>
                </c:pt>
                <c:pt idx="8">
                  <c:v>5566.6185556366063</c:v>
                </c:pt>
                <c:pt idx="9">
                  <c:v>5849.7924945445429</c:v>
                </c:pt>
                <c:pt idx="10">
                  <c:v>6147.4641411767061</c:v>
                </c:pt>
                <c:pt idx="11">
                  <c:v>6460.3821116738209</c:v>
                </c:pt>
                <c:pt idx="12">
                  <c:v>6789.3341141364726</c:v>
                </c:pt>
                <c:pt idx="13">
                  <c:v>7135.1490195037832</c:v>
                </c:pt>
                <c:pt idx="14">
                  <c:v>7498.6990441156922</c:v>
                </c:pt>
                <c:pt idx="15">
                  <c:v>7880.9020501127688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54-4673-B33F-E54C73564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7368656"/>
        <c:axId val="1247383216"/>
      </c:barChart>
      <c:dateAx>
        <c:axId val="1247368656"/>
        <c:scaling>
          <c:orientation val="minMax"/>
        </c:scaling>
        <c:delete val="0"/>
        <c:axPos val="b"/>
        <c:numFmt formatCode="yyyy\-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83216"/>
        <c:crosses val="autoZero"/>
        <c:auto val="1"/>
        <c:lblOffset val="100"/>
        <c:baseTimeUnit val="months"/>
      </c:dateAx>
      <c:valAx>
        <c:axId val="1247383216"/>
        <c:scaling>
          <c:orientation val="minMax"/>
          <c:max val="10000"/>
        </c:scaling>
        <c:delete val="1"/>
        <c:axPos val="l"/>
        <c:numFmt formatCode="&quot;$&quot;#,##0" sourceLinked="0"/>
        <c:majorTickMark val="none"/>
        <c:minorTickMark val="none"/>
        <c:tickLblPos val="nextTo"/>
        <c:crossAx val="12473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Evolution in the number of organic leads: Real vs Forcast (12</a:t>
            </a:r>
            <a:r>
              <a:rPr lang="en-US" sz="1600" b="1" baseline="0"/>
              <a:t> months</a:t>
            </a:r>
            <a:r>
              <a:rPr lang="en-US" sz="1600" baseline="0"/>
              <a:t>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'INPUTS Leads - Organic Traffic'!$B$14</c:f>
              <c:strCache>
                <c:ptCount val="1"/>
                <c:pt idx="0">
                  <c:v>Total leads email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'INPUTS Leads - Organic Traffic'!$K$8:$Z$8</c:f>
              <c:strCache>
                <c:ptCount val="16"/>
                <c:pt idx="0">
                  <c:v>2018-02</c:v>
                </c:pt>
                <c:pt idx="1">
                  <c:v>2018-03</c:v>
                </c:pt>
                <c:pt idx="2">
                  <c:v>2018-04</c:v>
                </c:pt>
                <c:pt idx="3">
                  <c:v>2018-05</c:v>
                </c:pt>
                <c:pt idx="4">
                  <c:v>2018-06</c:v>
                </c:pt>
                <c:pt idx="5">
                  <c:v>2018-07</c:v>
                </c:pt>
                <c:pt idx="6">
                  <c:v>2018-08</c:v>
                </c:pt>
                <c:pt idx="7">
                  <c:v>2018-09</c:v>
                </c:pt>
                <c:pt idx="8">
                  <c:v>2018-10</c:v>
                </c:pt>
                <c:pt idx="9">
                  <c:v>2018-11</c:v>
                </c:pt>
                <c:pt idx="10">
                  <c:v>2018-12</c:v>
                </c:pt>
                <c:pt idx="11">
                  <c:v>2019-01</c:v>
                </c:pt>
                <c:pt idx="12">
                  <c:v>2019-02</c:v>
                </c:pt>
                <c:pt idx="13">
                  <c:v>2019-03</c:v>
                </c:pt>
                <c:pt idx="14">
                  <c:v>2019-04</c:v>
                </c:pt>
                <c:pt idx="15">
                  <c:v>2019-05</c:v>
                </c:pt>
              </c:strCache>
            </c:strRef>
          </c:cat>
          <c:val>
            <c:numRef>
              <c:f>'INPUTS Leads - Organic Traffic'!$C$14:$Z$14</c:f>
              <c:numCache>
                <c:formatCode>#,##0</c:formatCode>
                <c:ptCount val="16"/>
                <c:pt idx="0">
                  <c:v>70.72</c:v>
                </c:pt>
                <c:pt idx="1">
                  <c:v>76.88</c:v>
                </c:pt>
                <c:pt idx="2">
                  <c:v>51.9</c:v>
                </c:pt>
                <c:pt idx="3">
                  <c:v>97.92</c:v>
                </c:pt>
                <c:pt idx="4">
                  <c:v>91</c:v>
                </c:pt>
                <c:pt idx="5">
                  <c:v>97</c:v>
                </c:pt>
                <c:pt idx="6">
                  <c:v>104</c:v>
                </c:pt>
                <c:pt idx="7">
                  <c:v>111</c:v>
                </c:pt>
                <c:pt idx="8">
                  <c:v>117</c:v>
                </c:pt>
                <c:pt idx="9">
                  <c:v>124</c:v>
                </c:pt>
                <c:pt idx="10">
                  <c:v>131</c:v>
                </c:pt>
                <c:pt idx="11">
                  <c:v>137</c:v>
                </c:pt>
                <c:pt idx="12">
                  <c:v>144</c:v>
                </c:pt>
                <c:pt idx="13">
                  <c:v>151</c:v>
                </c:pt>
                <c:pt idx="14">
                  <c:v>157</c:v>
                </c:pt>
                <c:pt idx="1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E-4693-AA93-66A859863D05}"/>
            </c:ext>
          </c:extLst>
        </c:ser>
        <c:ser>
          <c:idx val="1"/>
          <c:order val="1"/>
          <c:tx>
            <c:strRef>
              <c:f>'INPUTS Leads - Organic Traffic'!$B$20</c:f>
              <c:strCache>
                <c:ptCount val="1"/>
                <c:pt idx="0">
                  <c:v>Total leads organic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'INPUTS Leads - Organic Traffic'!$K$8:$Z$8</c:f>
              <c:strCache>
                <c:ptCount val="16"/>
                <c:pt idx="0">
                  <c:v>2018-02</c:v>
                </c:pt>
                <c:pt idx="1">
                  <c:v>2018-03</c:v>
                </c:pt>
                <c:pt idx="2">
                  <c:v>2018-04</c:v>
                </c:pt>
                <c:pt idx="3">
                  <c:v>2018-05</c:v>
                </c:pt>
                <c:pt idx="4">
                  <c:v>2018-06</c:v>
                </c:pt>
                <c:pt idx="5">
                  <c:v>2018-07</c:v>
                </c:pt>
                <c:pt idx="6">
                  <c:v>2018-08</c:v>
                </c:pt>
                <c:pt idx="7">
                  <c:v>2018-09</c:v>
                </c:pt>
                <c:pt idx="8">
                  <c:v>2018-10</c:v>
                </c:pt>
                <c:pt idx="9">
                  <c:v>2018-11</c:v>
                </c:pt>
                <c:pt idx="10">
                  <c:v>2018-12</c:v>
                </c:pt>
                <c:pt idx="11">
                  <c:v>2019-01</c:v>
                </c:pt>
                <c:pt idx="12">
                  <c:v>2019-02</c:v>
                </c:pt>
                <c:pt idx="13">
                  <c:v>2019-03</c:v>
                </c:pt>
                <c:pt idx="14">
                  <c:v>2019-04</c:v>
                </c:pt>
                <c:pt idx="15">
                  <c:v>2019-05</c:v>
                </c:pt>
              </c:strCache>
            </c:strRef>
          </c:cat>
          <c:val>
            <c:numRef>
              <c:f>'INPUTS Leads - Organic Traffic'!$C$20:$Z$20</c:f>
              <c:numCache>
                <c:formatCode>#,##0</c:formatCode>
                <c:ptCount val="16"/>
                <c:pt idx="0">
                  <c:v>760.98</c:v>
                </c:pt>
                <c:pt idx="1">
                  <c:v>853.86</c:v>
                </c:pt>
                <c:pt idx="2">
                  <c:v>1048</c:v>
                </c:pt>
                <c:pt idx="3">
                  <c:v>968.88</c:v>
                </c:pt>
                <c:pt idx="4">
                  <c:v>1161</c:v>
                </c:pt>
                <c:pt idx="5">
                  <c:v>1252</c:v>
                </c:pt>
                <c:pt idx="6">
                  <c:v>1343</c:v>
                </c:pt>
                <c:pt idx="7">
                  <c:v>1435</c:v>
                </c:pt>
                <c:pt idx="8">
                  <c:v>1526</c:v>
                </c:pt>
                <c:pt idx="9">
                  <c:v>1618</c:v>
                </c:pt>
                <c:pt idx="10">
                  <c:v>1709</c:v>
                </c:pt>
                <c:pt idx="11">
                  <c:v>1800</c:v>
                </c:pt>
                <c:pt idx="12">
                  <c:v>1892</c:v>
                </c:pt>
                <c:pt idx="13">
                  <c:v>1983</c:v>
                </c:pt>
                <c:pt idx="14">
                  <c:v>2074</c:v>
                </c:pt>
                <c:pt idx="15">
                  <c:v>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E-4693-AA93-66A859863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613264"/>
        <c:axId val="282610768"/>
      </c:lineChart>
      <c:catAx>
        <c:axId val="2826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10768"/>
        <c:crosses val="autoZero"/>
        <c:auto val="1"/>
        <c:lblAlgn val="ctr"/>
        <c:lblOffset val="100"/>
        <c:noMultiLvlLbl val="0"/>
      </c:catAx>
      <c:valAx>
        <c:axId val="28261076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8261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Convertion rates details </a:t>
            </a:r>
            <a:r>
              <a:rPr lang="en-US" sz="1600" b="1" i="0" u="none" strike="noStrike" baseline="0">
                <a:effectLst/>
              </a:rPr>
              <a:t>organic channels</a:t>
            </a:r>
            <a:r>
              <a:rPr lang="en-US" sz="1600" b="1"/>
              <a:t> (</a:t>
            </a:r>
            <a:r>
              <a:rPr lang="en-US" sz="1600" b="1" i="0" u="none" strike="noStrike" baseline="0">
                <a:effectLst/>
              </a:rPr>
              <a:t>historical data) 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'Organic Traffic details'!$C$4</c:f>
              <c:strCache>
                <c:ptCount val="1"/>
                <c:pt idx="0">
                  <c:v>direct_traffic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'Organic Traffic details'!$D$3:$O$3</c:f>
              <c:strCache>
                <c:ptCount val="12"/>
                <c:pt idx="0">
                  <c:v>2017-06</c:v>
                </c:pt>
                <c:pt idx="1">
                  <c:v>2017-07</c:v>
                </c:pt>
                <c:pt idx="2">
                  <c:v>2017-08</c:v>
                </c:pt>
                <c:pt idx="3">
                  <c:v>2017-09</c:v>
                </c:pt>
                <c:pt idx="4">
                  <c:v>2017-10</c:v>
                </c:pt>
                <c:pt idx="5">
                  <c:v>2017-11</c:v>
                </c:pt>
                <c:pt idx="6">
                  <c:v>2017-12</c:v>
                </c:pt>
                <c:pt idx="7">
                  <c:v>2018-01</c:v>
                </c:pt>
                <c:pt idx="8">
                  <c:v>2018-02</c:v>
                </c:pt>
                <c:pt idx="9">
                  <c:v>2018-03</c:v>
                </c:pt>
                <c:pt idx="10">
                  <c:v>2018-04</c:v>
                </c:pt>
                <c:pt idx="11">
                  <c:v>2018-05</c:v>
                </c:pt>
              </c:strCache>
            </c:strRef>
          </c:cat>
          <c:val>
            <c:numRef>
              <c:f>'Organic Traffic details'!$D$4:$O$4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0.21951219512195122</c:v>
                </c:pt>
                <c:pt idx="8">
                  <c:v>0.13846153846153847</c:v>
                </c:pt>
                <c:pt idx="9">
                  <c:v>8.7499999999999994E-2</c:v>
                </c:pt>
                <c:pt idx="10">
                  <c:v>0.17333333333333334</c:v>
                </c:pt>
                <c:pt idx="11">
                  <c:v>8.9743589743589744E-2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1-4E82-AC7F-26D3566D15DF}"/>
            </c:ext>
          </c:extLst>
        </c:ser>
        <c:ser>
          <c:idx val="1"/>
          <c:order val="1"/>
          <c:tx>
            <c:strRef>
              <c:f>'Organic Traffic details'!$C$5</c:f>
              <c:strCache>
                <c:ptCount val="1"/>
                <c:pt idx="0">
                  <c:v>organic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'Organic Traffic details'!$D$3:$O$3</c:f>
              <c:strCache>
                <c:ptCount val="12"/>
                <c:pt idx="0">
                  <c:v>2017-06</c:v>
                </c:pt>
                <c:pt idx="1">
                  <c:v>2017-07</c:v>
                </c:pt>
                <c:pt idx="2">
                  <c:v>2017-08</c:v>
                </c:pt>
                <c:pt idx="3">
                  <c:v>2017-09</c:v>
                </c:pt>
                <c:pt idx="4">
                  <c:v>2017-10</c:v>
                </c:pt>
                <c:pt idx="5">
                  <c:v>2017-11</c:v>
                </c:pt>
                <c:pt idx="6">
                  <c:v>2017-12</c:v>
                </c:pt>
                <c:pt idx="7">
                  <c:v>2018-01</c:v>
                </c:pt>
                <c:pt idx="8">
                  <c:v>2018-02</c:v>
                </c:pt>
                <c:pt idx="9">
                  <c:v>2018-03</c:v>
                </c:pt>
                <c:pt idx="10">
                  <c:v>2018-04</c:v>
                </c:pt>
                <c:pt idx="11">
                  <c:v>2018-05</c:v>
                </c:pt>
              </c:strCache>
            </c:strRef>
          </c:cat>
          <c:val>
            <c:numRef>
              <c:f>'Organic Traffic details'!$D$5:$O$5</c:f>
              <c:numCache>
                <c:formatCode>0%</c:formatCode>
                <c:ptCount val="12"/>
                <c:pt idx="0">
                  <c:v>0</c:v>
                </c:pt>
                <c:pt idx="1">
                  <c:v>3.8461538461538464E-2</c:v>
                </c:pt>
                <c:pt idx="2">
                  <c:v>1.3513513513513514E-2</c:v>
                </c:pt>
                <c:pt idx="3">
                  <c:v>0</c:v>
                </c:pt>
                <c:pt idx="4">
                  <c:v>4.8387096774193547E-2</c:v>
                </c:pt>
                <c:pt idx="5">
                  <c:v>5.9701492537313432E-2</c:v>
                </c:pt>
                <c:pt idx="6">
                  <c:v>6.8965517241379309E-2</c:v>
                </c:pt>
                <c:pt idx="7">
                  <c:v>0.18974358974358974</c:v>
                </c:pt>
                <c:pt idx="8">
                  <c:v>0.19553072625698323</c:v>
                </c:pt>
                <c:pt idx="9">
                  <c:v>0.20737327188940091</c:v>
                </c:pt>
                <c:pt idx="10">
                  <c:v>0.19024390243902439</c:v>
                </c:pt>
                <c:pt idx="11">
                  <c:v>0.16201117318435754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1-4E82-AC7F-26D3566D15DF}"/>
            </c:ext>
          </c:extLst>
        </c:ser>
        <c:ser>
          <c:idx val="2"/>
          <c:order val="2"/>
          <c:tx>
            <c:strRef>
              <c:f>'Organic Traffic details'!$C$6</c:f>
              <c:strCache>
                <c:ptCount val="1"/>
                <c:pt idx="0">
                  <c:v>organic_search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'Organic Traffic details'!$D$3:$O$3</c:f>
              <c:strCache>
                <c:ptCount val="12"/>
                <c:pt idx="0">
                  <c:v>2017-06</c:v>
                </c:pt>
                <c:pt idx="1">
                  <c:v>2017-07</c:v>
                </c:pt>
                <c:pt idx="2">
                  <c:v>2017-08</c:v>
                </c:pt>
                <c:pt idx="3">
                  <c:v>2017-09</c:v>
                </c:pt>
                <c:pt idx="4">
                  <c:v>2017-10</c:v>
                </c:pt>
                <c:pt idx="5">
                  <c:v>2017-11</c:v>
                </c:pt>
                <c:pt idx="6">
                  <c:v>2017-12</c:v>
                </c:pt>
                <c:pt idx="7">
                  <c:v>2018-01</c:v>
                </c:pt>
                <c:pt idx="8">
                  <c:v>2018-02</c:v>
                </c:pt>
                <c:pt idx="9">
                  <c:v>2018-03</c:v>
                </c:pt>
                <c:pt idx="10">
                  <c:v>2018-04</c:v>
                </c:pt>
                <c:pt idx="11">
                  <c:v>2018-05</c:v>
                </c:pt>
              </c:strCache>
            </c:strRef>
          </c:cat>
          <c:val>
            <c:numRef>
              <c:f>'Organic Traffic details'!$D$6:$O$6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1.6393442622950821E-2</c:v>
                </c:pt>
                <c:pt idx="3">
                  <c:v>6.4102564102564097E-2</c:v>
                </c:pt>
                <c:pt idx="4">
                  <c:v>8.0000000000000002E-3</c:v>
                </c:pt>
                <c:pt idx="5">
                  <c:v>3.3057851239669422E-2</c:v>
                </c:pt>
                <c:pt idx="6">
                  <c:v>6.6666666666666666E-2</c:v>
                </c:pt>
                <c:pt idx="7">
                  <c:v>0.15291262135922329</c:v>
                </c:pt>
                <c:pt idx="8">
                  <c:v>0.13402061855670103</c:v>
                </c:pt>
                <c:pt idx="9">
                  <c:v>0.15294117647058825</c:v>
                </c:pt>
                <c:pt idx="10">
                  <c:v>0.16905444126074498</c:v>
                </c:pt>
                <c:pt idx="11">
                  <c:v>0.12209302325581395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1-4E82-AC7F-26D3566D15DF}"/>
            </c:ext>
          </c:extLst>
        </c:ser>
        <c:ser>
          <c:idx val="3"/>
          <c:order val="3"/>
          <c:tx>
            <c:strRef>
              <c:f>'Organic Traffic details'!$C$7</c:f>
              <c:strCache>
                <c:ptCount val="1"/>
                <c:pt idx="0">
                  <c:v>referral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'Organic Traffic details'!$D$3:$O$3</c:f>
              <c:strCache>
                <c:ptCount val="12"/>
                <c:pt idx="0">
                  <c:v>2017-06</c:v>
                </c:pt>
                <c:pt idx="1">
                  <c:v>2017-07</c:v>
                </c:pt>
                <c:pt idx="2">
                  <c:v>2017-08</c:v>
                </c:pt>
                <c:pt idx="3">
                  <c:v>2017-09</c:v>
                </c:pt>
                <c:pt idx="4">
                  <c:v>2017-10</c:v>
                </c:pt>
                <c:pt idx="5">
                  <c:v>2017-11</c:v>
                </c:pt>
                <c:pt idx="6">
                  <c:v>2017-12</c:v>
                </c:pt>
                <c:pt idx="7">
                  <c:v>2018-01</c:v>
                </c:pt>
                <c:pt idx="8">
                  <c:v>2018-02</c:v>
                </c:pt>
                <c:pt idx="9">
                  <c:v>2018-03</c:v>
                </c:pt>
                <c:pt idx="10">
                  <c:v>2018-04</c:v>
                </c:pt>
                <c:pt idx="11">
                  <c:v>2018-05</c:v>
                </c:pt>
              </c:strCache>
            </c:strRef>
          </c:cat>
          <c:val>
            <c:numRef>
              <c:f>'Organic Traffic details'!$D$7:$O$7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7.3170731707317069E-2</c:v>
                </c:pt>
                <c:pt idx="8">
                  <c:v>8.8235294117647065E-2</c:v>
                </c:pt>
                <c:pt idx="9">
                  <c:v>5.2631578947368418E-2</c:v>
                </c:pt>
                <c:pt idx="10">
                  <c:v>0.17777777777777778</c:v>
                </c:pt>
                <c:pt idx="11">
                  <c:v>0.15094339622641509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1-4E82-AC7F-26D3566D15DF}"/>
            </c:ext>
          </c:extLst>
        </c:ser>
        <c:ser>
          <c:idx val="4"/>
          <c:order val="4"/>
          <c:tx>
            <c:strRef>
              <c:f>'Organic Traffic details'!$C$8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'Organic Traffic details'!$D$3:$O$3</c:f>
              <c:strCache>
                <c:ptCount val="12"/>
                <c:pt idx="0">
                  <c:v>2017-06</c:v>
                </c:pt>
                <c:pt idx="1">
                  <c:v>2017-07</c:v>
                </c:pt>
                <c:pt idx="2">
                  <c:v>2017-08</c:v>
                </c:pt>
                <c:pt idx="3">
                  <c:v>2017-09</c:v>
                </c:pt>
                <c:pt idx="4">
                  <c:v>2017-10</c:v>
                </c:pt>
                <c:pt idx="5">
                  <c:v>2017-11</c:v>
                </c:pt>
                <c:pt idx="6">
                  <c:v>2017-12</c:v>
                </c:pt>
                <c:pt idx="7">
                  <c:v>2018-01</c:v>
                </c:pt>
                <c:pt idx="8">
                  <c:v>2018-02</c:v>
                </c:pt>
                <c:pt idx="9">
                  <c:v>2018-03</c:v>
                </c:pt>
                <c:pt idx="10">
                  <c:v>2018-04</c:v>
                </c:pt>
                <c:pt idx="11">
                  <c:v>2018-05</c:v>
                </c:pt>
              </c:strCache>
            </c:strRef>
          </c:cat>
          <c:val>
            <c:numRef>
              <c:f>'Organic Traffic details'!$D$8:$O$8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</c:v>
                </c:pt>
                <c:pt idx="4">
                  <c:v>3.8461538461538464E-2</c:v>
                </c:pt>
                <c:pt idx="5">
                  <c:v>4.2105263157894736E-2</c:v>
                </c:pt>
                <c:pt idx="6">
                  <c:v>0</c:v>
                </c:pt>
                <c:pt idx="7">
                  <c:v>4.9382716049382713E-2</c:v>
                </c:pt>
                <c:pt idx="8">
                  <c:v>9.6153846153846159E-2</c:v>
                </c:pt>
                <c:pt idx="9">
                  <c:v>0.11510791366906475</c:v>
                </c:pt>
                <c:pt idx="10">
                  <c:v>4.9230769230769231E-2</c:v>
                </c:pt>
                <c:pt idx="11">
                  <c:v>4.0892193308550186E-2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41-4E82-AC7F-26D3566D1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2992832"/>
        <c:axId val="1222994496"/>
      </c:barChart>
      <c:catAx>
        <c:axId val="12229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994496"/>
        <c:crosses val="autoZero"/>
        <c:auto val="1"/>
        <c:lblAlgn val="ctr"/>
        <c:lblOffset val="100"/>
        <c:noMultiLvlLbl val="0"/>
      </c:catAx>
      <c:valAx>
        <c:axId val="12229944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229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Evolution</a:t>
            </a:r>
            <a:r>
              <a:rPr lang="en-US" sz="1600" b="1" baseline="0"/>
              <a:t> in the number of sales Real vs Forecast (12 months) 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'OUTPUTS Sales Performace'!$B$13</c:f>
              <c:strCache>
                <c:ptCount val="1"/>
                <c:pt idx="0">
                  <c:v>Total sales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'OUTPUTS Sales Performace'!$K$7:$Z$7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'OUTPUTS Sales Performace'!$C$13:$Z$13</c:f>
              <c:numCache>
                <c:formatCode>General</c:formatCode>
                <c:ptCount val="16"/>
                <c:pt idx="0">
                  <c:v>43</c:v>
                </c:pt>
                <c:pt idx="1">
                  <c:v>39</c:v>
                </c:pt>
                <c:pt idx="2">
                  <c:v>43</c:v>
                </c:pt>
                <c:pt idx="3">
                  <c:v>30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45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F-4131-99F5-D8BE91FDDF2C}"/>
            </c:ext>
          </c:extLst>
        </c:ser>
        <c:ser>
          <c:idx val="1"/>
          <c:order val="1"/>
          <c:tx>
            <c:strRef>
              <c:f>'OUTPUTS Sales Performace'!$B$19</c:f>
              <c:strCache>
                <c:ptCount val="1"/>
                <c:pt idx="0">
                  <c:v>Total sales Display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'OUTPUTS Sales Performace'!$K$7:$Z$7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'OUTPUTS Sales Performace'!$C$19:$Z$19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F-4131-99F5-D8BE91FDDF2C}"/>
            </c:ext>
          </c:extLst>
        </c:ser>
        <c:ser>
          <c:idx val="2"/>
          <c:order val="2"/>
          <c:tx>
            <c:strRef>
              <c:f>'OUTPUTS Sales Performace'!$B$25</c:f>
              <c:strCache>
                <c:ptCount val="1"/>
                <c:pt idx="0">
                  <c:v>Total sales Facebook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27432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'OUTPUTS Sales Performace'!$K$7:$Z$7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'OUTPUTS Sales Performace'!$C$25:$Z$25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F-4131-99F5-D8BE91FDDF2C}"/>
            </c:ext>
          </c:extLst>
        </c:ser>
        <c:ser>
          <c:idx val="3"/>
          <c:order val="3"/>
          <c:tx>
            <c:strRef>
              <c:f>'OUTPUTS Sales Performace'!$B$31</c:f>
              <c:strCache>
                <c:ptCount val="1"/>
                <c:pt idx="0">
                  <c:v>Total sales Email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'OUTPUTS Sales Performace'!$K$7:$Z$7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'OUTPUTS Sales Performace'!$C$31:$Z$31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F-4131-99F5-D8BE91FDDF2C}"/>
            </c:ext>
          </c:extLst>
        </c:ser>
        <c:ser>
          <c:idx val="4"/>
          <c:order val="4"/>
          <c:tx>
            <c:strRef>
              <c:f>'OUTPUTS Sales Performace'!$B$37</c:f>
              <c:strCache>
                <c:ptCount val="1"/>
                <c:pt idx="0">
                  <c:v>Total sales Organic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'OUTPUTS Sales Performace'!$K$7:$Z$7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'OUTPUTS Sales Performace'!$C$37:$Z$37</c:f>
              <c:numCache>
                <c:formatCode>General</c:formatCode>
                <c:ptCount val="16"/>
                <c:pt idx="0">
                  <c:v>106</c:v>
                </c:pt>
                <c:pt idx="1">
                  <c:v>127</c:v>
                </c:pt>
                <c:pt idx="2">
                  <c:v>141</c:v>
                </c:pt>
                <c:pt idx="3">
                  <c:v>101</c:v>
                </c:pt>
                <c:pt idx="4">
                  <c:v>150</c:v>
                </c:pt>
                <c:pt idx="5">
                  <c:v>154</c:v>
                </c:pt>
                <c:pt idx="6">
                  <c:v>160</c:v>
                </c:pt>
                <c:pt idx="7">
                  <c:v>178</c:v>
                </c:pt>
                <c:pt idx="8">
                  <c:v>186</c:v>
                </c:pt>
                <c:pt idx="9">
                  <c:v>197</c:v>
                </c:pt>
                <c:pt idx="10">
                  <c:v>210</c:v>
                </c:pt>
                <c:pt idx="11">
                  <c:v>220</c:v>
                </c:pt>
                <c:pt idx="12">
                  <c:v>231</c:v>
                </c:pt>
                <c:pt idx="13">
                  <c:v>243</c:v>
                </c:pt>
                <c:pt idx="14">
                  <c:v>254</c:v>
                </c:pt>
                <c:pt idx="15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7F-4131-99F5-D8BE91FDD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461231"/>
        <c:axId val="1947458319"/>
      </c:lineChart>
      <c:dateAx>
        <c:axId val="1947461231"/>
        <c:scaling>
          <c:orientation val="minMax"/>
        </c:scaling>
        <c:delete val="0"/>
        <c:axPos val="b"/>
        <c:numFmt formatCode="yyyy\-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58319"/>
        <c:crosses val="autoZero"/>
        <c:auto val="1"/>
        <c:lblOffset val="100"/>
        <c:baseTimeUnit val="months"/>
      </c:dateAx>
      <c:valAx>
        <c:axId val="1947458319"/>
        <c:scaling>
          <c:orientation val="minMax"/>
          <c:max val="300"/>
        </c:scaling>
        <c:delete val="1"/>
        <c:axPos val="l"/>
        <c:numFmt formatCode="General" sourceLinked="1"/>
        <c:majorTickMark val="none"/>
        <c:minorTickMark val="none"/>
        <c:tickLblPos val="nextTo"/>
        <c:crossAx val="19474612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Linear regression 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Forecast Leads Organic by Month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8271522309711283"/>
          <c:y val="3.896103896103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4561268591426072"/>
                  <c:y val="5.09026144459215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'Study forecast organic'!$B$26:$B$36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'Study forecast organic'!$C$26:$C$36</c:f>
              <c:numCache>
                <c:formatCode>0</c:formatCode>
                <c:ptCount val="11"/>
                <c:pt idx="0">
                  <c:v>142</c:v>
                </c:pt>
                <c:pt idx="1">
                  <c:v>279</c:v>
                </c:pt>
                <c:pt idx="2">
                  <c:v>216</c:v>
                </c:pt>
                <c:pt idx="3">
                  <c:v>270</c:v>
                </c:pt>
                <c:pt idx="4">
                  <c:v>329</c:v>
                </c:pt>
                <c:pt idx="5">
                  <c:v>147</c:v>
                </c:pt>
                <c:pt idx="6">
                  <c:v>892</c:v>
                </c:pt>
                <c:pt idx="7">
                  <c:v>725</c:v>
                </c:pt>
                <c:pt idx="8">
                  <c:v>814</c:v>
                </c:pt>
                <c:pt idx="9">
                  <c:v>999</c:v>
                </c:pt>
                <c:pt idx="10">
                  <c:v>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C-4742-B2E9-B58D3EB2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889711"/>
        <c:axId val="1078222063"/>
      </c:scatterChart>
      <c:valAx>
        <c:axId val="1018889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222063"/>
        <c:crosses val="autoZero"/>
        <c:crossBetween val="midCat"/>
      </c:valAx>
      <c:valAx>
        <c:axId val="107822206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88971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</a:t>
            </a:r>
          </a:p>
          <a:p>
            <a:pPr>
              <a:defRPr/>
            </a:pPr>
            <a:r>
              <a:rPr lang="en-US" baseline="0"/>
              <a:t>Forecast Leads Email by Month</a:t>
            </a:r>
            <a:endParaRPr lang="en-US"/>
          </a:p>
        </c:rich>
      </c:tx>
      <c:layout>
        <c:manualLayout>
          <c:xMode val="edge"/>
          <c:yMode val="edge"/>
          <c:x val="0.3082430008748905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52126377952755909"/>
                  <c:y val="4.546296296296296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6.6545x + 4.8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0.6929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'Study forecast emails'!$B$26:$B$36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'Study forecast emails'!$C$26:$C$36</c:f>
              <c:numCache>
                <c:formatCode>0</c:formatCode>
                <c:ptCount val="11"/>
                <c:pt idx="0">
                  <c:v>19</c:v>
                </c:pt>
                <c:pt idx="1">
                  <c:v>24</c:v>
                </c:pt>
                <c:pt idx="2">
                  <c:v>23</c:v>
                </c:pt>
                <c:pt idx="3">
                  <c:v>30</c:v>
                </c:pt>
                <c:pt idx="4">
                  <c:v>37</c:v>
                </c:pt>
                <c:pt idx="5">
                  <c:v>12</c:v>
                </c:pt>
                <c:pt idx="6">
                  <c:v>61</c:v>
                </c:pt>
                <c:pt idx="7">
                  <c:v>68</c:v>
                </c:pt>
                <c:pt idx="8">
                  <c:v>74</c:v>
                </c:pt>
                <c:pt idx="9">
                  <c:v>50</c:v>
                </c:pt>
                <c:pt idx="1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45-4B6A-B295-979E753A4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75632"/>
        <c:axId val="1452374384"/>
      </c:scatterChart>
      <c:valAx>
        <c:axId val="145237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4384"/>
        <c:crosses val="autoZero"/>
        <c:crossBetween val="midCat"/>
      </c:valAx>
      <c:valAx>
        <c:axId val="1452374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114300</xdr:rowOff>
    </xdr:from>
    <xdr:to>
      <xdr:col>2</xdr:col>
      <xdr:colOff>19050</xdr:colOff>
      <xdr:row>3</xdr:row>
      <xdr:rowOff>104775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4295E24-CA26-0FA7-9617-F818394AFAB1}"/>
            </a:ext>
          </a:extLst>
        </xdr:cNvPr>
        <xdr:cNvGrpSpPr/>
      </xdr:nvGrpSpPr>
      <xdr:grpSpPr>
        <a:xfrm>
          <a:off x="390526" y="114300"/>
          <a:ext cx="2162174" cy="561975"/>
          <a:chOff x="390526" y="114300"/>
          <a:chExt cx="2162174" cy="561975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77B04227-8716-F895-5083-DB1B9EA73811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ECDFDC5-9FA6-C357-54B7-E8C543B68C63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142875</xdr:rowOff>
    </xdr:from>
    <xdr:to>
      <xdr:col>10</xdr:col>
      <xdr:colOff>485774</xdr:colOff>
      <xdr:row>3</xdr:row>
      <xdr:rowOff>133350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58AD3E8-5581-4F42-A1EC-F677FCEC7758}"/>
            </a:ext>
          </a:extLst>
        </xdr:cNvPr>
        <xdr:cNvGrpSpPr/>
      </xdr:nvGrpSpPr>
      <xdr:grpSpPr>
        <a:xfrm>
          <a:off x="352425" y="142875"/>
          <a:ext cx="2162174" cy="561975"/>
          <a:chOff x="390526" y="114300"/>
          <a:chExt cx="2162174" cy="561975"/>
        </a:xfrm>
      </xdr:grpSpPr>
      <xdr:sp macro="" textlink="">
        <xdr:nvSpPr>
          <xdr:cNvPr id="7" name="Arrow: Left 6">
            <a:extLst>
              <a:ext uri="{FF2B5EF4-FFF2-40B4-BE49-F238E27FC236}">
                <a16:creationId xmlns:a16="http://schemas.microsoft.com/office/drawing/2014/main" id="{F13BE3F3-FFD2-19C2-B554-8456D000810F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DA5A22E-910F-71AE-3A7C-A3E2D417DDF0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34</xdr:row>
      <xdr:rowOff>90487</xdr:rowOff>
    </xdr:from>
    <xdr:to>
      <xdr:col>18</xdr:col>
      <xdr:colOff>0</xdr:colOff>
      <xdr:row>48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BA1E10-82C8-377D-D6D2-E82FEA6A6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142875</xdr:rowOff>
    </xdr:from>
    <xdr:to>
      <xdr:col>11</xdr:col>
      <xdr:colOff>342899</xdr:colOff>
      <xdr:row>3</xdr:row>
      <xdr:rowOff>133350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1457F62-B16A-4186-8583-19ECDA7C3921}"/>
            </a:ext>
          </a:extLst>
        </xdr:cNvPr>
        <xdr:cNvGrpSpPr/>
      </xdr:nvGrpSpPr>
      <xdr:grpSpPr>
        <a:xfrm>
          <a:off x="304800" y="142875"/>
          <a:ext cx="2162174" cy="561975"/>
          <a:chOff x="390526" y="114300"/>
          <a:chExt cx="2162174" cy="561975"/>
        </a:xfrm>
      </xdr:grpSpPr>
      <xdr:sp macro="" textlink="">
        <xdr:nvSpPr>
          <xdr:cNvPr id="6" name="Arrow: Left 5">
            <a:extLst>
              <a:ext uri="{FF2B5EF4-FFF2-40B4-BE49-F238E27FC236}">
                <a16:creationId xmlns:a16="http://schemas.microsoft.com/office/drawing/2014/main" id="{887E6881-D585-C359-880D-EAD87729B74C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FB9BCB0-2EFB-E5A2-D1A4-62DCEF81FBD2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238124</xdr:colOff>
      <xdr:row>3</xdr:row>
      <xdr:rowOff>180975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D50438E-8A2C-48B9-ACD9-24F074FA81EC}"/>
            </a:ext>
          </a:extLst>
        </xdr:cNvPr>
        <xdr:cNvGrpSpPr/>
      </xdr:nvGrpSpPr>
      <xdr:grpSpPr>
        <a:xfrm>
          <a:off x="381000" y="190500"/>
          <a:ext cx="2162174" cy="561975"/>
          <a:chOff x="390526" y="114300"/>
          <a:chExt cx="2162174" cy="561975"/>
        </a:xfrm>
      </xdr:grpSpPr>
      <xdr:sp macro="" textlink="">
        <xdr:nvSpPr>
          <xdr:cNvPr id="6" name="Arrow: Left 5">
            <a:extLst>
              <a:ext uri="{FF2B5EF4-FFF2-40B4-BE49-F238E27FC236}">
                <a16:creationId xmlns:a16="http://schemas.microsoft.com/office/drawing/2014/main" id="{94674A7F-C28A-E14D-6BFB-EF6ABC1EA84E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06B054B-F32B-2D37-6B84-98488CF0D583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</xdr:row>
      <xdr:rowOff>47625</xdr:rowOff>
    </xdr:from>
    <xdr:to>
      <xdr:col>13</xdr:col>
      <xdr:colOff>485775</xdr:colOff>
      <xdr:row>25</xdr:row>
      <xdr:rowOff>95252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71C4D6-5AD5-4333-B4E6-4BEA4D151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295275</xdr:colOff>
      <xdr:row>31</xdr:row>
      <xdr:rowOff>95250</xdr:rowOff>
    </xdr:from>
    <xdr:to>
      <xdr:col>13</xdr:col>
      <xdr:colOff>552450</xdr:colOff>
      <xdr:row>54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A20E63-46CB-44DE-97C2-2D79DC2FA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228600</xdr:colOff>
      <xdr:row>0</xdr:row>
      <xdr:rowOff>152400</xdr:rowOff>
    </xdr:from>
    <xdr:to>
      <xdr:col>19</xdr:col>
      <xdr:colOff>561974</xdr:colOff>
      <xdr:row>3</xdr:row>
      <xdr:rowOff>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EC8650-DBE2-4E7F-9438-B27BBD0581F3}"/>
            </a:ext>
          </a:extLst>
        </xdr:cNvPr>
        <xdr:cNvGrpSpPr/>
      </xdr:nvGrpSpPr>
      <xdr:grpSpPr>
        <a:xfrm>
          <a:off x="9982200" y="152400"/>
          <a:ext cx="2162174" cy="561975"/>
          <a:chOff x="390526" y="114300"/>
          <a:chExt cx="2162174" cy="561975"/>
        </a:xfrm>
      </xdr:grpSpPr>
      <xdr:sp macro="" textlink="">
        <xdr:nvSpPr>
          <xdr:cNvPr id="5" name="Arrow: Left 4">
            <a:extLst>
              <a:ext uri="{FF2B5EF4-FFF2-40B4-BE49-F238E27FC236}">
                <a16:creationId xmlns:a16="http://schemas.microsoft.com/office/drawing/2014/main" id="{989ABEFC-9242-7CAD-62EE-FADA468A273C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E424E3F-D3A1-42CB-521D-3B80CE859531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  <xdr:twoCellAnchor>
    <xdr:from>
      <xdr:col>16</xdr:col>
      <xdr:colOff>361950</xdr:colOff>
      <xdr:row>30</xdr:row>
      <xdr:rowOff>76200</xdr:rowOff>
    </xdr:from>
    <xdr:to>
      <xdr:col>20</xdr:col>
      <xdr:colOff>85724</xdr:colOff>
      <xdr:row>33</xdr:row>
      <xdr:rowOff>66675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834DFE7-D939-4CC6-9AE7-5AAD12D2738B}"/>
            </a:ext>
          </a:extLst>
        </xdr:cNvPr>
        <xdr:cNvGrpSpPr/>
      </xdr:nvGrpSpPr>
      <xdr:grpSpPr>
        <a:xfrm>
          <a:off x="10115550" y="5934075"/>
          <a:ext cx="2162174" cy="561975"/>
          <a:chOff x="390526" y="114300"/>
          <a:chExt cx="2162174" cy="561975"/>
        </a:xfrm>
      </xdr:grpSpPr>
      <xdr:sp macro="" textlink="">
        <xdr:nvSpPr>
          <xdr:cNvPr id="8" name="Arrow: Left 7">
            <a:extLst>
              <a:ext uri="{FF2B5EF4-FFF2-40B4-BE49-F238E27FC236}">
                <a16:creationId xmlns:a16="http://schemas.microsoft.com/office/drawing/2014/main" id="{59E05166-5B97-4E42-F237-337FA5D5DC41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9D1054B5-8B91-42C4-38BC-D0E3FB535770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0.14049</cdr:x>
      <cdr:y>0.28882</cdr:y>
    </cdr:from>
    <cdr:to>
      <cdr:x>0.30794</cdr:x>
      <cdr:y>0.36942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960C24E-7701-DA54-A956-0958D29B0C52}"/>
            </a:ext>
          </a:extLst>
        </cdr:cNvPr>
        <cdr:cNvSpPr txBox="1"/>
      </cdr:nvSpPr>
      <cdr:spPr>
        <a:xfrm xmlns:a="http://schemas.openxmlformats.org/drawingml/2006/main">
          <a:off x="1141457" y="1320486"/>
          <a:ext cx="1360502" cy="368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Historical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data</a:t>
          </a:r>
        </a:p>
      </cdr:txBody>
    </cdr:sp>
  </cdr:relSizeAnchor>
  <cdr:relSizeAnchor xmlns:cdr="http://schemas.openxmlformats.org/drawingml/2006/chartDrawing">
    <cdr:from>
      <cdr:x>0.2944</cdr:x>
      <cdr:y>0.29181</cdr:y>
    </cdr:from>
    <cdr:to>
      <cdr:x>0.46184</cdr:x>
      <cdr:y>0.37241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1645B1E-A3D0-D97A-6463-B63E062CF6DB}"/>
            </a:ext>
          </a:extLst>
        </cdr:cNvPr>
        <cdr:cNvSpPr txBox="1"/>
      </cdr:nvSpPr>
      <cdr:spPr>
        <a:xfrm xmlns:a="http://schemas.openxmlformats.org/drawingml/2006/main">
          <a:off x="2408747" y="1292449"/>
          <a:ext cx="1370049" cy="357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0.26348</cdr:x>
      <cdr:y>0.22688</cdr:y>
    </cdr:from>
    <cdr:to>
      <cdr:x>0.26582</cdr:x>
      <cdr:y>0.87172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F8E01A41-5882-8657-2AA6-B06A26DA481E}"/>
            </a:ext>
          </a:extLst>
        </cdr:cNvPr>
        <cdr:cNvCxnSpPr/>
      </cdr:nvCxnSpPr>
      <cdr:spPr>
        <a:xfrm xmlns:a="http://schemas.openxmlformats.org/drawingml/2006/main" flipH="1">
          <a:off x="2140726" y="1037311"/>
          <a:ext cx="19012" cy="294821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1">
              <a:lumMod val="50000"/>
              <a:alpha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0.60492</cdr:x>
      <cdr:y>0.41296</cdr:y>
    </cdr:from>
    <cdr:to>
      <cdr:x>1</cdr:x>
      <cdr:y>0.68334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37C79D51-C9F1-A21D-A1EE-1D26BB124BEA}"/>
            </a:ext>
          </a:extLst>
        </cdr:cNvPr>
        <cdr:cNvSpPr txBox="1"/>
      </cdr:nvSpPr>
      <cdr:spPr>
        <a:xfrm xmlns:a="http://schemas.openxmlformats.org/drawingml/2006/main">
          <a:off x="4914869" y="1888039"/>
          <a:ext cx="3209956" cy="12361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 b="0">
              <a:solidFill>
                <a:schemeClr val="accent1">
                  <a:lumMod val="75000"/>
                </a:schemeClr>
              </a:solidFill>
            </a:rPr>
            <a:t>The number of leads from paid marketing will continue to grow due to the increase</a:t>
          </a:r>
          <a:r>
            <a:rPr lang="en-US" sz="900" b="0" baseline="0">
              <a:solidFill>
                <a:schemeClr val="accent1">
                  <a:lumMod val="75000"/>
                </a:schemeClr>
              </a:solidFill>
            </a:rPr>
            <a:t> in investment.</a:t>
          </a: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Google Search</a:t>
          </a:r>
          <a:r>
            <a:rPr lang="en-US" sz="900" b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will continue to be our champion channel, being responsable for more than 90% of our paid leads.</a:t>
          </a: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0" baseline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 order to get more leads from Google Display and Facebook, the company should investment more on these two channels.</a:t>
          </a:r>
          <a:endParaRPr lang="en-US" sz="900" b="0">
            <a:solidFill>
              <a:schemeClr val="accent1">
                <a:lumMod val="75000"/>
              </a:schemeClr>
            </a:solidFill>
            <a:effectLst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solidFill>
              <a:schemeClr val="accent1">
                <a:lumMod val="75000"/>
              </a:schemeClr>
            </a:solidFill>
            <a:effectLst/>
          </a:endParaRPr>
        </a:p>
        <a:p xmlns:a="http://schemas.openxmlformats.org/drawingml/2006/main">
          <a:pPr algn="l"/>
          <a:endParaRPr lang="en-US" sz="900" b="0" baseline="0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0.1168</cdr:x>
      <cdr:y>0.21505</cdr:y>
    </cdr:from>
    <cdr:to>
      <cdr:x>0.46119</cdr:x>
      <cdr:y>0.87782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BD993D74-1327-F86F-B91A-ADA412709E31}"/>
            </a:ext>
          </a:extLst>
        </cdr:cNvPr>
        <cdr:cNvGrpSpPr/>
      </cdr:nvGrpSpPr>
      <cdr:grpSpPr>
        <a:xfrm xmlns:a="http://schemas.openxmlformats.org/drawingml/2006/main">
          <a:off x="955655" y="952483"/>
          <a:ext cx="2817790" cy="2935492"/>
          <a:chOff x="955639" y="952500"/>
          <a:chExt cx="2817805" cy="2935475"/>
        </a:xfrm>
      </cdr:grpSpPr>
      <cdr:cxnSp macro="">
        <cdr:nvCxnSpPr>
          <cdr:cNvPr id="2" name="Straight Connector 1">
            <a:extLst xmlns:a="http://schemas.openxmlformats.org/drawingml/2006/main">
              <a:ext uri="{FF2B5EF4-FFF2-40B4-BE49-F238E27FC236}">
                <a16:creationId xmlns:a16="http://schemas.microsoft.com/office/drawing/2014/main" id="{8692B914-CF8A-612B-CCB6-8A1AA3790C1C}"/>
              </a:ext>
            </a:extLst>
          </cdr:cNvPr>
          <cdr:cNvCxnSpPr/>
        </cdr:nvCxnSpPr>
        <cdr:spPr>
          <a:xfrm xmlns:a="http://schemas.openxmlformats.org/drawingml/2006/main">
            <a:off x="2133600" y="952500"/>
            <a:ext cx="3169" cy="2935475"/>
          </a:xfrm>
          <a:prstGeom xmlns:a="http://schemas.openxmlformats.org/drawingml/2006/main" prst="line">
            <a:avLst/>
          </a:prstGeom>
          <a:ln xmlns:a="http://schemas.openxmlformats.org/drawingml/2006/main" w="28575">
            <a:solidFill>
              <a:schemeClr val="accent1">
                <a:lumMod val="50000"/>
                <a:alpha val="50000"/>
              </a:schemeClr>
            </a:solidFill>
            <a:prstDash val="sys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3" name="TextBox 1">
            <a:extLst xmlns:a="http://schemas.openxmlformats.org/drawingml/2006/main">
              <a:ext uri="{FF2B5EF4-FFF2-40B4-BE49-F238E27FC236}">
                <a16:creationId xmlns:a16="http://schemas.microsoft.com/office/drawing/2014/main" id="{1EB331A0-6D01-C363-3EAE-EC83A5B853EB}"/>
              </a:ext>
            </a:extLst>
          </cdr:cNvPr>
          <cdr:cNvSpPr txBox="1"/>
        </cdr:nvSpPr>
        <cdr:spPr>
          <a:xfrm xmlns:a="http://schemas.openxmlformats.org/drawingml/2006/main">
            <a:off x="955639" y="1060465"/>
            <a:ext cx="1370072" cy="35698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100" b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Historical</a:t>
            </a:r>
            <a:r>
              <a:rPr lang="en-US" sz="1100" b="1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100" b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data</a:t>
            </a:r>
          </a:p>
        </cdr:txBody>
      </cdr:sp>
      <cdr:sp macro="" textlink="">
        <cdr:nvSpPr>
          <cdr:cNvPr id="4" name="TextBox 1">
            <a:extLst xmlns:a="http://schemas.openxmlformats.org/drawingml/2006/main">
              <a:ext uri="{FF2B5EF4-FFF2-40B4-BE49-F238E27FC236}">
                <a16:creationId xmlns:a16="http://schemas.microsoft.com/office/drawing/2014/main" id="{325AC262-4BBE-144A-2772-8EFBAB066672}"/>
              </a:ext>
            </a:extLst>
          </cdr:cNvPr>
          <cdr:cNvSpPr txBox="1"/>
        </cdr:nvSpPr>
        <cdr:spPr>
          <a:xfrm xmlns:a="http://schemas.openxmlformats.org/drawingml/2006/main">
            <a:off x="2403454" y="1069988"/>
            <a:ext cx="1369990" cy="35698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100" b="1">
                <a:solidFill>
                  <a:schemeClr val="accent1">
                    <a:lumMod val="50000"/>
                  </a:schemeClr>
                </a:solidFill>
              </a:rPr>
              <a:t>Forecast</a:t>
            </a:r>
          </a:p>
        </cdr:txBody>
      </cdr:sp>
    </cdr:grpSp>
  </cdr:relSizeAnchor>
  <cdr:relSizeAnchor xmlns:cdr="http://schemas.openxmlformats.org/drawingml/2006/chartDrawing">
    <cdr:from>
      <cdr:x>0.30268</cdr:x>
      <cdr:y>0.07814</cdr:y>
    </cdr:from>
    <cdr:to>
      <cdr:x>0.70477</cdr:x>
      <cdr:y>0.17301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2192191-96BF-1FF6-236B-704F05A722D8}"/>
            </a:ext>
          </a:extLst>
        </cdr:cNvPr>
        <cdr:cNvSpPr txBox="1"/>
      </cdr:nvSpPr>
      <cdr:spPr>
        <a:xfrm xmlns:a="http://schemas.openxmlformats.org/drawingml/2006/main">
          <a:off x="2476500" y="346075"/>
          <a:ext cx="3289942" cy="4201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 b="0">
              <a:solidFill>
                <a:schemeClr val="accent1">
                  <a:lumMod val="75000"/>
                </a:schemeClr>
              </a:solidFill>
            </a:rPr>
            <a:t>The investment</a:t>
          </a:r>
          <a:r>
            <a:rPr lang="en-US" sz="900" b="0" baseline="0">
              <a:solidFill>
                <a:schemeClr val="accent1">
                  <a:lumMod val="75000"/>
                </a:schemeClr>
              </a:solidFill>
            </a:rPr>
            <a:t> in paid media is increasing, with Search representing more than 90% of the costs.</a:t>
          </a:r>
          <a:endParaRPr lang="en-US" sz="900" b="0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</xdr:row>
      <xdr:rowOff>0</xdr:rowOff>
    </xdr:from>
    <xdr:to>
      <xdr:col>13</xdr:col>
      <xdr:colOff>552450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037C9-A62F-4F17-91C9-6A50C6107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5</xdr:row>
      <xdr:rowOff>0</xdr:rowOff>
    </xdr:from>
    <xdr:to>
      <xdr:col>9</xdr:col>
      <xdr:colOff>542925</xdr:colOff>
      <xdr:row>7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184929-4B1E-3519-315A-A54FA869A1C4}"/>
            </a:ext>
          </a:extLst>
        </xdr:cNvPr>
        <xdr:cNvSpPr txBox="1"/>
      </xdr:nvSpPr>
      <xdr:spPr>
        <a:xfrm>
          <a:off x="3057525" y="952500"/>
          <a:ext cx="2971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 baseline="0">
              <a:solidFill>
                <a:srgbClr val="0070C0"/>
              </a:solidFill>
            </a:rPr>
            <a:t>The number organic leads is going to continue to grow due to the growth of the company.</a:t>
          </a:r>
          <a:endParaRPr 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295275</xdr:colOff>
      <xdr:row>11</xdr:row>
      <xdr:rowOff>57150</xdr:rowOff>
    </xdr:from>
    <xdr:to>
      <xdr:col>5</xdr:col>
      <xdr:colOff>508929</xdr:colOff>
      <xdr:row>23</xdr:row>
      <xdr:rowOff>38100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1080D6A-A39C-4F9A-B2CD-BA56AC996287}"/>
            </a:ext>
          </a:extLst>
        </xdr:cNvPr>
        <xdr:cNvGrpSpPr/>
      </xdr:nvGrpSpPr>
      <xdr:grpSpPr>
        <a:xfrm>
          <a:off x="1514475" y="2047875"/>
          <a:ext cx="2042454" cy="2266950"/>
          <a:chOff x="1571625" y="5143500"/>
          <a:chExt cx="2042454" cy="2266950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CCCA2B0-23DD-C6CD-9421-910CE508C907}"/>
              </a:ext>
            </a:extLst>
          </xdr:cNvPr>
          <xdr:cNvCxnSpPr/>
        </xdr:nvCxnSpPr>
        <xdr:spPr>
          <a:xfrm>
            <a:off x="2743200" y="5143500"/>
            <a:ext cx="0" cy="2266950"/>
          </a:xfrm>
          <a:prstGeom prst="line">
            <a:avLst/>
          </a:prstGeom>
          <a:ln w="28575">
            <a:solidFill>
              <a:schemeClr val="accent5">
                <a:lumMod val="75000"/>
                <a:alpha val="50000"/>
              </a:schemeClr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C68BA6A-31CA-33A9-3B9D-F3F8EE26B7C2}"/>
              </a:ext>
            </a:extLst>
          </xdr:cNvPr>
          <xdr:cNvSpPr txBox="1"/>
        </xdr:nvSpPr>
        <xdr:spPr>
          <a:xfrm>
            <a:off x="1571625" y="5210175"/>
            <a:ext cx="10332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>
                <a:solidFill>
                  <a:schemeClr val="accent1">
                    <a:lumMod val="50000"/>
                  </a:schemeClr>
                </a:solidFill>
              </a:rPr>
              <a:t>Historical data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20105B9-7936-D292-6520-A77C768AB3B6}"/>
              </a:ext>
            </a:extLst>
          </xdr:cNvPr>
          <xdr:cNvSpPr txBox="1"/>
        </xdr:nvSpPr>
        <xdr:spPr>
          <a:xfrm>
            <a:off x="2933700" y="5200650"/>
            <a:ext cx="68037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>
                <a:solidFill>
                  <a:schemeClr val="accent1">
                    <a:lumMod val="50000"/>
                  </a:schemeClr>
                </a:solidFill>
              </a:rPr>
              <a:t>Forecast</a:t>
            </a:r>
          </a:p>
        </xdr:txBody>
      </xdr:sp>
    </xdr:grpSp>
    <xdr:clientData/>
  </xdr:twoCellAnchor>
  <xdr:twoCellAnchor>
    <xdr:from>
      <xdr:col>0</xdr:col>
      <xdr:colOff>314325</xdr:colOff>
      <xdr:row>32</xdr:row>
      <xdr:rowOff>161925</xdr:rowOff>
    </xdr:from>
    <xdr:to>
      <xdr:col>13</xdr:col>
      <xdr:colOff>561975</xdr:colOff>
      <xdr:row>56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DD1B6C-48CC-4E9B-88FE-E11FBA732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504824</xdr:colOff>
      <xdr:row>39</xdr:row>
      <xdr:rowOff>28575</xdr:rowOff>
    </xdr:from>
    <xdr:to>
      <xdr:col>5</xdr:col>
      <xdr:colOff>314325</xdr:colOff>
      <xdr:row>43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463B2A5-1EF9-D457-ADFD-7B6BBF3F7415}"/>
            </a:ext>
          </a:extLst>
        </xdr:cNvPr>
        <xdr:cNvSpPr txBox="1"/>
      </xdr:nvSpPr>
      <xdr:spPr>
        <a:xfrm>
          <a:off x="504824" y="7458075"/>
          <a:ext cx="2857501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 baseline="0">
              <a:solidFill>
                <a:srgbClr val="0070C0"/>
              </a:solidFill>
            </a:rPr>
            <a:t>The number of direct_traffic and organic leads increased significantly from 2017-12 and beyond, it would be interesting to study the events that promoted this growth.</a:t>
          </a:r>
          <a:endParaRPr 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295275</xdr:colOff>
      <xdr:row>1</xdr:row>
      <xdr:rowOff>0</xdr:rowOff>
    </xdr:from>
    <xdr:to>
      <xdr:col>20</xdr:col>
      <xdr:colOff>19049</xdr:colOff>
      <xdr:row>3</xdr:row>
      <xdr:rowOff>180975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8BCAE47-FEEC-4A20-871F-50ED05C901FF}"/>
            </a:ext>
          </a:extLst>
        </xdr:cNvPr>
        <xdr:cNvGrpSpPr/>
      </xdr:nvGrpSpPr>
      <xdr:grpSpPr>
        <a:xfrm>
          <a:off x="10048875" y="85725"/>
          <a:ext cx="2162174" cy="561975"/>
          <a:chOff x="390526" y="114300"/>
          <a:chExt cx="2162174" cy="561975"/>
        </a:xfrm>
      </xdr:grpSpPr>
      <xdr:sp macro="" textlink="">
        <xdr:nvSpPr>
          <xdr:cNvPr id="11" name="Arrow: Left 10">
            <a:extLst>
              <a:ext uri="{FF2B5EF4-FFF2-40B4-BE49-F238E27FC236}">
                <a16:creationId xmlns:a16="http://schemas.microsoft.com/office/drawing/2014/main" id="{A6B44FC5-0CDF-1C6E-8023-A8FCF070C6C2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TextBox 11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759D09C-95EB-68CB-073D-0A3BEA6AB523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  <xdr:twoCellAnchor>
    <xdr:from>
      <xdr:col>16</xdr:col>
      <xdr:colOff>333375</xdr:colOff>
      <xdr:row>30</xdr:row>
      <xdr:rowOff>180975</xdr:rowOff>
    </xdr:from>
    <xdr:to>
      <xdr:col>20</xdr:col>
      <xdr:colOff>57149</xdr:colOff>
      <xdr:row>33</xdr:row>
      <xdr:rowOff>171450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4557303-B3CE-4DD7-BAE9-693542F05C47}"/>
            </a:ext>
          </a:extLst>
        </xdr:cNvPr>
        <xdr:cNvGrpSpPr/>
      </xdr:nvGrpSpPr>
      <xdr:grpSpPr>
        <a:xfrm>
          <a:off x="10086975" y="5791200"/>
          <a:ext cx="2162174" cy="561975"/>
          <a:chOff x="390526" y="114300"/>
          <a:chExt cx="2162174" cy="561975"/>
        </a:xfrm>
      </xdr:grpSpPr>
      <xdr:sp macro="" textlink="">
        <xdr:nvSpPr>
          <xdr:cNvPr id="17" name="Arrow: Left 16">
            <a:extLst>
              <a:ext uri="{FF2B5EF4-FFF2-40B4-BE49-F238E27FC236}">
                <a16:creationId xmlns:a16="http://schemas.microsoft.com/office/drawing/2014/main" id="{B18A3AEB-D1C2-8946-1DFB-5AC8622110AC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TextBox 17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740D508-681A-8D58-79B2-912E4B5AF062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28575</xdr:rowOff>
    </xdr:from>
    <xdr:to>
      <xdr:col>14</xdr:col>
      <xdr:colOff>19050</xdr:colOff>
      <xdr:row>26</xdr:row>
      <xdr:rowOff>76200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555AA34-300F-83E7-C314-3C8268522DAF}"/>
            </a:ext>
          </a:extLst>
        </xdr:cNvPr>
        <xdr:cNvGrpSpPr/>
      </xdr:nvGrpSpPr>
      <xdr:grpSpPr>
        <a:xfrm>
          <a:off x="371475" y="485775"/>
          <a:ext cx="8181975" cy="4429125"/>
          <a:chOff x="228600" y="581025"/>
          <a:chExt cx="8181975" cy="442912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736A8F0C-4556-459E-BB56-02D2638666AB}"/>
              </a:ext>
            </a:extLst>
          </xdr:cNvPr>
          <xdr:cNvGraphicFramePr>
            <a:graphicFrameLocks/>
          </xdr:cNvGraphicFramePr>
        </xdr:nvGraphicFramePr>
        <xdr:xfrm>
          <a:off x="228600" y="581025"/>
          <a:ext cx="8181975" cy="44291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EA9EBFE-D4EB-45DB-B35C-70960F2B3504}"/>
              </a:ext>
            </a:extLst>
          </xdr:cNvPr>
          <xdr:cNvGrpSpPr/>
        </xdr:nvGrpSpPr>
        <xdr:grpSpPr>
          <a:xfrm>
            <a:off x="1152525" y="1724025"/>
            <a:ext cx="2213904" cy="2667000"/>
            <a:chOff x="1333500" y="5143500"/>
            <a:chExt cx="2213904" cy="2266950"/>
          </a:xfrm>
        </xdr:grpSpPr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7011EE9-8124-F975-6184-E71F5730B6E0}"/>
                </a:ext>
              </a:extLst>
            </xdr:cNvPr>
            <xdr:cNvCxnSpPr/>
          </xdr:nvCxnSpPr>
          <xdr:spPr>
            <a:xfrm>
              <a:off x="2581275" y="5143500"/>
              <a:ext cx="0" cy="2266950"/>
            </a:xfrm>
            <a:prstGeom prst="line">
              <a:avLst/>
            </a:prstGeom>
            <a:ln w="28575">
              <a:solidFill>
                <a:schemeClr val="accent5">
                  <a:lumMod val="75000"/>
                  <a:alpha val="50000"/>
                </a:schemeClr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15EEA5C-F8C0-8102-C5FC-B71F2D89B9F2}"/>
                </a:ext>
              </a:extLst>
            </xdr:cNvPr>
            <xdr:cNvSpPr txBox="1"/>
          </xdr:nvSpPr>
          <xdr:spPr>
            <a:xfrm>
              <a:off x="1333500" y="5218271"/>
              <a:ext cx="103323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chemeClr val="accent1">
                      <a:lumMod val="50000"/>
                    </a:schemeClr>
                  </a:solidFill>
                </a:rPr>
                <a:t>Historical data</a:t>
              </a: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C685801-EC22-1F80-C468-C4DEEB3562F2}"/>
                </a:ext>
              </a:extLst>
            </xdr:cNvPr>
            <xdr:cNvSpPr txBox="1"/>
          </xdr:nvSpPr>
          <xdr:spPr>
            <a:xfrm>
              <a:off x="2867025" y="5224939"/>
              <a:ext cx="6803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chemeClr val="accent1">
                      <a:lumMod val="50000"/>
                    </a:schemeClr>
                  </a:solidFill>
                </a:rPr>
                <a:t>Forecast</a:t>
              </a:r>
            </a:p>
          </xdr:txBody>
        </xdr:sp>
      </xdr:grpSp>
    </xdr:grpSp>
    <xdr:clientData/>
  </xdr:twoCellAnchor>
  <xdr:twoCellAnchor>
    <xdr:from>
      <xdr:col>16</xdr:col>
      <xdr:colOff>257175</xdr:colOff>
      <xdr:row>1</xdr:row>
      <xdr:rowOff>47625</xdr:rowOff>
    </xdr:from>
    <xdr:to>
      <xdr:col>19</xdr:col>
      <xdr:colOff>590549</xdr:colOff>
      <xdr:row>4</xdr:row>
      <xdr:rowOff>28575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A4C09C0-847B-4507-ADA2-8E4B61F66B51}"/>
            </a:ext>
          </a:extLst>
        </xdr:cNvPr>
        <xdr:cNvGrpSpPr/>
      </xdr:nvGrpSpPr>
      <xdr:grpSpPr>
        <a:xfrm>
          <a:off x="10010775" y="123825"/>
          <a:ext cx="2162174" cy="552450"/>
          <a:chOff x="390526" y="114300"/>
          <a:chExt cx="2162174" cy="561975"/>
        </a:xfrm>
      </xdr:grpSpPr>
      <xdr:sp macro="" textlink="">
        <xdr:nvSpPr>
          <xdr:cNvPr id="10" name="Arrow: Left 9">
            <a:extLst>
              <a:ext uri="{FF2B5EF4-FFF2-40B4-BE49-F238E27FC236}">
                <a16:creationId xmlns:a16="http://schemas.microsoft.com/office/drawing/2014/main" id="{011FC2CA-C26C-B605-E335-78508BC072BB}"/>
              </a:ext>
            </a:extLst>
          </xdr:cNvPr>
          <xdr:cNvSpPr/>
        </xdr:nvSpPr>
        <xdr:spPr>
          <a:xfrm>
            <a:off x="390526" y="114300"/>
            <a:ext cx="1409700" cy="4095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5DEB7CD-508F-BF27-BCE0-5CDEC3CFB08B}"/>
              </a:ext>
            </a:extLst>
          </xdr:cNvPr>
          <xdr:cNvSpPr txBox="1"/>
        </xdr:nvSpPr>
        <xdr:spPr>
          <a:xfrm>
            <a:off x="523875" y="180975"/>
            <a:ext cx="20288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1"/>
                </a:solidFill>
              </a:rPr>
              <a:t>GO BACK TO HOME</a:t>
            </a:r>
          </a:p>
        </xdr:txBody>
      </xdr:sp>
    </xdr:grpSp>
    <xdr:clientData/>
  </xdr:twoCellAnchor>
  <xdr:twoCellAnchor>
    <xdr:from>
      <xdr:col>4</xdr:col>
      <xdr:colOff>38100</xdr:colOff>
      <xdr:row>4</xdr:row>
      <xdr:rowOff>161926</xdr:rowOff>
    </xdr:from>
    <xdr:to>
      <xdr:col>10</xdr:col>
      <xdr:colOff>533399</xdr:colOff>
      <xdr:row>7</xdr:row>
      <xdr:rowOff>161926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86BA277-0436-9C9D-4E63-8FA5D11A621B}"/>
            </a:ext>
          </a:extLst>
        </xdr:cNvPr>
        <xdr:cNvSpPr txBox="1"/>
      </xdr:nvSpPr>
      <xdr:spPr>
        <a:xfrm>
          <a:off x="2476500" y="1114426"/>
          <a:ext cx="4152899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solidFill>
                <a:schemeClr val="accent1">
                  <a:lumMod val="75000"/>
                </a:schemeClr>
              </a:solidFill>
            </a:rPr>
            <a:t>The number of sales</a:t>
          </a:r>
          <a:r>
            <a:rPr lang="en-US" sz="900" baseline="0">
              <a:solidFill>
                <a:schemeClr val="accent1">
                  <a:lumMod val="75000"/>
                </a:schemeClr>
              </a:solidFill>
            </a:rPr>
            <a:t> is going to keep growing, with the leads organic leads being responsable for about 80% of it. The company should continue to invest in organic campaings in order to maintain this growth.</a:t>
          </a:r>
          <a:endParaRPr lang="en-US" sz="9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333374</xdr:colOff>
      <xdr:row>18</xdr:row>
      <xdr:rowOff>19578</xdr:rowOff>
    </xdr:from>
    <xdr:to>
      <xdr:col>21</xdr:col>
      <xdr:colOff>28574</xdr:colOff>
      <xdr:row>32</xdr:row>
      <xdr:rowOff>165628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04E97-2D52-4981-840A-B9093CAD1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71437</xdr:rowOff>
    </xdr:from>
    <xdr:to>
      <xdr:col>19</xdr:col>
      <xdr:colOff>171450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438A7-9046-4AEE-A484-C58CB91C9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a.barbos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showGridLines="0"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29.85546875" customWidth="1"/>
    <col min="3" max="3" width="13.140625" customWidth="1"/>
    <col min="4" max="4" width="38.5703125" customWidth="1"/>
    <col min="5" max="5" width="2.42578125" customWidth="1"/>
    <col min="6" max="6" width="39.140625" customWidth="1"/>
  </cols>
  <sheetData>
    <row r="3" spans="2:9" ht="18" x14ac:dyDescent="0.25">
      <c r="B3" s="58" t="s">
        <v>96</v>
      </c>
      <c r="C3" s="87"/>
    </row>
    <row r="5" spans="2:9" x14ac:dyDescent="0.25">
      <c r="B5" s="56" t="s">
        <v>134</v>
      </c>
      <c r="C5" s="56" t="s">
        <v>97</v>
      </c>
      <c r="D5" s="38"/>
    </row>
    <row r="6" spans="2:9" x14ac:dyDescent="0.25">
      <c r="B6" s="56" t="s">
        <v>100</v>
      </c>
      <c r="C6" s="37" t="s">
        <v>101</v>
      </c>
      <c r="D6" s="38"/>
    </row>
    <row r="7" spans="2:9" x14ac:dyDescent="0.25">
      <c r="B7" s="56" t="s">
        <v>135</v>
      </c>
      <c r="C7" s="57">
        <v>44732</v>
      </c>
    </row>
    <row r="8" spans="2:9" ht="11.25" customHeight="1" x14ac:dyDescent="0.25">
      <c r="B8" s="38"/>
      <c r="C8" s="38"/>
      <c r="D8" s="38"/>
    </row>
    <row r="9" spans="2:9" x14ac:dyDescent="0.25">
      <c r="B9" s="56" t="s">
        <v>98</v>
      </c>
      <c r="C9" s="56"/>
      <c r="D9" s="38"/>
    </row>
    <row r="10" spans="2:9" x14ac:dyDescent="0.25">
      <c r="B10" s="39" t="s">
        <v>136</v>
      </c>
      <c r="C10" s="39"/>
      <c r="D10" s="38"/>
    </row>
    <row r="11" spans="2:9" x14ac:dyDescent="0.25">
      <c r="B11" s="39" t="s">
        <v>99</v>
      </c>
      <c r="C11" s="39"/>
      <c r="D11" s="38"/>
    </row>
    <row r="14" spans="2:9" ht="18" x14ac:dyDescent="0.25">
      <c r="B14" s="58" t="s">
        <v>112</v>
      </c>
      <c r="C14" s="87"/>
      <c r="D14" s="58" t="s">
        <v>133</v>
      </c>
      <c r="E14" s="88"/>
      <c r="F14" s="88"/>
      <c r="G14" s="80"/>
      <c r="H14" s="80"/>
      <c r="I14" s="80"/>
    </row>
    <row r="15" spans="2:9" ht="6" customHeight="1" x14ac:dyDescent="0.25">
      <c r="B15" s="55"/>
      <c r="C15" s="55"/>
    </row>
    <row r="16" spans="2:9" x14ac:dyDescent="0.25">
      <c r="B16" s="37" t="s">
        <v>102</v>
      </c>
      <c r="C16" s="37"/>
    </row>
    <row r="17" spans="2:6" ht="29.25" customHeight="1" x14ac:dyDescent="0.25">
      <c r="B17" s="37" t="s">
        <v>103</v>
      </c>
      <c r="C17" s="37"/>
      <c r="D17" s="37" t="s">
        <v>127</v>
      </c>
      <c r="F17" s="37" t="s">
        <v>128</v>
      </c>
    </row>
    <row r="18" spans="2:6" ht="29.25" customHeight="1" x14ac:dyDescent="0.25">
      <c r="B18" s="37" t="s">
        <v>104</v>
      </c>
      <c r="C18" s="37"/>
      <c r="D18" s="37" t="s">
        <v>129</v>
      </c>
      <c r="F18" s="37" t="s">
        <v>130</v>
      </c>
    </row>
    <row r="19" spans="2:6" ht="28.5" customHeight="1" x14ac:dyDescent="0.25">
      <c r="B19" s="37" t="s">
        <v>54</v>
      </c>
      <c r="C19" s="37"/>
      <c r="D19" s="37" t="s">
        <v>54</v>
      </c>
    </row>
    <row r="20" spans="2:6" ht="28.5" customHeight="1" x14ac:dyDescent="0.25"/>
  </sheetData>
  <hyperlinks>
    <hyperlink ref="B16" location="Assumptions!A1" display="Assumptions" xr:uid="{439BB7A7-112F-4D90-B21E-390E88171829}"/>
    <hyperlink ref="B17" location="'INPUTS Leads - Paid Traffic'!A1" display="Leads - Paid Traffic" xr:uid="{15AED3B2-839B-476F-8D36-91A296050305}"/>
    <hyperlink ref="B18" location="'INPUTS Leads - Organic Traffic'!A1" display="Leads - Organic Traffic" xr:uid="{9D44B305-E6FC-4BE9-86BB-AF5AB8B28CC9}"/>
    <hyperlink ref="B19" location="'OUTPUTS Sales Performace'!A1" display="Sales Performance" xr:uid="{7E68C027-4387-4718-932F-35C61186DDF8}"/>
    <hyperlink ref="D17" location="'Charts Paid Traffic'!A2" display="Evolution on the number of Paid Leads" xr:uid="{2CCF3B60-117B-41B2-A0EA-B435F17E2090}"/>
    <hyperlink ref="F17" location="'Charts Paid Traffic'!A58" display="Evolution of the investment in paid media" xr:uid="{7D0FE695-D0F6-4B20-9C02-AE0908448A67}"/>
    <hyperlink ref="D18" location="'Charts Organic Traffic'!A1" display="Evolution on the number of Organic Leads" xr:uid="{5C883658-EC7B-483E-B04B-2DE092E8D889}"/>
    <hyperlink ref="D19" location="'Charts Sales Performance'!A1" display="Sales Performance" xr:uid="{360D5C43-0FE4-4AED-9ECF-8282D53BA6C1}"/>
    <hyperlink ref="C6" r:id="rId1" xr:uid="{20CE6721-D550-4E5F-9840-E7CA7739B0F3}"/>
    <hyperlink ref="F18" location="'Charts Organic Traffic'!A59" display="Convertion rates details organic channels" xr:uid="{67F2BC74-E469-4C43-B2A7-0D451DEFA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BBCC-4286-4399-B6D4-87FD43F069D2}">
  <dimension ref="B2:F43"/>
  <sheetViews>
    <sheetView showGridLines="0" workbookViewId="0"/>
  </sheetViews>
  <sheetFormatPr defaultRowHeight="15" x14ac:dyDescent="0.25"/>
  <cols>
    <col min="1" max="1" width="5.7109375" customWidth="1"/>
    <col min="2" max="2" width="32.28515625" customWidth="1"/>
    <col min="3" max="3" width="9" customWidth="1"/>
  </cols>
  <sheetData>
    <row r="2" spans="2:5" x14ac:dyDescent="0.25">
      <c r="B2" s="86"/>
    </row>
    <row r="4" spans="2:5" ht="26.25" x14ac:dyDescent="0.4">
      <c r="B4" s="54" t="s">
        <v>102</v>
      </c>
    </row>
    <row r="6" spans="2:5" x14ac:dyDescent="0.25">
      <c r="B6" s="46" t="s">
        <v>33</v>
      </c>
      <c r="C6" s="47"/>
    </row>
    <row r="7" spans="2:5" x14ac:dyDescent="0.25">
      <c r="B7" t="s">
        <v>79</v>
      </c>
    </row>
    <row r="8" spans="2:5" ht="6" customHeight="1" x14ac:dyDescent="0.25"/>
    <row r="9" spans="2:5" x14ac:dyDescent="0.25">
      <c r="B9" s="21" t="s">
        <v>57</v>
      </c>
      <c r="C9" s="51">
        <v>6.6544999999999996</v>
      </c>
    </row>
    <row r="10" spans="2:5" x14ac:dyDescent="0.25">
      <c r="B10" s="21" t="s">
        <v>59</v>
      </c>
      <c r="C10" s="51">
        <v>4.8</v>
      </c>
    </row>
    <row r="11" spans="2:5" ht="8.25" customHeight="1" x14ac:dyDescent="0.25"/>
    <row r="12" spans="2:5" x14ac:dyDescent="0.25">
      <c r="B12" s="41" t="s">
        <v>92</v>
      </c>
      <c r="C12" s="42">
        <v>0.32</v>
      </c>
    </row>
    <row r="13" spans="2:5" ht="20.25" customHeight="1" x14ac:dyDescent="0.25">
      <c r="B13" s="31"/>
    </row>
    <row r="14" spans="2:5" x14ac:dyDescent="0.25">
      <c r="B14" s="46" t="s">
        <v>89</v>
      </c>
      <c r="C14" s="47"/>
      <c r="E14" t="s">
        <v>5</v>
      </c>
    </row>
    <row r="15" spans="2:5" x14ac:dyDescent="0.25">
      <c r="B15" t="s">
        <v>80</v>
      </c>
    </row>
    <row r="16" spans="2:5" ht="6.75" customHeight="1" x14ac:dyDescent="0.25"/>
    <row r="17" spans="2:6" x14ac:dyDescent="0.25">
      <c r="B17" s="21" t="s">
        <v>57</v>
      </c>
      <c r="C17" s="51">
        <v>91.382000000000005</v>
      </c>
    </row>
    <row r="18" spans="2:6" x14ac:dyDescent="0.25">
      <c r="B18" s="21" t="s">
        <v>59</v>
      </c>
      <c r="C18" s="51">
        <v>-26.835999999999999</v>
      </c>
    </row>
    <row r="19" spans="2:6" ht="9" customHeight="1" x14ac:dyDescent="0.25">
      <c r="B19" s="29"/>
      <c r="C19" s="30"/>
    </row>
    <row r="20" spans="2:6" x14ac:dyDescent="0.25">
      <c r="B20" s="41" t="s">
        <v>92</v>
      </c>
      <c r="C20" s="43">
        <v>0.22</v>
      </c>
    </row>
    <row r="21" spans="2:6" ht="22.5" customHeight="1" x14ac:dyDescent="0.25">
      <c r="B21" s="29"/>
      <c r="C21" s="30"/>
      <c r="F21" t="s">
        <v>88</v>
      </c>
    </row>
    <row r="22" spans="2:6" x14ac:dyDescent="0.25">
      <c r="B22" s="46" t="s">
        <v>108</v>
      </c>
      <c r="C22" s="59"/>
    </row>
    <row r="23" spans="2:6" ht="7.5" customHeight="1" x14ac:dyDescent="0.25">
      <c r="B23" s="29"/>
      <c r="C23" s="30"/>
    </row>
    <row r="24" spans="2:6" x14ac:dyDescent="0.25">
      <c r="B24" s="41" t="s">
        <v>109</v>
      </c>
      <c r="C24" s="51">
        <v>1.05</v>
      </c>
    </row>
    <row r="25" spans="2:6" x14ac:dyDescent="0.25">
      <c r="B25" s="41" t="s">
        <v>110</v>
      </c>
      <c r="C25" s="51">
        <v>1.01</v>
      </c>
    </row>
    <row r="26" spans="2:6" ht="26.25" customHeight="1" x14ac:dyDescent="0.25">
      <c r="B26" s="29"/>
      <c r="C26" s="50"/>
    </row>
    <row r="27" spans="2:6" x14ac:dyDescent="0.25">
      <c r="B27" s="46" t="s">
        <v>111</v>
      </c>
      <c r="C27" s="59"/>
    </row>
    <row r="28" spans="2:6" ht="9" customHeight="1" x14ac:dyDescent="0.25">
      <c r="B28" s="29"/>
      <c r="C28" s="30"/>
    </row>
    <row r="29" spans="2:6" x14ac:dyDescent="0.25">
      <c r="B29" s="41" t="s">
        <v>109</v>
      </c>
      <c r="C29" s="51">
        <v>1.05</v>
      </c>
    </row>
    <row r="30" spans="2:6" x14ac:dyDescent="0.25">
      <c r="B30" s="41" t="s">
        <v>110</v>
      </c>
      <c r="C30" s="51">
        <v>1.01</v>
      </c>
    </row>
    <row r="31" spans="2:6" x14ac:dyDescent="0.25">
      <c r="B31" s="31"/>
      <c r="C31" s="52"/>
    </row>
    <row r="32" spans="2:6" x14ac:dyDescent="0.25">
      <c r="B32" s="46" t="s">
        <v>90</v>
      </c>
      <c r="C32" s="47"/>
    </row>
    <row r="33" spans="2:3" x14ac:dyDescent="0.25">
      <c r="B33" t="s">
        <v>91</v>
      </c>
    </row>
    <row r="34" spans="2:3" ht="8.25" customHeight="1" x14ac:dyDescent="0.25"/>
    <row r="35" spans="2:3" x14ac:dyDescent="0.25">
      <c r="B35" s="21" t="s">
        <v>57</v>
      </c>
      <c r="C35" s="51">
        <v>5.1000000000000004E-3</v>
      </c>
    </row>
    <row r="36" spans="2:3" x14ac:dyDescent="0.25">
      <c r="B36" s="21" t="s">
        <v>59</v>
      </c>
      <c r="C36" s="51">
        <v>2.9563999999999999</v>
      </c>
    </row>
    <row r="37" spans="2:3" x14ac:dyDescent="0.25">
      <c r="B37" s="29"/>
      <c r="C37" s="44"/>
    </row>
    <row r="38" spans="2:3" x14ac:dyDescent="0.25">
      <c r="B38" s="45" t="s">
        <v>109</v>
      </c>
      <c r="C38" s="51">
        <v>1.07</v>
      </c>
    </row>
    <row r="39" spans="2:3" x14ac:dyDescent="0.25">
      <c r="B39" s="45" t="s">
        <v>106</v>
      </c>
      <c r="C39" s="42">
        <v>0.13</v>
      </c>
    </row>
    <row r="40" spans="2:3" ht="28.5" customHeight="1" x14ac:dyDescent="0.25">
      <c r="B40" s="29"/>
      <c r="C40" s="40"/>
    </row>
    <row r="41" spans="2:3" ht="14.25" customHeight="1" x14ac:dyDescent="0.25">
      <c r="B41" s="48" t="s">
        <v>95</v>
      </c>
      <c r="C41" s="49"/>
    </row>
    <row r="42" spans="2:3" ht="3.75" customHeight="1" x14ac:dyDescent="0.25"/>
    <row r="43" spans="2:3" x14ac:dyDescent="0.25">
      <c r="B43" s="35" t="s">
        <v>105</v>
      </c>
      <c r="C43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09BA-8326-4A4B-999E-A11D734236CE}">
  <dimension ref="B2:AB46"/>
  <sheetViews>
    <sheetView showGridLines="0" zoomScaleNormal="100" workbookViewId="0"/>
  </sheetViews>
  <sheetFormatPr defaultRowHeight="15" outlineLevelCol="1" x14ac:dyDescent="0.25"/>
  <cols>
    <col min="1" max="1" width="5.7109375" customWidth="1"/>
    <col min="2" max="2" width="24.7109375" bestFit="1" customWidth="1"/>
    <col min="3" max="3" width="8" hidden="1" customWidth="1" outlineLevel="1"/>
    <col min="4" max="6" width="9" hidden="1" customWidth="1" outlineLevel="1"/>
    <col min="7" max="8" width="10.5703125" hidden="1" customWidth="1" outlineLevel="1"/>
    <col min="9" max="9" width="9" hidden="1" customWidth="1" outlineLevel="1"/>
    <col min="10" max="10" width="10.5703125" hidden="1" customWidth="1" outlineLevel="1"/>
    <col min="11" max="11" width="10.5703125" bestFit="1" customWidth="1" collapsed="1"/>
    <col min="12" max="26" width="10.5703125" bestFit="1" customWidth="1"/>
  </cols>
  <sheetData>
    <row r="2" spans="2:27" x14ac:dyDescent="0.25">
      <c r="B2" s="86"/>
    </row>
    <row r="5" spans="2:27" ht="26.25" x14ac:dyDescent="0.4">
      <c r="B5" s="54" t="s">
        <v>0</v>
      </c>
    </row>
    <row r="7" spans="2:27" x14ac:dyDescent="0.25">
      <c r="C7" s="53">
        <v>42887</v>
      </c>
      <c r="D7" s="53">
        <f>EOMONTH(C7,1)</f>
        <v>42947</v>
      </c>
      <c r="E7" s="53">
        <f t="shared" ref="E7:O7" si="0">EOMONTH(D7,1)</f>
        <v>42978</v>
      </c>
      <c r="F7" s="53">
        <f t="shared" si="0"/>
        <v>43008</v>
      </c>
      <c r="G7" s="53">
        <f t="shared" si="0"/>
        <v>43039</v>
      </c>
      <c r="H7" s="53">
        <f t="shared" si="0"/>
        <v>43069</v>
      </c>
      <c r="I7" s="53">
        <f t="shared" si="0"/>
        <v>43100</v>
      </c>
      <c r="J7" s="53">
        <f t="shared" si="0"/>
        <v>43131</v>
      </c>
      <c r="K7" s="53">
        <f t="shared" si="0"/>
        <v>43159</v>
      </c>
      <c r="L7" s="53">
        <f t="shared" si="0"/>
        <v>43190</v>
      </c>
      <c r="M7" s="53">
        <f t="shared" si="0"/>
        <v>43220</v>
      </c>
      <c r="N7" s="53">
        <f t="shared" si="0"/>
        <v>43251</v>
      </c>
      <c r="O7" s="53">
        <f t="shared" si="0"/>
        <v>43281</v>
      </c>
      <c r="P7" s="53">
        <f t="shared" ref="P7" si="1">EOMONTH(O7,1)</f>
        <v>43312</v>
      </c>
      <c r="Q7" s="53">
        <f t="shared" ref="Q7" si="2">EOMONTH(P7,1)</f>
        <v>43343</v>
      </c>
      <c r="R7" s="53">
        <f t="shared" ref="R7" si="3">EOMONTH(Q7,1)</f>
        <v>43373</v>
      </c>
      <c r="S7" s="53">
        <f t="shared" ref="S7" si="4">EOMONTH(R7,1)</f>
        <v>43404</v>
      </c>
      <c r="T7" s="53">
        <f t="shared" ref="T7" si="5">EOMONTH(S7,1)</f>
        <v>43434</v>
      </c>
      <c r="U7" s="53">
        <f t="shared" ref="U7" si="6">EOMONTH(T7,1)</f>
        <v>43465</v>
      </c>
      <c r="V7" s="53">
        <f t="shared" ref="V7" si="7">EOMONTH(U7,1)</f>
        <v>43496</v>
      </c>
      <c r="W7" s="53">
        <f t="shared" ref="W7" si="8">EOMONTH(V7,1)</f>
        <v>43524</v>
      </c>
      <c r="X7" s="53">
        <f t="shared" ref="X7" si="9">EOMONTH(W7,1)</f>
        <v>43555</v>
      </c>
      <c r="Y7" s="53">
        <f t="shared" ref="Y7" si="10">EOMONTH(X7,1)</f>
        <v>43585</v>
      </c>
      <c r="Z7" s="53">
        <f t="shared" ref="Z7" si="11">EOMONTH(Y7,1)</f>
        <v>43616</v>
      </c>
      <c r="AA7" s="5"/>
    </row>
    <row r="8" spans="2:27" x14ac:dyDescent="0.25">
      <c r="C8" s="1"/>
    </row>
    <row r="9" spans="2:27" x14ac:dyDescent="0.25">
      <c r="B9" s="46" t="s">
        <v>1</v>
      </c>
    </row>
    <row r="10" spans="2:27" ht="5.0999999999999996" customHeight="1" x14ac:dyDescent="0.25"/>
    <row r="11" spans="2:27" x14ac:dyDescent="0.25">
      <c r="B11" s="3" t="s">
        <v>113</v>
      </c>
      <c r="C11" s="60" cm="1">
        <f t="array" ref="C11:N13">TRANSPOSE('Source - Paid Traffic'!$D$4:$F$15)</f>
        <v>0</v>
      </c>
      <c r="D11" s="60">
        <v>636.71</v>
      </c>
      <c r="E11" s="60">
        <v>778.3</v>
      </c>
      <c r="F11" s="60">
        <v>783</v>
      </c>
      <c r="G11" s="60">
        <v>1193.6400000000001</v>
      </c>
      <c r="H11" s="60">
        <v>887.92</v>
      </c>
      <c r="I11" s="60">
        <v>340.34</v>
      </c>
      <c r="J11" s="60">
        <v>2512.13</v>
      </c>
      <c r="K11" s="60">
        <v>2717.01</v>
      </c>
      <c r="L11" s="60">
        <v>4119.4399999999996</v>
      </c>
      <c r="M11" s="60">
        <v>4479.2</v>
      </c>
      <c r="N11" s="60">
        <v>3982.86</v>
      </c>
      <c r="O11" s="61">
        <f>N11*Assumptions!$C$24</f>
        <v>4182.0030000000006</v>
      </c>
      <c r="P11" s="62">
        <f>O11*Assumptions!$C$24</f>
        <v>4391.1031500000008</v>
      </c>
      <c r="Q11" s="62">
        <f>P11*Assumptions!$C$24</f>
        <v>4610.6583075000008</v>
      </c>
      <c r="R11" s="62">
        <f>Q11*Assumptions!$C$24</f>
        <v>4841.1912228750007</v>
      </c>
      <c r="S11" s="62">
        <f>R11*Assumptions!$C$24</f>
        <v>5083.2507840187509</v>
      </c>
      <c r="T11" s="62">
        <f>S11*Assumptions!$C$24</f>
        <v>5337.4133232196882</v>
      </c>
      <c r="U11" s="62">
        <f>T11*Assumptions!$C$24</f>
        <v>5604.2839893806731</v>
      </c>
      <c r="V11" s="62">
        <f>U11*Assumptions!$C$24</f>
        <v>5884.4981888497068</v>
      </c>
      <c r="W11" s="62">
        <f>V11*Assumptions!$C$24</f>
        <v>6178.7230982921928</v>
      </c>
      <c r="X11" s="62">
        <f>W11*Assumptions!$C$24</f>
        <v>6487.6592532068025</v>
      </c>
      <c r="Y11" s="62">
        <f>X11*Assumptions!$C$24</f>
        <v>6812.0422158671427</v>
      </c>
      <c r="Z11" s="62">
        <f>Y11*Assumptions!$C$24</f>
        <v>7152.6443266605002</v>
      </c>
    </row>
    <row r="12" spans="2:27" x14ac:dyDescent="0.25">
      <c r="B12" s="3" t="s">
        <v>10</v>
      </c>
      <c r="C12" s="60">
        <v>0</v>
      </c>
      <c r="D12" s="60">
        <v>2.2200000000000002</v>
      </c>
      <c r="E12" s="60">
        <v>2.19</v>
      </c>
      <c r="F12" s="60">
        <v>2.61</v>
      </c>
      <c r="G12" s="60">
        <v>2.44</v>
      </c>
      <c r="H12" s="60">
        <v>2.35</v>
      </c>
      <c r="I12" s="60">
        <v>2.09</v>
      </c>
      <c r="J12" s="60">
        <v>2.87</v>
      </c>
      <c r="K12" s="60">
        <v>2.61</v>
      </c>
      <c r="L12" s="60">
        <v>3.05</v>
      </c>
      <c r="M12" s="60">
        <v>3.05</v>
      </c>
      <c r="N12" s="60">
        <v>3.05</v>
      </c>
      <c r="O12" s="61">
        <f>N12*Assumptions!C25</f>
        <v>3.0804999999999998</v>
      </c>
      <c r="P12" s="62">
        <f>O12*Assumptions!$C$25</f>
        <v>3.1113049999999998</v>
      </c>
      <c r="Q12" s="62">
        <f>P12*Assumptions!$C$25</f>
        <v>3.1424180499999999</v>
      </c>
      <c r="R12" s="62">
        <f>Q12*Assumptions!$C$25</f>
        <v>3.1738422305</v>
      </c>
      <c r="S12" s="62">
        <f>R12*Assumptions!$C$25</f>
        <v>3.2055806528050002</v>
      </c>
      <c r="T12" s="62">
        <f>S12*Assumptions!$C$25</f>
        <v>3.23763645933305</v>
      </c>
      <c r="U12" s="62">
        <f>T12*Assumptions!$C$25</f>
        <v>3.2700128239263804</v>
      </c>
      <c r="V12" s="62">
        <f>U12*Assumptions!$C$25</f>
        <v>3.3027129521656442</v>
      </c>
      <c r="W12" s="62">
        <f>V12*Assumptions!$C$25</f>
        <v>3.3357400816873009</v>
      </c>
      <c r="X12" s="62">
        <f>W12*Assumptions!$C$25</f>
        <v>3.369097482504174</v>
      </c>
      <c r="Y12" s="62">
        <f>X12*Assumptions!$C$25</f>
        <v>3.4027884573292155</v>
      </c>
      <c r="Z12" s="62">
        <f>Y12*Assumptions!$C$25</f>
        <v>3.4368163419025075</v>
      </c>
    </row>
    <row r="13" spans="2:27" x14ac:dyDescent="0.25">
      <c r="B13" s="3" t="s">
        <v>2</v>
      </c>
      <c r="C13" s="63">
        <v>0</v>
      </c>
      <c r="D13" s="63">
        <v>287</v>
      </c>
      <c r="E13" s="63">
        <v>355</v>
      </c>
      <c r="F13" s="63">
        <v>300</v>
      </c>
      <c r="G13" s="63">
        <v>490</v>
      </c>
      <c r="H13" s="63">
        <v>378</v>
      </c>
      <c r="I13" s="63">
        <v>163</v>
      </c>
      <c r="J13" s="63">
        <v>875</v>
      </c>
      <c r="K13" s="63">
        <v>1041</v>
      </c>
      <c r="L13" s="63">
        <v>1349</v>
      </c>
      <c r="M13" s="63">
        <v>1471</v>
      </c>
      <c r="N13" s="63">
        <v>1308</v>
      </c>
      <c r="O13" s="64">
        <f>INT(O11/O12)</f>
        <v>1357</v>
      </c>
      <c r="P13" s="64">
        <f t="shared" ref="P13:Z13" si="12">INT(P11/P12)</f>
        <v>1411</v>
      </c>
      <c r="Q13" s="64">
        <f t="shared" si="12"/>
        <v>1467</v>
      </c>
      <c r="R13" s="64">
        <f t="shared" si="12"/>
        <v>1525</v>
      </c>
      <c r="S13" s="64">
        <f t="shared" si="12"/>
        <v>1585</v>
      </c>
      <c r="T13" s="64">
        <f t="shared" si="12"/>
        <v>1648</v>
      </c>
      <c r="U13" s="64">
        <f t="shared" si="12"/>
        <v>1713</v>
      </c>
      <c r="V13" s="64">
        <f t="shared" si="12"/>
        <v>1781</v>
      </c>
      <c r="W13" s="64">
        <f t="shared" si="12"/>
        <v>1852</v>
      </c>
      <c r="X13" s="64">
        <f t="shared" si="12"/>
        <v>1925</v>
      </c>
      <c r="Y13" s="64">
        <f t="shared" si="12"/>
        <v>2001</v>
      </c>
      <c r="Z13" s="64">
        <f t="shared" si="12"/>
        <v>2081</v>
      </c>
    </row>
    <row r="14" spans="2:27" x14ac:dyDescent="0.25">
      <c r="B14" s="3" t="s">
        <v>3</v>
      </c>
      <c r="C14" s="65" cm="1">
        <f t="array" ref="C14:N14">TRANSPOSE('Source - Paid Traffic'!$I$4:$I$15)</f>
        <v>0.2</v>
      </c>
      <c r="D14" s="65">
        <v>0.21</v>
      </c>
      <c r="E14" s="65">
        <v>0.24</v>
      </c>
      <c r="F14" s="65">
        <v>0.23</v>
      </c>
      <c r="G14" s="65">
        <v>0.22</v>
      </c>
      <c r="H14" s="65">
        <v>0.2</v>
      </c>
      <c r="I14" s="65">
        <v>0.23</v>
      </c>
      <c r="J14" s="65">
        <v>0.21</v>
      </c>
      <c r="K14" s="65">
        <v>0.22</v>
      </c>
      <c r="L14" s="65">
        <v>0.21</v>
      </c>
      <c r="M14" s="65">
        <v>0.2</v>
      </c>
      <c r="N14" s="65">
        <v>0.22</v>
      </c>
      <c r="O14" s="13">
        <v>0.22</v>
      </c>
      <c r="P14" s="13">
        <v>0.22</v>
      </c>
      <c r="Q14" s="13">
        <v>0.22</v>
      </c>
      <c r="R14" s="13">
        <v>0.22</v>
      </c>
      <c r="S14" s="13">
        <v>0.22</v>
      </c>
      <c r="T14" s="13">
        <v>0.22</v>
      </c>
      <c r="U14" s="13">
        <v>0.22</v>
      </c>
      <c r="V14" s="13">
        <v>0.22</v>
      </c>
      <c r="W14" s="13">
        <v>0.22</v>
      </c>
      <c r="X14" s="13">
        <v>0.22</v>
      </c>
      <c r="Y14" s="13">
        <v>0.22</v>
      </c>
      <c r="Z14" s="13">
        <v>0.22</v>
      </c>
    </row>
    <row r="15" spans="2:27" x14ac:dyDescent="0.25">
      <c r="B15" s="20" t="str">
        <f>SUBSTITUTE(_xlfn.CONCAT("Total leads",B9),"1.","")</f>
        <v>Total leads Google Search</v>
      </c>
      <c r="C15" s="82">
        <v>0</v>
      </c>
      <c r="D15" s="82">
        <v>56</v>
      </c>
      <c r="E15" s="82">
        <v>79</v>
      </c>
      <c r="F15" s="82">
        <v>64</v>
      </c>
      <c r="G15" s="82">
        <v>100</v>
      </c>
      <c r="H15" s="82">
        <v>70</v>
      </c>
      <c r="I15" s="82">
        <v>35</v>
      </c>
      <c r="J15" s="82">
        <v>170</v>
      </c>
      <c r="K15" s="82">
        <v>212</v>
      </c>
      <c r="L15" s="82">
        <v>262</v>
      </c>
      <c r="M15" s="82">
        <v>272</v>
      </c>
      <c r="N15" s="82">
        <v>266</v>
      </c>
      <c r="O15" s="20">
        <f>INT(O13*O14)</f>
        <v>298</v>
      </c>
      <c r="P15" s="20">
        <f t="shared" ref="P15:Z15" si="13">INT(P13*P14)</f>
        <v>310</v>
      </c>
      <c r="Q15" s="20">
        <f t="shared" si="13"/>
        <v>322</v>
      </c>
      <c r="R15" s="20">
        <f t="shared" si="13"/>
        <v>335</v>
      </c>
      <c r="S15" s="20">
        <f t="shared" si="13"/>
        <v>348</v>
      </c>
      <c r="T15" s="20">
        <f t="shared" si="13"/>
        <v>362</v>
      </c>
      <c r="U15" s="20">
        <f t="shared" si="13"/>
        <v>376</v>
      </c>
      <c r="V15" s="20">
        <f t="shared" si="13"/>
        <v>391</v>
      </c>
      <c r="W15" s="20">
        <f t="shared" si="13"/>
        <v>407</v>
      </c>
      <c r="X15" s="20">
        <f t="shared" si="13"/>
        <v>423</v>
      </c>
      <c r="Y15" s="20">
        <f t="shared" si="13"/>
        <v>440</v>
      </c>
      <c r="Z15" s="20">
        <f t="shared" si="13"/>
        <v>457</v>
      </c>
    </row>
    <row r="17" spans="2:28" x14ac:dyDescent="0.25">
      <c r="B17" s="46" t="s">
        <v>4</v>
      </c>
      <c r="Z17" t="s">
        <v>5</v>
      </c>
    </row>
    <row r="18" spans="2:28" ht="5.0999999999999996" customHeight="1" x14ac:dyDescent="0.25">
      <c r="R18" t="s">
        <v>5</v>
      </c>
    </row>
    <row r="19" spans="2:28" x14ac:dyDescent="0.25">
      <c r="B19" s="3" t="s">
        <v>114</v>
      </c>
      <c r="C19" s="66" cm="1">
        <f t="array" ref="C19:N21">TRANSPOSE('Source - Paid Traffic'!$D$21:$F$32)</f>
        <v>10</v>
      </c>
      <c r="D19" s="66">
        <v>244.8</v>
      </c>
      <c r="E19" s="66">
        <v>20.16</v>
      </c>
      <c r="F19" s="66">
        <v>66</v>
      </c>
      <c r="G19" s="66">
        <v>64.400000000000006</v>
      </c>
      <c r="H19" s="66">
        <v>83.7</v>
      </c>
      <c r="I19" s="66">
        <v>52.8</v>
      </c>
      <c r="J19" s="66">
        <v>181.5</v>
      </c>
      <c r="K19" s="66">
        <v>261</v>
      </c>
      <c r="L19" s="66">
        <v>284.31</v>
      </c>
      <c r="M19" s="66">
        <v>357</v>
      </c>
      <c r="N19" s="66">
        <v>189</v>
      </c>
      <c r="O19" s="67">
        <f>N19*Assumptions!$C$29</f>
        <v>198.45000000000002</v>
      </c>
      <c r="P19" s="68">
        <f>O19*Assumptions!$C$29</f>
        <v>208.37250000000003</v>
      </c>
      <c r="Q19" s="68">
        <f>P19*Assumptions!$C$29</f>
        <v>218.79112500000005</v>
      </c>
      <c r="R19" s="68">
        <f>Q19*Assumptions!$C$29</f>
        <v>229.73068125000006</v>
      </c>
      <c r="S19" s="68">
        <f>R19*Assumptions!$C$29</f>
        <v>241.21721531250009</v>
      </c>
      <c r="T19" s="68">
        <f>S19*Assumptions!$C$29</f>
        <v>253.27807607812511</v>
      </c>
      <c r="U19" s="68">
        <f>T19*Assumptions!$C$29</f>
        <v>265.94197988203138</v>
      </c>
      <c r="V19" s="68">
        <f>U19*Assumptions!$C$29</f>
        <v>279.23907887613296</v>
      </c>
      <c r="W19" s="68">
        <f>V19*Assumptions!$C$29</f>
        <v>293.2010328199396</v>
      </c>
      <c r="X19" s="68">
        <f>W19*Assumptions!$C$29</f>
        <v>307.86108446093658</v>
      </c>
      <c r="Y19" s="68">
        <f>X19*Assumptions!$C$29</f>
        <v>323.2541386839834</v>
      </c>
      <c r="Z19" s="68">
        <f>Y19*Assumptions!$C$29</f>
        <v>339.41684561818261</v>
      </c>
    </row>
    <row r="20" spans="2:28" x14ac:dyDescent="0.25">
      <c r="B20" s="3" t="s">
        <v>10</v>
      </c>
      <c r="C20" s="66">
        <v>2.5</v>
      </c>
      <c r="D20" s="66">
        <v>2.5499999999999998</v>
      </c>
      <c r="E20" s="66">
        <v>2.52</v>
      </c>
      <c r="F20" s="66">
        <v>3</v>
      </c>
      <c r="G20" s="66">
        <v>2.8</v>
      </c>
      <c r="H20" s="66">
        <v>2.7</v>
      </c>
      <c r="I20" s="66">
        <v>2.4</v>
      </c>
      <c r="J20" s="66">
        <v>3.3</v>
      </c>
      <c r="K20" s="66">
        <v>3</v>
      </c>
      <c r="L20" s="66">
        <v>3.51</v>
      </c>
      <c r="M20" s="66">
        <v>3.5</v>
      </c>
      <c r="N20" s="66">
        <v>3.5</v>
      </c>
      <c r="O20" s="67">
        <f>N20*Assumptions!$C$30</f>
        <v>3.5350000000000001</v>
      </c>
      <c r="P20" s="6">
        <f>O20*Assumptions!$C$30</f>
        <v>3.5703500000000004</v>
      </c>
      <c r="Q20" s="6">
        <f>P20*Assumptions!$C$30</f>
        <v>3.6060535000000002</v>
      </c>
      <c r="R20" s="6">
        <f>Q20*Assumptions!$C$30</f>
        <v>3.6421140350000001</v>
      </c>
      <c r="S20" s="6">
        <f>R20*Assumptions!$C$30</f>
        <v>3.67853517535</v>
      </c>
      <c r="T20" s="6">
        <f>S20*Assumptions!$C$30</f>
        <v>3.7153205271035001</v>
      </c>
      <c r="U20" s="6">
        <f>T20*Assumptions!$C$30</f>
        <v>3.752473732374535</v>
      </c>
      <c r="V20" s="67">
        <f>U20*Assumptions!$C$30</f>
        <v>3.7899984696982805</v>
      </c>
      <c r="W20" s="68">
        <f>V20</f>
        <v>3.7899984696982805</v>
      </c>
      <c r="X20" s="68">
        <f t="shared" ref="X20:Z20" si="14">W20</f>
        <v>3.7899984696982805</v>
      </c>
      <c r="Y20" s="68">
        <f t="shared" si="14"/>
        <v>3.7899984696982805</v>
      </c>
      <c r="Z20" s="68">
        <f t="shared" si="14"/>
        <v>3.7899984696982805</v>
      </c>
    </row>
    <row r="21" spans="2:28" x14ac:dyDescent="0.25">
      <c r="B21" s="3" t="s">
        <v>2</v>
      </c>
      <c r="C21" s="63">
        <v>4</v>
      </c>
      <c r="D21" s="63">
        <v>96</v>
      </c>
      <c r="E21" s="63">
        <v>8</v>
      </c>
      <c r="F21" s="63">
        <v>22</v>
      </c>
      <c r="G21" s="63">
        <v>23</v>
      </c>
      <c r="H21" s="63">
        <v>31</v>
      </c>
      <c r="I21" s="63">
        <v>22</v>
      </c>
      <c r="J21" s="63">
        <v>55</v>
      </c>
      <c r="K21" s="63">
        <v>87</v>
      </c>
      <c r="L21" s="63">
        <v>81</v>
      </c>
      <c r="M21" s="63">
        <v>102</v>
      </c>
      <c r="N21" s="63">
        <v>54</v>
      </c>
      <c r="O21" s="64">
        <f>INT(O19/O20)</f>
        <v>56</v>
      </c>
      <c r="P21" s="64">
        <f t="shared" ref="P21:Z21" si="15">INT(P19/P20)</f>
        <v>58</v>
      </c>
      <c r="Q21" s="64">
        <f t="shared" si="15"/>
        <v>60</v>
      </c>
      <c r="R21" s="64">
        <f t="shared" si="15"/>
        <v>63</v>
      </c>
      <c r="S21" s="64">
        <f t="shared" si="15"/>
        <v>65</v>
      </c>
      <c r="T21" s="64">
        <f t="shared" si="15"/>
        <v>68</v>
      </c>
      <c r="U21" s="64">
        <f t="shared" si="15"/>
        <v>70</v>
      </c>
      <c r="V21" s="64">
        <f t="shared" si="15"/>
        <v>73</v>
      </c>
      <c r="W21" s="64">
        <f t="shared" si="15"/>
        <v>77</v>
      </c>
      <c r="X21" s="64">
        <f t="shared" si="15"/>
        <v>81</v>
      </c>
      <c r="Y21" s="64">
        <f t="shared" si="15"/>
        <v>85</v>
      </c>
      <c r="Z21" s="64">
        <f t="shared" si="15"/>
        <v>89</v>
      </c>
    </row>
    <row r="22" spans="2:28" x14ac:dyDescent="0.25">
      <c r="B22" s="3" t="s">
        <v>3</v>
      </c>
      <c r="C22" s="65" cm="1">
        <f t="array" ref="C22:N22">TRANSPOSE('Source - Paid Traffic'!$I$21:$I$32)</f>
        <v>0.2</v>
      </c>
      <c r="D22" s="65">
        <v>0.21</v>
      </c>
      <c r="E22" s="65">
        <v>0.24</v>
      </c>
      <c r="F22" s="65">
        <v>0.23</v>
      </c>
      <c r="G22" s="65">
        <v>0.22</v>
      </c>
      <c r="H22" s="65">
        <v>0.2</v>
      </c>
      <c r="I22" s="65">
        <v>0.23</v>
      </c>
      <c r="J22" s="65">
        <v>0.21</v>
      </c>
      <c r="K22" s="65">
        <v>0.22</v>
      </c>
      <c r="L22" s="65">
        <v>0.21</v>
      </c>
      <c r="M22" s="65">
        <v>0.2</v>
      </c>
      <c r="N22" s="65">
        <v>0.22</v>
      </c>
      <c r="O22" s="4">
        <v>0.22</v>
      </c>
      <c r="P22" s="4">
        <v>0.22</v>
      </c>
      <c r="Q22" s="4">
        <v>0.22</v>
      </c>
      <c r="R22" s="4">
        <v>0.22</v>
      </c>
      <c r="S22" s="4">
        <v>0.22</v>
      </c>
      <c r="T22" s="4">
        <v>0.22</v>
      </c>
      <c r="U22" s="4">
        <v>0.22</v>
      </c>
      <c r="V22" s="4">
        <v>0.22</v>
      </c>
      <c r="W22" s="4">
        <v>0.22</v>
      </c>
      <c r="X22" s="4">
        <v>0.22</v>
      </c>
      <c r="Y22" s="4">
        <v>0.22</v>
      </c>
      <c r="Z22" s="4">
        <v>0.22</v>
      </c>
    </row>
    <row r="23" spans="2:28" x14ac:dyDescent="0.25">
      <c r="B23" s="20" t="str">
        <f>SUBSTITUTE(_xlfn.CONCAT("Total leads",B17),"2.","")</f>
        <v>Total leads Google Display</v>
      </c>
      <c r="C23" s="82">
        <v>1</v>
      </c>
      <c r="D23" s="82">
        <v>19</v>
      </c>
      <c r="E23" s="82">
        <v>2</v>
      </c>
      <c r="F23" s="82">
        <v>5</v>
      </c>
      <c r="G23" s="82">
        <v>5</v>
      </c>
      <c r="H23" s="82">
        <v>6</v>
      </c>
      <c r="I23" s="82">
        <v>5</v>
      </c>
      <c r="J23" s="82">
        <v>11</v>
      </c>
      <c r="K23" s="82">
        <v>18</v>
      </c>
      <c r="L23" s="82">
        <v>16</v>
      </c>
      <c r="M23" s="82">
        <v>19</v>
      </c>
      <c r="N23" s="82">
        <v>11</v>
      </c>
      <c r="O23" s="20">
        <f>INT(O21*O22)</f>
        <v>12</v>
      </c>
      <c r="P23" s="20">
        <f t="shared" ref="P23:Z23" si="16">INT(P21*P22)</f>
        <v>12</v>
      </c>
      <c r="Q23" s="20">
        <f t="shared" si="16"/>
        <v>13</v>
      </c>
      <c r="R23" s="20">
        <f t="shared" si="16"/>
        <v>13</v>
      </c>
      <c r="S23" s="20">
        <f t="shared" si="16"/>
        <v>14</v>
      </c>
      <c r="T23" s="20">
        <f t="shared" si="16"/>
        <v>14</v>
      </c>
      <c r="U23" s="20">
        <f t="shared" si="16"/>
        <v>15</v>
      </c>
      <c r="V23" s="20">
        <f t="shared" si="16"/>
        <v>16</v>
      </c>
      <c r="W23" s="20">
        <f t="shared" si="16"/>
        <v>16</v>
      </c>
      <c r="X23" s="20">
        <f t="shared" si="16"/>
        <v>17</v>
      </c>
      <c r="Y23" s="20">
        <f t="shared" si="16"/>
        <v>18</v>
      </c>
      <c r="Z23" s="20">
        <f t="shared" si="16"/>
        <v>19</v>
      </c>
    </row>
    <row r="25" spans="2:28" x14ac:dyDescent="0.25">
      <c r="B25" s="46" t="s">
        <v>6</v>
      </c>
    </row>
    <row r="26" spans="2:28" ht="5.0999999999999996" customHeight="1" x14ac:dyDescent="0.25"/>
    <row r="27" spans="2:28" x14ac:dyDescent="0.25">
      <c r="B27" s="3" t="s">
        <v>115</v>
      </c>
      <c r="C27" s="66" cm="1">
        <f t="array" ref="C27:N29">TRANSPOSE('Source - Paid Traffic'!$D$37:$F$48)</f>
        <v>0</v>
      </c>
      <c r="D27" s="66">
        <v>41.93</v>
      </c>
      <c r="E27" s="66">
        <v>23.68</v>
      </c>
      <c r="F27" s="66">
        <v>59.9</v>
      </c>
      <c r="G27" s="66">
        <v>177.58</v>
      </c>
      <c r="H27" s="66">
        <v>47.57</v>
      </c>
      <c r="I27" s="66">
        <v>8.4600000000000009</v>
      </c>
      <c r="J27" s="66">
        <v>135.65</v>
      </c>
      <c r="K27" s="66">
        <v>81.040000000000006</v>
      </c>
      <c r="L27" s="66">
        <v>164.9</v>
      </c>
      <c r="M27" s="66">
        <v>263.08999999999997</v>
      </c>
      <c r="N27" s="66">
        <v>172.65</v>
      </c>
      <c r="O27" s="67">
        <f>N27*Assumptions!$C$38</f>
        <v>184.73550000000003</v>
      </c>
      <c r="P27" s="68">
        <f>O27*Assumptions!$C$38</f>
        <v>197.66698500000004</v>
      </c>
      <c r="Q27" s="68">
        <f>P27*Assumptions!$C$38</f>
        <v>211.50367395000006</v>
      </c>
      <c r="R27" s="68">
        <f>Q27*Assumptions!$C$38</f>
        <v>226.30893112650008</v>
      </c>
      <c r="S27" s="68">
        <f>R27*Assumptions!$C$38</f>
        <v>242.15055630535511</v>
      </c>
      <c r="T27" s="68">
        <f>S27*Assumptions!$C$38</f>
        <v>259.10109524672998</v>
      </c>
      <c r="U27" s="68">
        <f>T27*Assumptions!$C$38</f>
        <v>277.2381719140011</v>
      </c>
      <c r="V27" s="68">
        <f>U27*Assumptions!$C$38</f>
        <v>296.6448439479812</v>
      </c>
      <c r="W27" s="68">
        <f>V27*Assumptions!$C$38</f>
        <v>317.40998302433991</v>
      </c>
      <c r="X27" s="68">
        <f>W27*Assumptions!$C$38</f>
        <v>339.62868183604371</v>
      </c>
      <c r="Y27" s="68">
        <f>X27*Assumptions!$C$38</f>
        <v>363.4026895645668</v>
      </c>
      <c r="Z27" s="68">
        <f>Y27*Assumptions!$C$38</f>
        <v>388.84087783408648</v>
      </c>
      <c r="AB27" s="8"/>
    </row>
    <row r="28" spans="2:28" x14ac:dyDescent="0.25">
      <c r="B28" s="3" t="s">
        <v>10</v>
      </c>
      <c r="C28" s="66">
        <v>0</v>
      </c>
      <c r="D28" s="66">
        <v>2.99</v>
      </c>
      <c r="E28" s="66">
        <v>2.96</v>
      </c>
      <c r="F28" s="66">
        <v>3.52</v>
      </c>
      <c r="G28" s="66">
        <v>3.29</v>
      </c>
      <c r="H28" s="66">
        <v>3.17</v>
      </c>
      <c r="I28" s="66">
        <v>2.82</v>
      </c>
      <c r="J28" s="66">
        <v>3.88</v>
      </c>
      <c r="K28" s="66">
        <v>3.52</v>
      </c>
      <c r="L28" s="66">
        <v>4.12</v>
      </c>
      <c r="M28" s="66">
        <v>4.1100000000000003</v>
      </c>
      <c r="N28" s="66">
        <v>4.1100000000000003</v>
      </c>
      <c r="O28" s="67">
        <f>(Assumptions!$C$35*O27)+Assumptions!$C$36</f>
        <v>3.89855105</v>
      </c>
      <c r="P28" s="6">
        <f>(Assumptions!$C$35*P27)+Assumptions!$C$36</f>
        <v>3.9645016235000003</v>
      </c>
      <c r="Q28" s="6">
        <f>(Assumptions!$C$35*Q27)+Assumptions!$C$36</f>
        <v>4.035068737145</v>
      </c>
      <c r="R28" s="6">
        <f>(Assumptions!$C$35*R27)+Assumptions!$C$36</f>
        <v>4.1105755487451505</v>
      </c>
      <c r="S28" s="6">
        <f>(Assumptions!$C$35*S27)+Assumptions!$C$36</f>
        <v>4.1913678371573111</v>
      </c>
      <c r="T28" s="6">
        <f>(Assumptions!$C$35*T27)+Assumptions!$C$36</f>
        <v>4.2778155857583231</v>
      </c>
      <c r="U28" s="6">
        <f>(Assumptions!$C$35*U27)+Assumptions!$C$36</f>
        <v>4.3703146767614056</v>
      </c>
      <c r="V28" s="6">
        <f>(Assumptions!$C$35*V27)+Assumptions!$C$36</f>
        <v>4.469288704134704</v>
      </c>
      <c r="W28" s="6">
        <f>(Assumptions!$C$35*W27)+Assumptions!$C$36</f>
        <v>4.5751909134241338</v>
      </c>
      <c r="X28" s="6">
        <f>(Assumptions!$C$35*X27)+Assumptions!$C$36</f>
        <v>4.6885062773638229</v>
      </c>
      <c r="Y28" s="6">
        <f>(Assumptions!$C$35*Y27)+Assumptions!$C$36</f>
        <v>4.8097537167792908</v>
      </c>
      <c r="Z28" s="6">
        <f>(Assumptions!$C$35*Z27)+Assumptions!$C$36</f>
        <v>4.9394884769538407</v>
      </c>
    </row>
    <row r="29" spans="2:28" x14ac:dyDescent="0.25">
      <c r="B29" s="3" t="s">
        <v>2</v>
      </c>
      <c r="C29" s="63">
        <v>0</v>
      </c>
      <c r="D29" s="63">
        <v>14</v>
      </c>
      <c r="E29" s="63">
        <v>8</v>
      </c>
      <c r="F29" s="63">
        <v>17</v>
      </c>
      <c r="G29" s="63">
        <v>54</v>
      </c>
      <c r="H29" s="63">
        <v>15</v>
      </c>
      <c r="I29" s="63">
        <v>3</v>
      </c>
      <c r="J29" s="63">
        <v>35</v>
      </c>
      <c r="K29" s="63">
        <v>23</v>
      </c>
      <c r="L29" s="63">
        <v>40</v>
      </c>
      <c r="M29" s="63">
        <v>64</v>
      </c>
      <c r="N29" s="63">
        <v>42</v>
      </c>
      <c r="O29" s="64">
        <f>INT(O27/O28)</f>
        <v>47</v>
      </c>
      <c r="P29" s="64">
        <f t="shared" ref="P29:Z29" si="17">INT(P27/P28)</f>
        <v>49</v>
      </c>
      <c r="Q29" s="64">
        <f t="shared" si="17"/>
        <v>52</v>
      </c>
      <c r="R29" s="64">
        <f t="shared" si="17"/>
        <v>55</v>
      </c>
      <c r="S29" s="64">
        <f t="shared" si="17"/>
        <v>57</v>
      </c>
      <c r="T29" s="64">
        <f t="shared" si="17"/>
        <v>60</v>
      </c>
      <c r="U29" s="64">
        <f t="shared" si="17"/>
        <v>63</v>
      </c>
      <c r="V29" s="64">
        <f t="shared" si="17"/>
        <v>66</v>
      </c>
      <c r="W29" s="64">
        <f t="shared" si="17"/>
        <v>69</v>
      </c>
      <c r="X29" s="64">
        <f t="shared" si="17"/>
        <v>72</v>
      </c>
      <c r="Y29" s="64">
        <f t="shared" si="17"/>
        <v>75</v>
      </c>
      <c r="Z29" s="64">
        <f t="shared" si="17"/>
        <v>78</v>
      </c>
      <c r="AA29" t="s">
        <v>88</v>
      </c>
    </row>
    <row r="30" spans="2:28" x14ac:dyDescent="0.25">
      <c r="B30" s="3" t="s">
        <v>3</v>
      </c>
      <c r="C30" s="65" cm="1">
        <f t="array" ref="C30:N30">TRANSPOSE('Source - Paid Traffic'!$I$37:$I$48)</f>
        <v>0.2</v>
      </c>
      <c r="D30" s="65">
        <v>0.21</v>
      </c>
      <c r="E30" s="65">
        <v>0.24</v>
      </c>
      <c r="F30" s="65">
        <v>0.23</v>
      </c>
      <c r="G30" s="65">
        <v>0.22</v>
      </c>
      <c r="H30" s="65">
        <v>0.2</v>
      </c>
      <c r="I30" s="65">
        <v>0.23</v>
      </c>
      <c r="J30" s="65">
        <v>0.21</v>
      </c>
      <c r="K30" s="65">
        <v>0.22</v>
      </c>
      <c r="L30" s="65">
        <v>0.21</v>
      </c>
      <c r="M30" s="65">
        <v>0.2</v>
      </c>
      <c r="N30" s="65">
        <v>0.22</v>
      </c>
      <c r="O30" s="4">
        <v>0.22</v>
      </c>
      <c r="P30" s="13">
        <v>0.22</v>
      </c>
      <c r="Q30" s="4">
        <v>0.22</v>
      </c>
      <c r="R30" s="13">
        <v>0.22</v>
      </c>
      <c r="S30" s="4">
        <v>0.22</v>
      </c>
      <c r="T30" s="13">
        <v>0.22</v>
      </c>
      <c r="U30" s="4">
        <v>0.22</v>
      </c>
      <c r="V30" s="13">
        <v>0.22</v>
      </c>
      <c r="W30" s="4">
        <v>0.22</v>
      </c>
      <c r="X30" s="13">
        <v>0.22</v>
      </c>
      <c r="Y30" s="4">
        <v>0.22</v>
      </c>
      <c r="Z30" s="13">
        <v>0.22</v>
      </c>
    </row>
    <row r="31" spans="2:28" x14ac:dyDescent="0.25">
      <c r="B31" s="20" t="str">
        <f>SUBSTITUTE(_xlfn.CONCAT("Total leads",B25),"3.","")</f>
        <v>Total leads Facebook</v>
      </c>
      <c r="C31" s="82">
        <v>0</v>
      </c>
      <c r="D31" s="82">
        <v>3</v>
      </c>
      <c r="E31" s="82">
        <v>2</v>
      </c>
      <c r="F31" s="82">
        <v>4</v>
      </c>
      <c r="G31" s="82">
        <v>11</v>
      </c>
      <c r="H31" s="82">
        <v>3</v>
      </c>
      <c r="I31" s="82">
        <v>1</v>
      </c>
      <c r="J31" s="82">
        <v>7</v>
      </c>
      <c r="K31" s="82">
        <v>5</v>
      </c>
      <c r="L31" s="82">
        <v>8</v>
      </c>
      <c r="M31" s="82">
        <v>12</v>
      </c>
      <c r="N31" s="82">
        <v>9</v>
      </c>
      <c r="O31" s="20">
        <f>INT(O29*O30)</f>
        <v>10</v>
      </c>
      <c r="P31" s="20">
        <f t="shared" ref="P31:Z31" si="18">INT(P29*P30)</f>
        <v>10</v>
      </c>
      <c r="Q31" s="20">
        <f t="shared" si="18"/>
        <v>11</v>
      </c>
      <c r="R31" s="20">
        <f t="shared" si="18"/>
        <v>12</v>
      </c>
      <c r="S31" s="20">
        <f t="shared" si="18"/>
        <v>12</v>
      </c>
      <c r="T31" s="20">
        <f t="shared" si="18"/>
        <v>13</v>
      </c>
      <c r="U31" s="20">
        <f t="shared" si="18"/>
        <v>13</v>
      </c>
      <c r="V31" s="20">
        <f t="shared" si="18"/>
        <v>14</v>
      </c>
      <c r="W31" s="20">
        <f t="shared" si="18"/>
        <v>15</v>
      </c>
      <c r="X31" s="20">
        <f t="shared" si="18"/>
        <v>15</v>
      </c>
      <c r="Y31" s="20">
        <f t="shared" si="18"/>
        <v>16</v>
      </c>
      <c r="Z31" s="20">
        <f t="shared" si="18"/>
        <v>17</v>
      </c>
    </row>
    <row r="32" spans="2:28" x14ac:dyDescent="0.25"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4" spans="2:26" x14ac:dyDescent="0.25">
      <c r="B34" s="20" t="s">
        <v>84</v>
      </c>
      <c r="C34" s="69">
        <f>SUM(C11,C19,C27)</f>
        <v>10</v>
      </c>
      <c r="D34" s="69">
        <f t="shared" ref="D34:Z34" si="19">SUM(D11,D19,D27)</f>
        <v>923.43999999999994</v>
      </c>
      <c r="E34" s="69">
        <f>SUM(E11,E19,E27)</f>
        <v>822.13999999999987</v>
      </c>
      <c r="F34" s="69">
        <f t="shared" si="19"/>
        <v>908.9</v>
      </c>
      <c r="G34" s="69">
        <f t="shared" si="19"/>
        <v>1435.6200000000001</v>
      </c>
      <c r="H34" s="69">
        <f t="shared" si="19"/>
        <v>1019.19</v>
      </c>
      <c r="I34" s="69">
        <f t="shared" si="19"/>
        <v>401.59999999999997</v>
      </c>
      <c r="J34" s="69">
        <f t="shared" si="19"/>
        <v>2829.28</v>
      </c>
      <c r="K34" s="69">
        <f t="shared" si="19"/>
        <v>3059.05</v>
      </c>
      <c r="L34" s="69">
        <f t="shared" si="19"/>
        <v>4568.6499999999996</v>
      </c>
      <c r="M34" s="69">
        <f t="shared" si="19"/>
        <v>5099.29</v>
      </c>
      <c r="N34" s="69">
        <f t="shared" si="19"/>
        <v>4344.51</v>
      </c>
      <c r="O34" s="69">
        <f t="shared" si="19"/>
        <v>4565.1885000000002</v>
      </c>
      <c r="P34" s="69">
        <f t="shared" si="19"/>
        <v>4797.1426350000011</v>
      </c>
      <c r="Q34" s="69">
        <f t="shared" si="19"/>
        <v>5040.9531064500006</v>
      </c>
      <c r="R34" s="69">
        <f t="shared" si="19"/>
        <v>5297.230835251501</v>
      </c>
      <c r="S34" s="69">
        <f t="shared" si="19"/>
        <v>5566.6185556366063</v>
      </c>
      <c r="T34" s="69">
        <f t="shared" si="19"/>
        <v>5849.7924945445429</v>
      </c>
      <c r="U34" s="69">
        <f t="shared" si="19"/>
        <v>6147.4641411767061</v>
      </c>
      <c r="V34" s="69">
        <f t="shared" si="19"/>
        <v>6460.3821116738209</v>
      </c>
      <c r="W34" s="69">
        <f t="shared" si="19"/>
        <v>6789.3341141364726</v>
      </c>
      <c r="X34" s="69">
        <f t="shared" si="19"/>
        <v>7135.1490195037832</v>
      </c>
      <c r="Y34" s="69">
        <f t="shared" si="19"/>
        <v>7498.6990441156922</v>
      </c>
      <c r="Z34" s="69">
        <f t="shared" si="19"/>
        <v>7880.9020501127688</v>
      </c>
    </row>
    <row r="35" spans="2:26" x14ac:dyDescent="0.25">
      <c r="B35" s="20" t="s">
        <v>7</v>
      </c>
      <c r="C35" s="70">
        <f>SUM(C15,C23,C31)</f>
        <v>1</v>
      </c>
      <c r="D35" s="70">
        <f t="shared" ref="D35:Z35" si="20">SUM(D15,D23,D31)</f>
        <v>78</v>
      </c>
      <c r="E35" s="70">
        <f t="shared" si="20"/>
        <v>83</v>
      </c>
      <c r="F35" s="70">
        <f t="shared" si="20"/>
        <v>73</v>
      </c>
      <c r="G35" s="70">
        <f t="shared" si="20"/>
        <v>116</v>
      </c>
      <c r="H35" s="70">
        <f t="shared" si="20"/>
        <v>79</v>
      </c>
      <c r="I35" s="70">
        <f t="shared" si="20"/>
        <v>41</v>
      </c>
      <c r="J35" s="70">
        <f t="shared" si="20"/>
        <v>188</v>
      </c>
      <c r="K35" s="70">
        <f t="shared" si="20"/>
        <v>235</v>
      </c>
      <c r="L35" s="70">
        <f t="shared" si="20"/>
        <v>286</v>
      </c>
      <c r="M35" s="70">
        <f t="shared" si="20"/>
        <v>303</v>
      </c>
      <c r="N35" s="70">
        <f t="shared" si="20"/>
        <v>286</v>
      </c>
      <c r="O35" s="70">
        <f t="shared" si="20"/>
        <v>320</v>
      </c>
      <c r="P35" s="70">
        <f t="shared" si="20"/>
        <v>332</v>
      </c>
      <c r="Q35" s="70">
        <f t="shared" si="20"/>
        <v>346</v>
      </c>
      <c r="R35" s="70">
        <f t="shared" si="20"/>
        <v>360</v>
      </c>
      <c r="S35" s="70">
        <f t="shared" si="20"/>
        <v>374</v>
      </c>
      <c r="T35" s="70">
        <f t="shared" si="20"/>
        <v>389</v>
      </c>
      <c r="U35" s="70">
        <f t="shared" si="20"/>
        <v>404</v>
      </c>
      <c r="V35" s="70">
        <f t="shared" si="20"/>
        <v>421</v>
      </c>
      <c r="W35" s="70">
        <f t="shared" si="20"/>
        <v>438</v>
      </c>
      <c r="X35" s="70">
        <f t="shared" si="20"/>
        <v>455</v>
      </c>
      <c r="Y35" s="70">
        <f t="shared" si="20"/>
        <v>474</v>
      </c>
      <c r="Z35" s="70">
        <f t="shared" si="20"/>
        <v>493</v>
      </c>
    </row>
    <row r="46" spans="2:26" x14ac:dyDescent="0.25">
      <c r="V46" t="s">
        <v>5</v>
      </c>
      <c r="W46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9738-2524-430C-95B4-3B6C463EFAEB}">
  <dimension ref="B2:P48"/>
  <sheetViews>
    <sheetView topLeftCell="A24" workbookViewId="0">
      <selection activeCell="P27" sqref="P27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3.28515625" customWidth="1"/>
    <col min="5" max="5" width="9.28515625" customWidth="1"/>
    <col min="6" max="6" width="11.5703125" customWidth="1"/>
    <col min="7" max="7" width="8.5703125" bestFit="1" customWidth="1"/>
    <col min="8" max="8" width="9.42578125" customWidth="1"/>
    <col min="9" max="9" width="17.42578125" bestFit="1" customWidth="1"/>
    <col min="10" max="10" width="20.28515625" bestFit="1" customWidth="1"/>
    <col min="13" max="13" width="10.42578125" customWidth="1"/>
    <col min="14" max="14" width="15" bestFit="1" customWidth="1"/>
    <col min="16" max="16" width="13.5703125" bestFit="1" customWidth="1"/>
  </cols>
  <sheetData>
    <row r="2" spans="2:10" x14ac:dyDescent="0.25">
      <c r="B2" s="2" t="s">
        <v>8</v>
      </c>
    </row>
    <row r="3" spans="2:10" x14ac:dyDescent="0.25">
      <c r="B3" s="3" t="s">
        <v>76</v>
      </c>
      <c r="C3" s="3" t="s">
        <v>85</v>
      </c>
      <c r="D3" s="3" t="s">
        <v>86</v>
      </c>
      <c r="E3" s="3" t="s">
        <v>10</v>
      </c>
      <c r="F3" s="3" t="s">
        <v>11</v>
      </c>
      <c r="G3" s="3" t="s">
        <v>87</v>
      </c>
      <c r="H3" s="3" t="s">
        <v>81</v>
      </c>
      <c r="I3" s="3" t="s">
        <v>3</v>
      </c>
      <c r="J3" s="3" t="s">
        <v>15</v>
      </c>
    </row>
    <row r="4" spans="2:10" x14ac:dyDescent="0.25">
      <c r="B4" s="3" t="s">
        <v>16</v>
      </c>
      <c r="C4" s="3" t="s">
        <v>17</v>
      </c>
      <c r="D4" s="6">
        <v>0</v>
      </c>
      <c r="E4" s="6">
        <v>0</v>
      </c>
      <c r="F4" s="3">
        <v>0</v>
      </c>
      <c r="G4" s="3">
        <v>0</v>
      </c>
      <c r="H4" s="3">
        <v>0</v>
      </c>
      <c r="I4" s="4">
        <v>0.2</v>
      </c>
      <c r="J4" s="3">
        <v>0</v>
      </c>
    </row>
    <row r="5" spans="2:10" x14ac:dyDescent="0.25">
      <c r="B5" s="3" t="s">
        <v>18</v>
      </c>
      <c r="C5" s="3" t="s">
        <v>17</v>
      </c>
      <c r="D5" s="6">
        <v>636.71</v>
      </c>
      <c r="E5" s="6">
        <v>2.2200000000000002</v>
      </c>
      <c r="F5" s="3">
        <v>287</v>
      </c>
      <c r="G5" s="3">
        <v>244</v>
      </c>
      <c r="H5" s="3">
        <v>266</v>
      </c>
      <c r="I5" s="4">
        <v>0.21</v>
      </c>
      <c r="J5" s="3">
        <v>58</v>
      </c>
    </row>
    <row r="6" spans="2:10" x14ac:dyDescent="0.25">
      <c r="B6" s="3" t="s">
        <v>19</v>
      </c>
      <c r="C6" s="3" t="s">
        <v>17</v>
      </c>
      <c r="D6" s="6">
        <v>778.3</v>
      </c>
      <c r="E6" s="6">
        <v>2.19</v>
      </c>
      <c r="F6" s="3">
        <v>355</v>
      </c>
      <c r="G6" s="3">
        <v>302</v>
      </c>
      <c r="H6" s="3">
        <v>329</v>
      </c>
      <c r="I6" s="4">
        <v>0.24</v>
      </c>
      <c r="J6" s="3">
        <v>82</v>
      </c>
    </row>
    <row r="7" spans="2:10" x14ac:dyDescent="0.25">
      <c r="B7" s="3" t="s">
        <v>20</v>
      </c>
      <c r="C7" s="3" t="s">
        <v>17</v>
      </c>
      <c r="D7" s="6">
        <v>783</v>
      </c>
      <c r="E7" s="6">
        <v>2.61</v>
      </c>
      <c r="F7" s="3">
        <v>300</v>
      </c>
      <c r="G7" s="3">
        <v>255</v>
      </c>
      <c r="H7" s="3">
        <v>278</v>
      </c>
      <c r="I7" s="4">
        <v>0.23</v>
      </c>
      <c r="J7" s="3">
        <v>67</v>
      </c>
    </row>
    <row r="8" spans="2:10" x14ac:dyDescent="0.25">
      <c r="B8" s="3" t="s">
        <v>21</v>
      </c>
      <c r="C8" s="3" t="s">
        <v>17</v>
      </c>
      <c r="D8" s="6">
        <v>1193.6400000000001</v>
      </c>
      <c r="E8" s="6">
        <v>2.44</v>
      </c>
      <c r="F8" s="3">
        <v>490</v>
      </c>
      <c r="G8" s="3">
        <v>417</v>
      </c>
      <c r="H8" s="3">
        <v>454</v>
      </c>
      <c r="I8" s="4">
        <v>0.22</v>
      </c>
      <c r="J8" s="3">
        <v>105</v>
      </c>
    </row>
    <row r="9" spans="2:10" x14ac:dyDescent="0.25">
      <c r="B9" s="3" t="s">
        <v>22</v>
      </c>
      <c r="C9" s="3" t="s">
        <v>17</v>
      </c>
      <c r="D9" s="6">
        <v>887.92</v>
      </c>
      <c r="E9" s="6">
        <v>2.35</v>
      </c>
      <c r="F9" s="3">
        <v>378</v>
      </c>
      <c r="G9" s="3">
        <v>322</v>
      </c>
      <c r="H9" s="3">
        <v>350</v>
      </c>
      <c r="I9" s="4">
        <v>0.2</v>
      </c>
      <c r="J9" s="3">
        <v>73</v>
      </c>
    </row>
    <row r="10" spans="2:10" x14ac:dyDescent="0.25">
      <c r="B10" s="3" t="s">
        <v>23</v>
      </c>
      <c r="C10" s="3" t="s">
        <v>17</v>
      </c>
      <c r="D10" s="6">
        <v>340.34</v>
      </c>
      <c r="E10" s="6">
        <v>2.09</v>
      </c>
      <c r="F10" s="3">
        <v>163</v>
      </c>
      <c r="G10" s="3">
        <v>139</v>
      </c>
      <c r="H10" s="3">
        <v>152</v>
      </c>
      <c r="I10" s="4">
        <v>0.23</v>
      </c>
      <c r="J10" s="3">
        <v>36</v>
      </c>
    </row>
    <row r="11" spans="2:10" x14ac:dyDescent="0.25">
      <c r="B11" s="3" t="s">
        <v>24</v>
      </c>
      <c r="C11" s="3" t="s">
        <v>17</v>
      </c>
      <c r="D11" s="6">
        <v>2512.13</v>
      </c>
      <c r="E11" s="6">
        <v>2.87</v>
      </c>
      <c r="F11" s="3">
        <v>875</v>
      </c>
      <c r="G11" s="3">
        <v>744</v>
      </c>
      <c r="H11" s="3">
        <v>809</v>
      </c>
      <c r="I11" s="4">
        <v>0.21</v>
      </c>
      <c r="J11" s="3">
        <v>178</v>
      </c>
    </row>
    <row r="12" spans="2:10" x14ac:dyDescent="0.25">
      <c r="B12" s="3" t="s">
        <v>25</v>
      </c>
      <c r="C12" s="3" t="s">
        <v>17</v>
      </c>
      <c r="D12" s="6">
        <v>2717.01</v>
      </c>
      <c r="E12" s="6">
        <v>2.61</v>
      </c>
      <c r="F12" s="3">
        <v>1041</v>
      </c>
      <c r="G12" s="3">
        <v>885</v>
      </c>
      <c r="H12" s="3">
        <v>963</v>
      </c>
      <c r="I12" s="4">
        <v>0.22</v>
      </c>
      <c r="J12" s="3">
        <v>222</v>
      </c>
    </row>
    <row r="13" spans="2:10" x14ac:dyDescent="0.25">
      <c r="B13" s="3" t="s">
        <v>26</v>
      </c>
      <c r="C13" s="3" t="s">
        <v>17</v>
      </c>
      <c r="D13" s="6">
        <v>4119.4399999999996</v>
      </c>
      <c r="E13" s="6">
        <v>3.05</v>
      </c>
      <c r="F13" s="3">
        <v>1349</v>
      </c>
      <c r="G13" s="3">
        <v>1147</v>
      </c>
      <c r="H13" s="3">
        <v>1247</v>
      </c>
      <c r="I13" s="4">
        <v>0.21</v>
      </c>
      <c r="J13" s="3">
        <v>275</v>
      </c>
    </row>
    <row r="14" spans="2:10" x14ac:dyDescent="0.25">
      <c r="B14" s="3" t="s">
        <v>27</v>
      </c>
      <c r="C14" s="3" t="s">
        <v>17</v>
      </c>
      <c r="D14" s="6">
        <v>4479.2</v>
      </c>
      <c r="E14" s="6">
        <v>3.05</v>
      </c>
      <c r="F14" s="3">
        <v>1471</v>
      </c>
      <c r="G14" s="3">
        <v>1251</v>
      </c>
      <c r="H14" s="3">
        <v>1360</v>
      </c>
      <c r="I14" s="4">
        <v>0.2</v>
      </c>
      <c r="J14" s="3">
        <v>285</v>
      </c>
    </row>
    <row r="15" spans="2:10" x14ac:dyDescent="0.25">
      <c r="B15" s="3" t="s">
        <v>28</v>
      </c>
      <c r="C15" s="3" t="s">
        <v>17</v>
      </c>
      <c r="D15" s="6">
        <v>3982.86</v>
      </c>
      <c r="E15" s="6">
        <v>3.05</v>
      </c>
      <c r="F15" s="3">
        <v>1308</v>
      </c>
      <c r="G15" s="3">
        <v>1112</v>
      </c>
      <c r="H15" s="3">
        <v>1209</v>
      </c>
      <c r="I15" s="4">
        <v>0.22</v>
      </c>
      <c r="J15" s="3">
        <v>279</v>
      </c>
    </row>
    <row r="19" spans="2:16" x14ac:dyDescent="0.25">
      <c r="B19" s="2" t="s">
        <v>29</v>
      </c>
    </row>
    <row r="20" spans="2:16" x14ac:dyDescent="0.25">
      <c r="B20" s="3" t="s">
        <v>76</v>
      </c>
      <c r="C20" s="3" t="s">
        <v>85</v>
      </c>
      <c r="D20" s="3" t="s">
        <v>86</v>
      </c>
      <c r="E20" s="3" t="s">
        <v>10</v>
      </c>
      <c r="F20" s="3" t="s">
        <v>11</v>
      </c>
      <c r="G20" s="3" t="s">
        <v>87</v>
      </c>
      <c r="H20" s="3" t="s">
        <v>81</v>
      </c>
      <c r="I20" s="3" t="s">
        <v>3</v>
      </c>
      <c r="J20" s="3" t="s">
        <v>15</v>
      </c>
    </row>
    <row r="21" spans="2:16" x14ac:dyDescent="0.25">
      <c r="B21" s="3" t="s">
        <v>16</v>
      </c>
      <c r="C21" s="3" t="s">
        <v>30</v>
      </c>
      <c r="D21" s="6">
        <v>10</v>
      </c>
      <c r="E21" s="6">
        <v>2.5</v>
      </c>
      <c r="F21" s="3">
        <v>4</v>
      </c>
      <c r="G21" s="3">
        <v>4</v>
      </c>
      <c r="H21" s="3">
        <v>5</v>
      </c>
      <c r="I21" s="4">
        <v>0.2</v>
      </c>
      <c r="J21" s="3">
        <v>1</v>
      </c>
      <c r="M21" s="34"/>
      <c r="N21" s="7"/>
      <c r="O21" s="32"/>
      <c r="P21" s="7"/>
    </row>
    <row r="22" spans="2:16" x14ac:dyDescent="0.25">
      <c r="B22" s="3" t="s">
        <v>18</v>
      </c>
      <c r="C22" s="3" t="s">
        <v>30</v>
      </c>
      <c r="D22" s="6">
        <v>244.8</v>
      </c>
      <c r="E22" s="6">
        <v>2.5499999999999998</v>
      </c>
      <c r="F22" s="3">
        <v>96</v>
      </c>
      <c r="G22" s="3">
        <v>82</v>
      </c>
      <c r="H22" s="3">
        <v>90</v>
      </c>
      <c r="I22" s="4">
        <v>0.21</v>
      </c>
      <c r="J22" s="3">
        <v>19</v>
      </c>
      <c r="M22" s="34"/>
      <c r="N22" s="34"/>
      <c r="O22" s="33"/>
      <c r="P22" s="7"/>
    </row>
    <row r="23" spans="2:16" x14ac:dyDescent="0.25">
      <c r="B23" s="3" t="s">
        <v>19</v>
      </c>
      <c r="C23" s="3" t="s">
        <v>30</v>
      </c>
      <c r="D23" s="6">
        <v>20.16</v>
      </c>
      <c r="E23" s="6">
        <v>2.52</v>
      </c>
      <c r="F23" s="3">
        <v>8</v>
      </c>
      <c r="G23" s="3">
        <v>7</v>
      </c>
      <c r="H23" s="3">
        <v>8</v>
      </c>
      <c r="I23" s="4">
        <v>0.24</v>
      </c>
      <c r="J23" s="3">
        <v>2</v>
      </c>
      <c r="M23" s="34"/>
      <c r="N23" s="34"/>
      <c r="O23" s="33"/>
      <c r="P23" s="34"/>
    </row>
    <row r="24" spans="2:16" x14ac:dyDescent="0.25">
      <c r="B24" s="3" t="s">
        <v>20</v>
      </c>
      <c r="C24" s="3" t="s">
        <v>30</v>
      </c>
      <c r="D24" s="6">
        <v>66</v>
      </c>
      <c r="E24" s="6">
        <v>3</v>
      </c>
      <c r="F24" s="3">
        <v>22</v>
      </c>
      <c r="G24" s="3">
        <v>19</v>
      </c>
      <c r="H24" s="3">
        <v>21</v>
      </c>
      <c r="I24" s="4">
        <v>0.23</v>
      </c>
      <c r="J24" s="3">
        <v>5</v>
      </c>
      <c r="M24" s="34"/>
      <c r="N24" s="34"/>
      <c r="O24" s="33"/>
      <c r="P24" s="34"/>
    </row>
    <row r="25" spans="2:16" x14ac:dyDescent="0.25">
      <c r="B25" s="3" t="s">
        <v>21</v>
      </c>
      <c r="C25" s="3" t="s">
        <v>30</v>
      </c>
      <c r="D25" s="6">
        <v>64.400000000000006</v>
      </c>
      <c r="E25" s="6">
        <v>2.8</v>
      </c>
      <c r="F25" s="3">
        <v>23</v>
      </c>
      <c r="G25" s="3">
        <v>20</v>
      </c>
      <c r="H25" s="3">
        <v>22</v>
      </c>
      <c r="I25" s="4">
        <v>0.22</v>
      </c>
      <c r="J25" s="3">
        <v>5</v>
      </c>
      <c r="M25" s="34"/>
    </row>
    <row r="26" spans="2:16" x14ac:dyDescent="0.25">
      <c r="B26" s="3" t="s">
        <v>22</v>
      </c>
      <c r="C26" s="3" t="s">
        <v>30</v>
      </c>
      <c r="D26" s="6">
        <v>83.7</v>
      </c>
      <c r="E26" s="6">
        <v>2.7</v>
      </c>
      <c r="F26" s="3">
        <v>31</v>
      </c>
      <c r="G26" s="3">
        <v>27</v>
      </c>
      <c r="H26" s="3">
        <v>30</v>
      </c>
      <c r="I26" s="4">
        <v>0.2</v>
      </c>
      <c r="J26" s="3">
        <v>6</v>
      </c>
    </row>
    <row r="27" spans="2:16" x14ac:dyDescent="0.25">
      <c r="B27" s="3" t="s">
        <v>23</v>
      </c>
      <c r="C27" s="3" t="s">
        <v>30</v>
      </c>
      <c r="D27" s="6">
        <v>52.8</v>
      </c>
      <c r="E27" s="6">
        <v>2.4</v>
      </c>
      <c r="F27" s="3">
        <v>22</v>
      </c>
      <c r="G27" s="3">
        <v>19</v>
      </c>
      <c r="H27" s="3">
        <v>21</v>
      </c>
      <c r="I27" s="4">
        <v>0.23</v>
      </c>
      <c r="J27" s="3">
        <v>5</v>
      </c>
    </row>
    <row r="28" spans="2:16" x14ac:dyDescent="0.25">
      <c r="B28" s="3" t="s">
        <v>24</v>
      </c>
      <c r="C28" s="3" t="s">
        <v>30</v>
      </c>
      <c r="D28" s="6">
        <v>181.5</v>
      </c>
      <c r="E28" s="6">
        <v>3.3</v>
      </c>
      <c r="F28" s="3">
        <v>55</v>
      </c>
      <c r="G28" s="3">
        <v>47</v>
      </c>
      <c r="H28" s="3">
        <v>52</v>
      </c>
      <c r="I28" s="4">
        <v>0.21</v>
      </c>
      <c r="J28" s="3">
        <v>11</v>
      </c>
    </row>
    <row r="29" spans="2:16" x14ac:dyDescent="0.25">
      <c r="B29" s="3" t="s">
        <v>25</v>
      </c>
      <c r="C29" s="3" t="s">
        <v>30</v>
      </c>
      <c r="D29" s="6">
        <v>261</v>
      </c>
      <c r="E29" s="6">
        <v>3</v>
      </c>
      <c r="F29" s="3">
        <v>87</v>
      </c>
      <c r="G29" s="3">
        <v>74</v>
      </c>
      <c r="H29" s="3">
        <v>81</v>
      </c>
      <c r="I29" s="4">
        <v>0.22</v>
      </c>
      <c r="J29" s="3">
        <v>18</v>
      </c>
    </row>
    <row r="30" spans="2:16" x14ac:dyDescent="0.25">
      <c r="B30" s="3" t="s">
        <v>26</v>
      </c>
      <c r="C30" s="3" t="s">
        <v>30</v>
      </c>
      <c r="D30" s="6">
        <v>284.31</v>
      </c>
      <c r="E30" s="6">
        <v>3.51</v>
      </c>
      <c r="F30" s="3">
        <v>81</v>
      </c>
      <c r="G30" s="3">
        <v>69</v>
      </c>
      <c r="H30" s="3">
        <v>76</v>
      </c>
      <c r="I30" s="4">
        <v>0.21</v>
      </c>
      <c r="J30" s="3">
        <v>16</v>
      </c>
    </row>
    <row r="31" spans="2:16" x14ac:dyDescent="0.25">
      <c r="B31" s="3" t="s">
        <v>27</v>
      </c>
      <c r="C31" s="3" t="s">
        <v>30</v>
      </c>
      <c r="D31" s="6">
        <v>357</v>
      </c>
      <c r="E31" s="6">
        <v>3.5</v>
      </c>
      <c r="F31" s="3">
        <v>102</v>
      </c>
      <c r="G31" s="3">
        <v>87</v>
      </c>
      <c r="H31" s="3">
        <v>95</v>
      </c>
      <c r="I31" s="4">
        <v>0.2</v>
      </c>
      <c r="J31" s="3">
        <v>19</v>
      </c>
    </row>
    <row r="32" spans="2:16" x14ac:dyDescent="0.25">
      <c r="B32" s="3" t="s">
        <v>28</v>
      </c>
      <c r="C32" s="3" t="s">
        <v>30</v>
      </c>
      <c r="D32" s="6">
        <v>189</v>
      </c>
      <c r="E32" s="6">
        <v>3.5</v>
      </c>
      <c r="F32" s="3">
        <v>54</v>
      </c>
      <c r="G32" s="3">
        <v>46</v>
      </c>
      <c r="H32" s="3">
        <v>50</v>
      </c>
      <c r="I32" s="4">
        <v>0.22</v>
      </c>
      <c r="J32" s="3">
        <v>11</v>
      </c>
    </row>
    <row r="35" spans="2:13" x14ac:dyDescent="0.25">
      <c r="B35" t="s">
        <v>31</v>
      </c>
    </row>
    <row r="36" spans="2:13" x14ac:dyDescent="0.25">
      <c r="B36" s="3" t="s">
        <v>76</v>
      </c>
      <c r="C36" s="3" t="s">
        <v>85</v>
      </c>
      <c r="D36" s="3" t="s">
        <v>86</v>
      </c>
      <c r="E36" s="3" t="s">
        <v>10</v>
      </c>
      <c r="F36" s="3" t="s">
        <v>11</v>
      </c>
      <c r="G36" s="3" t="s">
        <v>87</v>
      </c>
      <c r="H36" s="3" t="s">
        <v>81</v>
      </c>
      <c r="I36" s="3" t="s">
        <v>3</v>
      </c>
      <c r="J36" s="3" t="s">
        <v>15</v>
      </c>
    </row>
    <row r="37" spans="2:13" x14ac:dyDescent="0.25">
      <c r="B37" s="3" t="s">
        <v>16</v>
      </c>
      <c r="C37" s="3" t="s">
        <v>32</v>
      </c>
      <c r="D37" s="6">
        <v>0</v>
      </c>
      <c r="E37" s="6">
        <v>0</v>
      </c>
      <c r="F37" s="3">
        <v>0</v>
      </c>
      <c r="G37" s="3">
        <v>0</v>
      </c>
      <c r="H37" s="3">
        <v>0</v>
      </c>
      <c r="I37" s="4">
        <v>0.2</v>
      </c>
      <c r="J37" s="3">
        <v>0</v>
      </c>
    </row>
    <row r="38" spans="2:13" x14ac:dyDescent="0.25">
      <c r="B38" s="3" t="s">
        <v>18</v>
      </c>
      <c r="C38" s="3" t="s">
        <v>32</v>
      </c>
      <c r="D38" s="6">
        <v>41.93</v>
      </c>
      <c r="E38" s="6">
        <v>2.99</v>
      </c>
      <c r="F38" s="3">
        <v>14</v>
      </c>
      <c r="G38" s="3">
        <v>12</v>
      </c>
      <c r="H38" s="3">
        <v>14</v>
      </c>
      <c r="I38" s="4">
        <v>0.21</v>
      </c>
      <c r="J38" s="3">
        <v>3</v>
      </c>
    </row>
    <row r="39" spans="2:13" x14ac:dyDescent="0.25">
      <c r="B39" s="3" t="s">
        <v>19</v>
      </c>
      <c r="C39" s="3" t="s">
        <v>32</v>
      </c>
      <c r="D39" s="6">
        <v>23.68</v>
      </c>
      <c r="E39" s="6">
        <v>2.96</v>
      </c>
      <c r="F39" s="3">
        <v>8</v>
      </c>
      <c r="G39" s="3">
        <v>7</v>
      </c>
      <c r="H39" s="3">
        <v>8</v>
      </c>
      <c r="I39" s="4">
        <v>0.24</v>
      </c>
      <c r="J39" s="3">
        <v>2</v>
      </c>
    </row>
    <row r="40" spans="2:13" x14ac:dyDescent="0.25">
      <c r="B40" s="3" t="s">
        <v>20</v>
      </c>
      <c r="C40" s="3" t="s">
        <v>32</v>
      </c>
      <c r="D40" s="6">
        <v>59.9</v>
      </c>
      <c r="E40" s="6">
        <v>3.52</v>
      </c>
      <c r="F40" s="3">
        <v>17</v>
      </c>
      <c r="G40" s="3">
        <v>15</v>
      </c>
      <c r="H40" s="3">
        <v>17</v>
      </c>
      <c r="I40" s="4">
        <v>0.23</v>
      </c>
      <c r="J40" s="3">
        <v>4</v>
      </c>
    </row>
    <row r="41" spans="2:13" x14ac:dyDescent="0.25">
      <c r="B41" s="3" t="s">
        <v>21</v>
      </c>
      <c r="C41" s="3" t="s">
        <v>32</v>
      </c>
      <c r="D41" s="6">
        <v>177.58</v>
      </c>
      <c r="E41" s="6">
        <v>3.29</v>
      </c>
      <c r="F41" s="3">
        <v>54</v>
      </c>
      <c r="G41" s="3">
        <v>46</v>
      </c>
      <c r="H41" s="3">
        <v>50</v>
      </c>
      <c r="I41" s="4">
        <v>0.22</v>
      </c>
      <c r="J41" s="3">
        <v>11</v>
      </c>
    </row>
    <row r="42" spans="2:13" x14ac:dyDescent="0.25">
      <c r="B42" s="3" t="s">
        <v>22</v>
      </c>
      <c r="C42" s="3" t="s">
        <v>32</v>
      </c>
      <c r="D42" s="6">
        <v>47.57</v>
      </c>
      <c r="E42" s="6">
        <v>3.17</v>
      </c>
      <c r="F42" s="3">
        <v>15</v>
      </c>
      <c r="G42" s="3">
        <v>13</v>
      </c>
      <c r="H42" s="3">
        <v>15</v>
      </c>
      <c r="I42" s="4">
        <v>0.2</v>
      </c>
      <c r="J42" s="3">
        <v>3</v>
      </c>
    </row>
    <row r="43" spans="2:13" x14ac:dyDescent="0.25">
      <c r="B43" s="3" t="s">
        <v>23</v>
      </c>
      <c r="C43" s="3" t="s">
        <v>32</v>
      </c>
      <c r="D43" s="6">
        <v>8.4600000000000009</v>
      </c>
      <c r="E43" s="6">
        <v>2.82</v>
      </c>
      <c r="F43" s="3">
        <v>3</v>
      </c>
      <c r="G43" s="3">
        <v>3</v>
      </c>
      <c r="H43" s="3">
        <v>4</v>
      </c>
      <c r="I43" s="4">
        <v>0.23</v>
      </c>
      <c r="J43" s="3">
        <v>1</v>
      </c>
      <c r="M43" t="s">
        <v>5</v>
      </c>
    </row>
    <row r="44" spans="2:13" x14ac:dyDescent="0.25">
      <c r="B44" s="3" t="s">
        <v>24</v>
      </c>
      <c r="C44" s="3" t="s">
        <v>32</v>
      </c>
      <c r="D44" s="6">
        <v>135.65</v>
      </c>
      <c r="E44" s="6">
        <v>3.88</v>
      </c>
      <c r="F44" s="3">
        <v>35</v>
      </c>
      <c r="G44" s="3">
        <v>30</v>
      </c>
      <c r="H44" s="3">
        <v>33</v>
      </c>
      <c r="I44" s="4">
        <v>0.21</v>
      </c>
      <c r="J44" s="3">
        <v>7</v>
      </c>
    </row>
    <row r="45" spans="2:13" x14ac:dyDescent="0.25">
      <c r="B45" s="3" t="s">
        <v>25</v>
      </c>
      <c r="C45" s="3" t="s">
        <v>32</v>
      </c>
      <c r="D45" s="6">
        <v>81.040000000000006</v>
      </c>
      <c r="E45" s="6">
        <v>3.52</v>
      </c>
      <c r="F45" s="3">
        <v>23</v>
      </c>
      <c r="G45" s="3">
        <v>20</v>
      </c>
      <c r="H45" s="3">
        <v>22</v>
      </c>
      <c r="I45" s="4">
        <v>0.22</v>
      </c>
      <c r="J45" s="3">
        <v>5</v>
      </c>
    </row>
    <row r="46" spans="2:13" x14ac:dyDescent="0.25">
      <c r="B46" s="3" t="s">
        <v>26</v>
      </c>
      <c r="C46" s="3" t="s">
        <v>32</v>
      </c>
      <c r="D46" s="6">
        <v>164.9</v>
      </c>
      <c r="E46" s="6">
        <v>4.12</v>
      </c>
      <c r="F46" s="3">
        <v>40</v>
      </c>
      <c r="G46" s="3">
        <v>34</v>
      </c>
      <c r="H46" s="3">
        <v>38</v>
      </c>
      <c r="I46" s="4">
        <v>0.21</v>
      </c>
      <c r="J46" s="3">
        <v>8</v>
      </c>
    </row>
    <row r="47" spans="2:13" x14ac:dyDescent="0.25">
      <c r="B47" s="3" t="s">
        <v>27</v>
      </c>
      <c r="C47" s="3" t="s">
        <v>32</v>
      </c>
      <c r="D47" s="6">
        <v>263.08999999999997</v>
      </c>
      <c r="E47" s="6">
        <v>4.1100000000000003</v>
      </c>
      <c r="F47" s="3">
        <v>64</v>
      </c>
      <c r="G47" s="3">
        <v>55</v>
      </c>
      <c r="H47" s="3">
        <v>60</v>
      </c>
      <c r="I47" s="4">
        <v>0.2</v>
      </c>
      <c r="J47" s="3">
        <v>12</v>
      </c>
    </row>
    <row r="48" spans="2:13" x14ac:dyDescent="0.25">
      <c r="B48" s="3" t="s">
        <v>28</v>
      </c>
      <c r="C48" s="3" t="s">
        <v>32</v>
      </c>
      <c r="D48" s="6">
        <v>172.65</v>
      </c>
      <c r="E48" s="6">
        <v>4.1100000000000003</v>
      </c>
      <c r="F48" s="3">
        <v>42</v>
      </c>
      <c r="G48" s="3">
        <v>36</v>
      </c>
      <c r="H48" s="3">
        <v>40</v>
      </c>
      <c r="I48" s="4">
        <v>0.22</v>
      </c>
      <c r="J48" s="3">
        <v>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852D-FEA2-43C1-BBDB-335DF453B950}">
  <dimension ref="B5:Z27"/>
  <sheetViews>
    <sheetView showGridLines="0" workbookViewId="0"/>
  </sheetViews>
  <sheetFormatPr defaultRowHeight="15" outlineLevelCol="1" x14ac:dyDescent="0.25"/>
  <cols>
    <col min="1" max="1" width="5.7109375" customWidth="1"/>
    <col min="2" max="2" width="18.42578125" customWidth="1"/>
    <col min="3" max="10" width="7.7109375" hidden="1" customWidth="1" outlineLevel="1"/>
    <col min="11" max="11" width="7.7109375" bestFit="1" customWidth="1" collapsed="1"/>
    <col min="12" max="26" width="7.7109375" bestFit="1" customWidth="1"/>
  </cols>
  <sheetData>
    <row r="5" spans="2:26" ht="26.25" x14ac:dyDescent="0.4">
      <c r="B5" s="54" t="s">
        <v>51</v>
      </c>
    </row>
    <row r="7" spans="2:26" hidden="1" x14ac:dyDescent="0.25">
      <c r="C7">
        <v>1</v>
      </c>
      <c r="D7">
        <f>C7+1</f>
        <v>2</v>
      </c>
      <c r="E7">
        <f t="shared" ref="E7:Z7" si="0">D7+1</f>
        <v>3</v>
      </c>
      <c r="F7">
        <f t="shared" si="0"/>
        <v>4</v>
      </c>
      <c r="G7">
        <f t="shared" si="0"/>
        <v>5</v>
      </c>
      <c r="H7">
        <f t="shared" si="0"/>
        <v>6</v>
      </c>
      <c r="I7">
        <f t="shared" si="0"/>
        <v>7</v>
      </c>
      <c r="J7">
        <f t="shared" si="0"/>
        <v>8</v>
      </c>
      <c r="K7">
        <f t="shared" si="0"/>
        <v>9</v>
      </c>
      <c r="L7">
        <f t="shared" si="0"/>
        <v>10</v>
      </c>
      <c r="M7">
        <f t="shared" si="0"/>
        <v>11</v>
      </c>
      <c r="N7">
        <f t="shared" si="0"/>
        <v>12</v>
      </c>
      <c r="O7">
        <f t="shared" si="0"/>
        <v>13</v>
      </c>
      <c r="P7">
        <f t="shared" si="0"/>
        <v>14</v>
      </c>
      <c r="Q7">
        <f t="shared" si="0"/>
        <v>15</v>
      </c>
      <c r="R7">
        <f t="shared" si="0"/>
        <v>16</v>
      </c>
      <c r="S7">
        <f t="shared" si="0"/>
        <v>17</v>
      </c>
      <c r="T7">
        <f t="shared" si="0"/>
        <v>18</v>
      </c>
      <c r="U7">
        <f t="shared" si="0"/>
        <v>19</v>
      </c>
      <c r="V7">
        <f t="shared" si="0"/>
        <v>20</v>
      </c>
      <c r="W7">
        <f t="shared" si="0"/>
        <v>21</v>
      </c>
      <c r="X7">
        <f t="shared" si="0"/>
        <v>22</v>
      </c>
      <c r="Y7">
        <f t="shared" si="0"/>
        <v>23</v>
      </c>
      <c r="Z7">
        <f t="shared" si="0"/>
        <v>24</v>
      </c>
    </row>
    <row r="8" spans="2:26" x14ac:dyDescent="0.25">
      <c r="C8" s="53" t="s">
        <v>16</v>
      </c>
      <c r="D8" s="53" t="s">
        <v>18</v>
      </c>
      <c r="E8" s="53" t="s">
        <v>19</v>
      </c>
      <c r="F8" s="53" t="s">
        <v>20</v>
      </c>
      <c r="G8" s="53" t="s">
        <v>21</v>
      </c>
      <c r="H8" s="53" t="s">
        <v>22</v>
      </c>
      <c r="I8" s="53" t="s">
        <v>23</v>
      </c>
      <c r="J8" s="53" t="s">
        <v>24</v>
      </c>
      <c r="K8" s="53" t="s">
        <v>25</v>
      </c>
      <c r="L8" s="53" t="s">
        <v>26</v>
      </c>
      <c r="M8" s="53" t="s">
        <v>27</v>
      </c>
      <c r="N8" s="53" t="s">
        <v>28</v>
      </c>
      <c r="O8" s="53" t="s">
        <v>36</v>
      </c>
      <c r="P8" s="53" t="s">
        <v>37</v>
      </c>
      <c r="Q8" s="53" t="s">
        <v>38</v>
      </c>
      <c r="R8" s="53" t="s">
        <v>39</v>
      </c>
      <c r="S8" s="53" t="s">
        <v>40</v>
      </c>
      <c r="T8" s="53" t="s">
        <v>41</v>
      </c>
      <c r="U8" s="53" t="s">
        <v>42</v>
      </c>
      <c r="V8" s="53" t="s">
        <v>43</v>
      </c>
      <c r="W8" s="53" t="s">
        <v>44</v>
      </c>
      <c r="X8" s="53" t="s">
        <v>45</v>
      </c>
      <c r="Y8" s="53" t="s">
        <v>46</v>
      </c>
      <c r="Z8" s="53" t="s">
        <v>47</v>
      </c>
    </row>
    <row r="10" spans="2:26" x14ac:dyDescent="0.25">
      <c r="B10" s="46" t="s">
        <v>48</v>
      </c>
    </row>
    <row r="11" spans="2:26" ht="5.0999999999999996" customHeight="1" x14ac:dyDescent="0.25"/>
    <row r="12" spans="2:26" s="9" customFormat="1" x14ac:dyDescent="0.25">
      <c r="B12" s="64" t="s">
        <v>81</v>
      </c>
      <c r="C12" s="63" cm="1">
        <f t="array" ref="C12:N13">TRANSPOSE('Source - Organic Traffic'!D4:E15)</f>
        <v>3</v>
      </c>
      <c r="D12" s="63">
        <v>61</v>
      </c>
      <c r="E12" s="63">
        <v>73</v>
      </c>
      <c r="F12" s="63">
        <v>72</v>
      </c>
      <c r="G12" s="63">
        <v>96</v>
      </c>
      <c r="H12" s="63">
        <v>126</v>
      </c>
      <c r="I12" s="63">
        <v>36</v>
      </c>
      <c r="J12" s="63">
        <v>206</v>
      </c>
      <c r="K12" s="63">
        <v>221</v>
      </c>
      <c r="L12" s="63">
        <v>248</v>
      </c>
      <c r="M12" s="63">
        <v>173</v>
      </c>
      <c r="N12" s="63">
        <v>306</v>
      </c>
      <c r="O12" s="64">
        <f>INT(O14/O13)</f>
        <v>284</v>
      </c>
      <c r="P12" s="64">
        <f t="shared" ref="P12:Z12" si="1">INT(P14/P13)</f>
        <v>303</v>
      </c>
      <c r="Q12" s="64">
        <f t="shared" si="1"/>
        <v>325</v>
      </c>
      <c r="R12" s="64">
        <f t="shared" si="1"/>
        <v>346</v>
      </c>
      <c r="S12" s="64">
        <f t="shared" si="1"/>
        <v>365</v>
      </c>
      <c r="T12" s="64">
        <f t="shared" si="1"/>
        <v>387</v>
      </c>
      <c r="U12" s="64">
        <f t="shared" si="1"/>
        <v>409</v>
      </c>
      <c r="V12" s="64">
        <f t="shared" si="1"/>
        <v>428</v>
      </c>
      <c r="W12" s="64">
        <f t="shared" si="1"/>
        <v>450</v>
      </c>
      <c r="X12" s="64">
        <f t="shared" si="1"/>
        <v>471</v>
      </c>
      <c r="Y12" s="64">
        <f t="shared" si="1"/>
        <v>490</v>
      </c>
      <c r="Z12" s="64">
        <f t="shared" si="1"/>
        <v>512</v>
      </c>
    </row>
    <row r="13" spans="2:26" x14ac:dyDescent="0.25">
      <c r="B13" s="3" t="s">
        <v>83</v>
      </c>
      <c r="C13" s="65">
        <v>0.3</v>
      </c>
      <c r="D13" s="65">
        <v>0.31</v>
      </c>
      <c r="E13" s="65">
        <v>0.34</v>
      </c>
      <c r="F13" s="65">
        <v>0.33</v>
      </c>
      <c r="G13" s="65">
        <v>0.32</v>
      </c>
      <c r="H13" s="65">
        <v>0.3</v>
      </c>
      <c r="I13" s="65">
        <v>0.33</v>
      </c>
      <c r="J13" s="65">
        <v>0.31</v>
      </c>
      <c r="K13" s="65">
        <v>0.32</v>
      </c>
      <c r="L13" s="65">
        <v>0.31</v>
      </c>
      <c r="M13" s="65">
        <v>0.3</v>
      </c>
      <c r="N13" s="65">
        <v>0.32</v>
      </c>
      <c r="O13" s="13">
        <f>Assumptions!$C$12</f>
        <v>0.32</v>
      </c>
      <c r="P13" s="13">
        <f>Assumptions!$C$12</f>
        <v>0.32</v>
      </c>
      <c r="Q13" s="13">
        <f>Assumptions!$C$12</f>
        <v>0.32</v>
      </c>
      <c r="R13" s="13">
        <f>Assumptions!$C$12</f>
        <v>0.32</v>
      </c>
      <c r="S13" s="13">
        <f>Assumptions!$C$12</f>
        <v>0.32</v>
      </c>
      <c r="T13" s="13">
        <f>Assumptions!$C$12</f>
        <v>0.32</v>
      </c>
      <c r="U13" s="13">
        <f>Assumptions!$C$12</f>
        <v>0.32</v>
      </c>
      <c r="V13" s="13">
        <f>Assumptions!$C$12</f>
        <v>0.32</v>
      </c>
      <c r="W13" s="13">
        <f>Assumptions!$C$12</f>
        <v>0.32</v>
      </c>
      <c r="X13" s="13">
        <f>Assumptions!$C$12</f>
        <v>0.32</v>
      </c>
      <c r="Y13" s="13">
        <f>Assumptions!$C$12</f>
        <v>0.32</v>
      </c>
      <c r="Z13" s="13">
        <f>Assumptions!$C$12</f>
        <v>0.32</v>
      </c>
    </row>
    <row r="14" spans="2:26" s="9" customFormat="1" x14ac:dyDescent="0.25">
      <c r="B14" s="64" t="s">
        <v>116</v>
      </c>
      <c r="C14" s="83">
        <f>C12*C13</f>
        <v>0.89999999999999991</v>
      </c>
      <c r="D14" s="83">
        <f t="shared" ref="D14:N14" si="2">D12*D13</f>
        <v>18.91</v>
      </c>
      <c r="E14" s="83">
        <f t="shared" si="2"/>
        <v>24.82</v>
      </c>
      <c r="F14" s="83">
        <f t="shared" si="2"/>
        <v>23.76</v>
      </c>
      <c r="G14" s="83">
        <f t="shared" si="2"/>
        <v>30.72</v>
      </c>
      <c r="H14" s="83">
        <f t="shared" si="2"/>
        <v>37.799999999999997</v>
      </c>
      <c r="I14" s="83">
        <f t="shared" si="2"/>
        <v>11.88</v>
      </c>
      <c r="J14" s="83">
        <f t="shared" si="2"/>
        <v>63.86</v>
      </c>
      <c r="K14" s="83">
        <f t="shared" si="2"/>
        <v>70.72</v>
      </c>
      <c r="L14" s="83">
        <f t="shared" si="2"/>
        <v>76.88</v>
      </c>
      <c r="M14" s="83">
        <f t="shared" si="2"/>
        <v>51.9</v>
      </c>
      <c r="N14" s="83">
        <f t="shared" si="2"/>
        <v>97.92</v>
      </c>
      <c r="O14" s="84">
        <f>INT((Assumptions!$C$9*'INPUTS Leads - Organic Traffic'!O7)+Assumptions!$C$10)</f>
        <v>91</v>
      </c>
      <c r="P14" s="70">
        <f>INT((Assumptions!$C$9*'INPUTS Leads - Organic Traffic'!P7)+Assumptions!$C$10)</f>
        <v>97</v>
      </c>
      <c r="Q14" s="70">
        <f>INT((Assumptions!$C$9*'INPUTS Leads - Organic Traffic'!Q7)+Assumptions!$C$10)</f>
        <v>104</v>
      </c>
      <c r="R14" s="70">
        <f>INT((Assumptions!$C$9*'INPUTS Leads - Organic Traffic'!R7)+Assumptions!$C$10)</f>
        <v>111</v>
      </c>
      <c r="S14" s="70">
        <f>INT((Assumptions!$C$9*'INPUTS Leads - Organic Traffic'!S7)+Assumptions!$C$10)</f>
        <v>117</v>
      </c>
      <c r="T14" s="70">
        <f>INT((Assumptions!$C$9*'INPUTS Leads - Organic Traffic'!T7)+Assumptions!$C$10)</f>
        <v>124</v>
      </c>
      <c r="U14" s="70">
        <f>INT((Assumptions!$C$9*'INPUTS Leads - Organic Traffic'!U7)+Assumptions!$C$10)</f>
        <v>131</v>
      </c>
      <c r="V14" s="70">
        <f>INT((Assumptions!$C$9*'INPUTS Leads - Organic Traffic'!V7)+Assumptions!$C$10)</f>
        <v>137</v>
      </c>
      <c r="W14" s="70">
        <f>INT((Assumptions!$C$9*'INPUTS Leads - Organic Traffic'!W7)+Assumptions!$C$10)</f>
        <v>144</v>
      </c>
      <c r="X14" s="70">
        <f>INT((Assumptions!$C$9*'INPUTS Leads - Organic Traffic'!X7)+Assumptions!$C$10)</f>
        <v>151</v>
      </c>
      <c r="Y14" s="70">
        <f>INT((Assumptions!$C$9*'INPUTS Leads - Organic Traffic'!Y7)+Assumptions!$C$10)</f>
        <v>157</v>
      </c>
      <c r="Z14" s="70">
        <f>INT((Assumptions!$C$9*'INPUTS Leads - Organic Traffic'!Z7)+Assumptions!$C$10)</f>
        <v>164</v>
      </c>
    </row>
    <row r="16" spans="2:26" x14ac:dyDescent="0.25">
      <c r="B16" s="46" t="s">
        <v>82</v>
      </c>
    </row>
    <row r="17" spans="2:26" ht="5.0999999999999996" customHeight="1" x14ac:dyDescent="0.25"/>
    <row r="18" spans="2:26" s="9" customFormat="1" x14ac:dyDescent="0.25">
      <c r="B18" s="64" t="s">
        <v>81</v>
      </c>
      <c r="C18" s="63" cm="1">
        <f t="array" ref="C18:N19">TRANSPOSE('Source - Organic Traffic'!D21:E32)</f>
        <v>10</v>
      </c>
      <c r="D18" s="63">
        <v>709</v>
      </c>
      <c r="E18" s="63">
        <v>1216</v>
      </c>
      <c r="F18" s="63">
        <v>982</v>
      </c>
      <c r="G18" s="63">
        <v>1286</v>
      </c>
      <c r="H18" s="63">
        <v>1725</v>
      </c>
      <c r="I18" s="63">
        <v>669</v>
      </c>
      <c r="J18" s="63">
        <v>4457</v>
      </c>
      <c r="K18" s="63">
        <v>3459</v>
      </c>
      <c r="L18" s="63">
        <v>4066</v>
      </c>
      <c r="M18" s="63">
        <v>5240</v>
      </c>
      <c r="N18" s="63">
        <v>4404</v>
      </c>
      <c r="O18" s="64">
        <f>INT(O20/O19)</f>
        <v>5277</v>
      </c>
      <c r="P18" s="64">
        <f t="shared" ref="P18:Z18" si="3">INT(P20/P19)</f>
        <v>5690</v>
      </c>
      <c r="Q18" s="64">
        <f t="shared" si="3"/>
        <v>6104</v>
      </c>
      <c r="R18" s="64">
        <f t="shared" si="3"/>
        <v>6522</v>
      </c>
      <c r="S18" s="64">
        <f t="shared" si="3"/>
        <v>6936</v>
      </c>
      <c r="T18" s="64">
        <f t="shared" si="3"/>
        <v>7354</v>
      </c>
      <c r="U18" s="64">
        <f t="shared" si="3"/>
        <v>7768</v>
      </c>
      <c r="V18" s="64">
        <f t="shared" si="3"/>
        <v>8181</v>
      </c>
      <c r="W18" s="64">
        <f t="shared" si="3"/>
        <v>8600</v>
      </c>
      <c r="X18" s="64">
        <f t="shared" si="3"/>
        <v>9013</v>
      </c>
      <c r="Y18" s="64">
        <f t="shared" si="3"/>
        <v>9427</v>
      </c>
      <c r="Z18" s="64">
        <f t="shared" si="3"/>
        <v>9845</v>
      </c>
    </row>
    <row r="19" spans="2:26" x14ac:dyDescent="0.25">
      <c r="B19" s="3" t="s">
        <v>83</v>
      </c>
      <c r="C19" s="65">
        <v>0.2</v>
      </c>
      <c r="D19" s="65">
        <v>0.21</v>
      </c>
      <c r="E19" s="65">
        <v>0.24</v>
      </c>
      <c r="F19" s="65">
        <v>0.23</v>
      </c>
      <c r="G19" s="65">
        <v>0.22</v>
      </c>
      <c r="H19" s="65">
        <v>0.2</v>
      </c>
      <c r="I19" s="65">
        <v>0.23</v>
      </c>
      <c r="J19" s="65">
        <v>0.21</v>
      </c>
      <c r="K19" s="65">
        <v>0.22</v>
      </c>
      <c r="L19" s="65">
        <v>0.21</v>
      </c>
      <c r="M19" s="65">
        <v>0.2</v>
      </c>
      <c r="N19" s="65">
        <v>0.22</v>
      </c>
      <c r="O19" s="13">
        <f>Assumptions!$C$20</f>
        <v>0.22</v>
      </c>
      <c r="P19" s="13">
        <f>Assumptions!$C$20</f>
        <v>0.22</v>
      </c>
      <c r="Q19" s="13">
        <f>Assumptions!$C$20</f>
        <v>0.22</v>
      </c>
      <c r="R19" s="13">
        <f>Assumptions!$C$20</f>
        <v>0.22</v>
      </c>
      <c r="S19" s="13">
        <f>Assumptions!$C$20</f>
        <v>0.22</v>
      </c>
      <c r="T19" s="13">
        <f>Assumptions!$C$20</f>
        <v>0.22</v>
      </c>
      <c r="U19" s="13">
        <f>Assumptions!$C$20</f>
        <v>0.22</v>
      </c>
      <c r="V19" s="13">
        <f>Assumptions!$C$20</f>
        <v>0.22</v>
      </c>
      <c r="W19" s="13">
        <f>Assumptions!$C$20</f>
        <v>0.22</v>
      </c>
      <c r="X19" s="13">
        <f>Assumptions!$C$20</f>
        <v>0.22</v>
      </c>
      <c r="Y19" s="13">
        <f>Assumptions!$C$20</f>
        <v>0.22</v>
      </c>
      <c r="Z19" s="13">
        <f>Assumptions!$C$20</f>
        <v>0.22</v>
      </c>
    </row>
    <row r="20" spans="2:26" s="9" customFormat="1" x14ac:dyDescent="0.25">
      <c r="B20" s="64" t="s">
        <v>117</v>
      </c>
      <c r="C20" s="83">
        <f>C19*C18</f>
        <v>2</v>
      </c>
      <c r="D20" s="83">
        <f t="shared" ref="D20:N20" si="4">D19*D18</f>
        <v>148.88999999999999</v>
      </c>
      <c r="E20" s="83">
        <f t="shared" si="4"/>
        <v>291.83999999999997</v>
      </c>
      <c r="F20" s="83">
        <f t="shared" si="4"/>
        <v>225.86</v>
      </c>
      <c r="G20" s="83">
        <f t="shared" si="4"/>
        <v>282.92</v>
      </c>
      <c r="H20" s="83">
        <f t="shared" si="4"/>
        <v>345</v>
      </c>
      <c r="I20" s="83">
        <f t="shared" si="4"/>
        <v>153.87</v>
      </c>
      <c r="J20" s="83">
        <f t="shared" si="4"/>
        <v>935.96999999999991</v>
      </c>
      <c r="K20" s="83">
        <f t="shared" si="4"/>
        <v>760.98</v>
      </c>
      <c r="L20" s="83">
        <f t="shared" si="4"/>
        <v>853.86</v>
      </c>
      <c r="M20" s="83">
        <f t="shared" si="4"/>
        <v>1048</v>
      </c>
      <c r="N20" s="83">
        <f t="shared" si="4"/>
        <v>968.88</v>
      </c>
      <c r="O20" s="84">
        <f>INT((Assumptions!$C$17*'INPUTS Leads - Organic Traffic'!O7)+Assumptions!$C$18)</f>
        <v>1161</v>
      </c>
      <c r="P20" s="70">
        <f>INT((Assumptions!$C$17*'INPUTS Leads - Organic Traffic'!P7)+Assumptions!$C$18)</f>
        <v>1252</v>
      </c>
      <c r="Q20" s="70">
        <f>INT((Assumptions!$C$17*'INPUTS Leads - Organic Traffic'!Q7)+Assumptions!$C$18)</f>
        <v>1343</v>
      </c>
      <c r="R20" s="70">
        <f>INT((Assumptions!$C$17*'INPUTS Leads - Organic Traffic'!R7)+Assumptions!$C$18)</f>
        <v>1435</v>
      </c>
      <c r="S20" s="70">
        <f>INT((Assumptions!$C$17*'INPUTS Leads - Organic Traffic'!S7)+Assumptions!$C$18)</f>
        <v>1526</v>
      </c>
      <c r="T20" s="70">
        <f>INT((Assumptions!$C$17*'INPUTS Leads - Organic Traffic'!T7)+Assumptions!$C$18)</f>
        <v>1618</v>
      </c>
      <c r="U20" s="70">
        <f>INT((Assumptions!$C$17*'INPUTS Leads - Organic Traffic'!U7)+Assumptions!$C$18)</f>
        <v>1709</v>
      </c>
      <c r="V20" s="70">
        <f>INT((Assumptions!$C$17*'INPUTS Leads - Organic Traffic'!V7)+Assumptions!$C$18)</f>
        <v>1800</v>
      </c>
      <c r="W20" s="70">
        <f>INT((Assumptions!$C$17*'INPUTS Leads - Organic Traffic'!W7)+Assumptions!$C$18)</f>
        <v>1892</v>
      </c>
      <c r="X20" s="70">
        <f>INT((Assumptions!$C$17*'INPUTS Leads - Organic Traffic'!X7)+Assumptions!$C$18)</f>
        <v>1983</v>
      </c>
      <c r="Y20" s="70">
        <f>INT((Assumptions!$C$17*'INPUTS Leads - Organic Traffic'!Y7)+Assumptions!$C$18)</f>
        <v>2074</v>
      </c>
      <c r="Z20" s="70">
        <f>INT((Assumptions!$C$17*'INPUTS Leads - Organic Traffic'!Z7)+Assumptions!$C$18)</f>
        <v>2166</v>
      </c>
    </row>
    <row r="23" spans="2:26" x14ac:dyDescent="0.25">
      <c r="B23" s="20" t="s">
        <v>49</v>
      </c>
      <c r="C23" s="70">
        <f>SUM(C14,C20)</f>
        <v>2.9</v>
      </c>
      <c r="D23" s="70">
        <f t="shared" ref="D23:Z23" si="5">SUM(D14,D20)</f>
        <v>167.79999999999998</v>
      </c>
      <c r="E23" s="70">
        <f t="shared" si="5"/>
        <v>316.65999999999997</v>
      </c>
      <c r="F23" s="70">
        <f t="shared" si="5"/>
        <v>249.62</v>
      </c>
      <c r="G23" s="70">
        <f t="shared" si="5"/>
        <v>313.64</v>
      </c>
      <c r="H23" s="70">
        <f t="shared" si="5"/>
        <v>382.8</v>
      </c>
      <c r="I23" s="70">
        <f t="shared" si="5"/>
        <v>165.75</v>
      </c>
      <c r="J23" s="70">
        <f t="shared" si="5"/>
        <v>999.82999999999993</v>
      </c>
      <c r="K23" s="70">
        <f t="shared" si="5"/>
        <v>831.7</v>
      </c>
      <c r="L23" s="70">
        <f t="shared" si="5"/>
        <v>930.74</v>
      </c>
      <c r="M23" s="70">
        <f t="shared" si="5"/>
        <v>1099.9000000000001</v>
      </c>
      <c r="N23" s="70">
        <f t="shared" si="5"/>
        <v>1066.8</v>
      </c>
      <c r="O23" s="70">
        <f t="shared" si="5"/>
        <v>1252</v>
      </c>
      <c r="P23" s="70">
        <f t="shared" si="5"/>
        <v>1349</v>
      </c>
      <c r="Q23" s="70">
        <f t="shared" si="5"/>
        <v>1447</v>
      </c>
      <c r="R23" s="70">
        <f t="shared" si="5"/>
        <v>1546</v>
      </c>
      <c r="S23" s="70">
        <f t="shared" si="5"/>
        <v>1643</v>
      </c>
      <c r="T23" s="70">
        <f t="shared" si="5"/>
        <v>1742</v>
      </c>
      <c r="U23" s="70">
        <f t="shared" si="5"/>
        <v>1840</v>
      </c>
      <c r="V23" s="70">
        <f t="shared" si="5"/>
        <v>1937</v>
      </c>
      <c r="W23" s="70">
        <f t="shared" si="5"/>
        <v>2036</v>
      </c>
      <c r="X23" s="70">
        <f t="shared" si="5"/>
        <v>2134</v>
      </c>
      <c r="Y23" s="70">
        <f t="shared" si="5"/>
        <v>2231</v>
      </c>
      <c r="Z23" s="70">
        <f t="shared" si="5"/>
        <v>2330</v>
      </c>
    </row>
    <row r="24" spans="2:26" x14ac:dyDescent="0.25">
      <c r="B24" s="20" t="s">
        <v>50</v>
      </c>
      <c r="C24" s="70">
        <f>C12+C18</f>
        <v>13</v>
      </c>
      <c r="D24" s="70">
        <f t="shared" ref="D24:Z24" si="6">D12+D18</f>
        <v>770</v>
      </c>
      <c r="E24" s="70">
        <f t="shared" si="6"/>
        <v>1289</v>
      </c>
      <c r="F24" s="70">
        <f t="shared" si="6"/>
        <v>1054</v>
      </c>
      <c r="G24" s="70">
        <f t="shared" si="6"/>
        <v>1382</v>
      </c>
      <c r="H24" s="70">
        <f t="shared" si="6"/>
        <v>1851</v>
      </c>
      <c r="I24" s="70">
        <f t="shared" si="6"/>
        <v>705</v>
      </c>
      <c r="J24" s="70">
        <f t="shared" si="6"/>
        <v>4663</v>
      </c>
      <c r="K24" s="70">
        <f t="shared" si="6"/>
        <v>3680</v>
      </c>
      <c r="L24" s="70">
        <f t="shared" si="6"/>
        <v>4314</v>
      </c>
      <c r="M24" s="70">
        <f t="shared" si="6"/>
        <v>5413</v>
      </c>
      <c r="N24" s="70">
        <f t="shared" si="6"/>
        <v>4710</v>
      </c>
      <c r="O24" s="70">
        <f t="shared" si="6"/>
        <v>5561</v>
      </c>
      <c r="P24" s="70">
        <f t="shared" si="6"/>
        <v>5993</v>
      </c>
      <c r="Q24" s="70">
        <f t="shared" si="6"/>
        <v>6429</v>
      </c>
      <c r="R24" s="70">
        <f t="shared" si="6"/>
        <v>6868</v>
      </c>
      <c r="S24" s="70">
        <f t="shared" si="6"/>
        <v>7301</v>
      </c>
      <c r="T24" s="70">
        <f t="shared" si="6"/>
        <v>7741</v>
      </c>
      <c r="U24" s="70">
        <f t="shared" si="6"/>
        <v>8177</v>
      </c>
      <c r="V24" s="70">
        <f t="shared" si="6"/>
        <v>8609</v>
      </c>
      <c r="W24" s="70">
        <f t="shared" si="6"/>
        <v>9050</v>
      </c>
      <c r="X24" s="70">
        <f t="shared" si="6"/>
        <v>9484</v>
      </c>
      <c r="Y24" s="70">
        <f t="shared" si="6"/>
        <v>9917</v>
      </c>
      <c r="Z24" s="70">
        <f t="shared" si="6"/>
        <v>10357</v>
      </c>
    </row>
    <row r="27" spans="2:26" x14ac:dyDescent="0.25">
      <c r="W27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9691-C39F-4D06-B6A5-FBE9977B2F3A}">
  <dimension ref="B2:G32"/>
  <sheetViews>
    <sheetView workbookViewId="0">
      <selection activeCell="I24" sqref="I24"/>
    </sheetView>
  </sheetViews>
  <sheetFormatPr defaultRowHeight="15" x14ac:dyDescent="0.25"/>
  <cols>
    <col min="2" max="4" width="14.28515625" customWidth="1"/>
    <col min="5" max="5" width="20.85546875" customWidth="1"/>
    <col min="6" max="6" width="23" customWidth="1"/>
    <col min="7" max="7" width="14.28515625" customWidth="1"/>
  </cols>
  <sheetData>
    <row r="2" spans="2:7" x14ac:dyDescent="0.25">
      <c r="B2" t="s">
        <v>33</v>
      </c>
    </row>
    <row r="3" spans="2:7" x14ac:dyDescent="0.25">
      <c r="B3" s="3" t="s">
        <v>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34</v>
      </c>
    </row>
    <row r="4" spans="2:7" x14ac:dyDescent="0.25">
      <c r="B4" s="3" t="s">
        <v>16</v>
      </c>
      <c r="C4" s="3">
        <v>2</v>
      </c>
      <c r="D4" s="3">
        <v>3</v>
      </c>
      <c r="E4" s="4">
        <v>0.3</v>
      </c>
      <c r="F4" s="3">
        <v>1</v>
      </c>
      <c r="G4" s="3">
        <v>1</v>
      </c>
    </row>
    <row r="5" spans="2:7" x14ac:dyDescent="0.25">
      <c r="B5" s="3" t="s">
        <v>18</v>
      </c>
      <c r="C5" s="3">
        <v>56</v>
      </c>
      <c r="D5" s="3">
        <v>61</v>
      </c>
      <c r="E5" s="4">
        <v>0.31</v>
      </c>
      <c r="F5" s="3">
        <v>19</v>
      </c>
      <c r="G5" s="3">
        <v>19</v>
      </c>
    </row>
    <row r="6" spans="2:7" x14ac:dyDescent="0.25">
      <c r="B6" s="3" t="s">
        <v>19</v>
      </c>
      <c r="C6" s="3">
        <v>67</v>
      </c>
      <c r="D6" s="3">
        <v>73</v>
      </c>
      <c r="E6" s="4">
        <v>0.34</v>
      </c>
      <c r="F6" s="3">
        <v>25</v>
      </c>
      <c r="G6" s="3">
        <v>24</v>
      </c>
    </row>
    <row r="7" spans="2:7" x14ac:dyDescent="0.25">
      <c r="B7" s="3" t="s">
        <v>20</v>
      </c>
      <c r="C7" s="3">
        <v>66</v>
      </c>
      <c r="D7" s="3">
        <v>72</v>
      </c>
      <c r="E7" s="4">
        <v>0.33</v>
      </c>
      <c r="F7" s="3">
        <v>24</v>
      </c>
      <c r="G7" s="3">
        <v>23</v>
      </c>
    </row>
    <row r="8" spans="2:7" x14ac:dyDescent="0.25">
      <c r="B8" s="3" t="s">
        <v>21</v>
      </c>
      <c r="C8" s="3">
        <v>88</v>
      </c>
      <c r="D8" s="3">
        <v>96</v>
      </c>
      <c r="E8" s="4">
        <v>0.32</v>
      </c>
      <c r="F8" s="3">
        <v>31</v>
      </c>
      <c r="G8" s="3">
        <v>30</v>
      </c>
    </row>
    <row r="9" spans="2:7" x14ac:dyDescent="0.25">
      <c r="B9" s="3" t="s">
        <v>22</v>
      </c>
      <c r="C9" s="3">
        <v>115</v>
      </c>
      <c r="D9" s="3">
        <v>126</v>
      </c>
      <c r="E9" s="4">
        <v>0.3</v>
      </c>
      <c r="F9" s="3">
        <v>38</v>
      </c>
      <c r="G9" s="3">
        <v>37</v>
      </c>
    </row>
    <row r="10" spans="2:7" x14ac:dyDescent="0.25">
      <c r="B10" s="3" t="s">
        <v>23</v>
      </c>
      <c r="C10" s="3">
        <v>33</v>
      </c>
      <c r="D10" s="3">
        <v>36</v>
      </c>
      <c r="E10" s="4">
        <v>0.33</v>
      </c>
      <c r="F10" s="3">
        <v>12</v>
      </c>
      <c r="G10" s="3">
        <v>12</v>
      </c>
    </row>
    <row r="11" spans="2:7" x14ac:dyDescent="0.25">
      <c r="B11" s="3" t="s">
        <v>24</v>
      </c>
      <c r="C11" s="3">
        <v>189</v>
      </c>
      <c r="D11" s="3">
        <v>206</v>
      </c>
      <c r="E11" s="4">
        <v>0.31</v>
      </c>
      <c r="F11" s="3">
        <v>64</v>
      </c>
      <c r="G11" s="3">
        <v>61</v>
      </c>
    </row>
    <row r="12" spans="2:7" x14ac:dyDescent="0.25">
      <c r="B12" s="3" t="s">
        <v>25</v>
      </c>
      <c r="C12" s="3">
        <v>203</v>
      </c>
      <c r="D12" s="3">
        <v>221</v>
      </c>
      <c r="E12" s="4">
        <v>0.32</v>
      </c>
      <c r="F12" s="3">
        <v>71</v>
      </c>
      <c r="G12" s="3">
        <v>68</v>
      </c>
    </row>
    <row r="13" spans="2:7" x14ac:dyDescent="0.25">
      <c r="B13" s="3" t="s">
        <v>26</v>
      </c>
      <c r="C13" s="3">
        <v>228</v>
      </c>
      <c r="D13" s="3">
        <v>248</v>
      </c>
      <c r="E13" s="4">
        <v>0.31</v>
      </c>
      <c r="F13" s="3">
        <v>77</v>
      </c>
      <c r="G13" s="3">
        <v>74</v>
      </c>
    </row>
    <row r="14" spans="2:7" x14ac:dyDescent="0.25">
      <c r="B14" s="3" t="s">
        <v>27</v>
      </c>
      <c r="C14" s="3">
        <v>159</v>
      </c>
      <c r="D14" s="3">
        <v>173</v>
      </c>
      <c r="E14" s="4">
        <v>0.3</v>
      </c>
      <c r="F14" s="3">
        <v>52</v>
      </c>
      <c r="G14" s="3">
        <v>50</v>
      </c>
    </row>
    <row r="15" spans="2:7" x14ac:dyDescent="0.25">
      <c r="B15" s="3" t="s">
        <v>28</v>
      </c>
      <c r="C15" s="3">
        <v>281</v>
      </c>
      <c r="D15" s="3">
        <v>306</v>
      </c>
      <c r="E15" s="4">
        <v>0.32</v>
      </c>
      <c r="F15" s="3">
        <v>98</v>
      </c>
      <c r="G15" s="3">
        <v>94</v>
      </c>
    </row>
    <row r="19" spans="2:7" x14ac:dyDescent="0.25">
      <c r="B19" t="s">
        <v>35</v>
      </c>
    </row>
    <row r="20" spans="2:7" x14ac:dyDescent="0.25">
      <c r="B20" s="3" t="s">
        <v>9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34</v>
      </c>
    </row>
    <row r="21" spans="2:7" x14ac:dyDescent="0.25">
      <c r="B21" s="3" t="s">
        <v>16</v>
      </c>
      <c r="C21" s="3">
        <v>9</v>
      </c>
      <c r="D21" s="3">
        <v>10</v>
      </c>
      <c r="E21" s="4">
        <v>0.2</v>
      </c>
      <c r="F21" s="3">
        <v>2</v>
      </c>
      <c r="G21" s="3">
        <v>2</v>
      </c>
    </row>
    <row r="22" spans="2:7" x14ac:dyDescent="0.25">
      <c r="B22" s="3" t="s">
        <v>18</v>
      </c>
      <c r="C22" s="3">
        <v>652</v>
      </c>
      <c r="D22" s="3">
        <v>709</v>
      </c>
      <c r="E22" s="4">
        <v>0.21</v>
      </c>
      <c r="F22" s="3">
        <v>149</v>
      </c>
      <c r="G22" s="3">
        <v>142</v>
      </c>
    </row>
    <row r="23" spans="2:7" x14ac:dyDescent="0.25">
      <c r="B23" s="3" t="s">
        <v>19</v>
      </c>
      <c r="C23" s="3">
        <v>1118</v>
      </c>
      <c r="D23" s="3">
        <v>1216</v>
      </c>
      <c r="E23" s="4">
        <v>0.24</v>
      </c>
      <c r="F23" s="3">
        <v>292</v>
      </c>
      <c r="G23" s="3">
        <v>279</v>
      </c>
    </row>
    <row r="24" spans="2:7" x14ac:dyDescent="0.25">
      <c r="B24" s="3" t="s">
        <v>20</v>
      </c>
      <c r="C24" s="3">
        <v>903</v>
      </c>
      <c r="D24" s="3">
        <v>982</v>
      </c>
      <c r="E24" s="4">
        <v>0.23</v>
      </c>
      <c r="F24" s="3">
        <v>226</v>
      </c>
      <c r="G24" s="3">
        <v>216</v>
      </c>
    </row>
    <row r="25" spans="2:7" x14ac:dyDescent="0.25">
      <c r="B25" s="3" t="s">
        <v>21</v>
      </c>
      <c r="C25" s="3">
        <v>1183</v>
      </c>
      <c r="D25" s="3">
        <v>1286</v>
      </c>
      <c r="E25" s="4">
        <v>0.22</v>
      </c>
      <c r="F25" s="3">
        <v>283</v>
      </c>
      <c r="G25" s="3">
        <v>270</v>
      </c>
    </row>
    <row r="26" spans="2:7" x14ac:dyDescent="0.25">
      <c r="B26" s="3" t="s">
        <v>22</v>
      </c>
      <c r="C26" s="3">
        <v>1587</v>
      </c>
      <c r="D26" s="3">
        <v>1725</v>
      </c>
      <c r="E26" s="4">
        <v>0.2</v>
      </c>
      <c r="F26" s="3">
        <v>345</v>
      </c>
      <c r="G26" s="3">
        <v>329</v>
      </c>
    </row>
    <row r="27" spans="2:7" x14ac:dyDescent="0.25">
      <c r="B27" s="3" t="s">
        <v>23</v>
      </c>
      <c r="C27" s="3">
        <v>615</v>
      </c>
      <c r="D27" s="3">
        <v>669</v>
      </c>
      <c r="E27" s="4">
        <v>0.23</v>
      </c>
      <c r="F27" s="3">
        <v>154</v>
      </c>
      <c r="G27" s="3">
        <v>147</v>
      </c>
    </row>
    <row r="28" spans="2:7" x14ac:dyDescent="0.25">
      <c r="B28" s="3" t="s">
        <v>24</v>
      </c>
      <c r="C28" s="3">
        <v>4100</v>
      </c>
      <c r="D28" s="3">
        <v>4457</v>
      </c>
      <c r="E28" s="4">
        <v>0.21</v>
      </c>
      <c r="F28" s="3">
        <v>936</v>
      </c>
      <c r="G28" s="3">
        <v>892</v>
      </c>
    </row>
    <row r="29" spans="2:7" x14ac:dyDescent="0.25">
      <c r="B29" s="3" t="s">
        <v>25</v>
      </c>
      <c r="C29" s="3">
        <v>3182</v>
      </c>
      <c r="D29" s="3">
        <v>3459</v>
      </c>
      <c r="E29" s="4">
        <v>0.22</v>
      </c>
      <c r="F29" s="3">
        <v>761</v>
      </c>
      <c r="G29" s="3">
        <v>725</v>
      </c>
    </row>
    <row r="30" spans="2:7" x14ac:dyDescent="0.25">
      <c r="B30" s="3" t="s">
        <v>26</v>
      </c>
      <c r="C30" s="3">
        <v>3740</v>
      </c>
      <c r="D30" s="3">
        <v>4066</v>
      </c>
      <c r="E30" s="4">
        <v>0.21</v>
      </c>
      <c r="F30" s="3">
        <v>854</v>
      </c>
      <c r="G30" s="3">
        <v>814</v>
      </c>
    </row>
    <row r="31" spans="2:7" x14ac:dyDescent="0.25">
      <c r="B31" s="3" t="s">
        <v>27</v>
      </c>
      <c r="C31" s="3">
        <v>4820</v>
      </c>
      <c r="D31" s="3">
        <v>5240</v>
      </c>
      <c r="E31" s="4">
        <v>0.2</v>
      </c>
      <c r="F31" s="3">
        <v>1048</v>
      </c>
      <c r="G31" s="3">
        <v>999</v>
      </c>
    </row>
    <row r="32" spans="2:7" x14ac:dyDescent="0.25">
      <c r="B32" s="3" t="s">
        <v>28</v>
      </c>
      <c r="C32" s="3">
        <v>4051</v>
      </c>
      <c r="D32" s="3">
        <v>4404</v>
      </c>
      <c r="E32" s="4">
        <v>0.22</v>
      </c>
      <c r="F32" s="3">
        <v>969</v>
      </c>
      <c r="G32" s="3">
        <v>923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DAA-7C3A-4830-88DF-20B878F2FB2C}">
  <dimension ref="B3:AB41"/>
  <sheetViews>
    <sheetView showGridLines="0" topLeftCell="A13" zoomScaleNormal="100" workbookViewId="0">
      <selection activeCell="AE33" sqref="AE33"/>
    </sheetView>
  </sheetViews>
  <sheetFormatPr defaultRowHeight="15" outlineLevelCol="1" x14ac:dyDescent="0.25"/>
  <cols>
    <col min="1" max="1" width="5.7109375" customWidth="1"/>
    <col min="2" max="2" width="28.85546875" bestFit="1" customWidth="1"/>
    <col min="3" max="10" width="7.7109375" hidden="1" customWidth="1" outlineLevel="1"/>
    <col min="11" max="11" width="7.7109375" bestFit="1" customWidth="1" collapsed="1"/>
    <col min="12" max="26" width="7.7109375" bestFit="1" customWidth="1"/>
  </cols>
  <sheetData>
    <row r="3" spans="2:27" x14ac:dyDescent="0.25">
      <c r="B3" s="37"/>
    </row>
    <row r="4" spans="2:27" x14ac:dyDescent="0.25">
      <c r="B4" s="37"/>
    </row>
    <row r="5" spans="2:27" ht="26.25" x14ac:dyDescent="0.4">
      <c r="B5" s="54" t="s">
        <v>54</v>
      </c>
    </row>
    <row r="7" spans="2:27" x14ac:dyDescent="0.25">
      <c r="C7" s="53">
        <v>42887</v>
      </c>
      <c r="D7" s="53">
        <f>EOMONTH(C7,1)</f>
        <v>42947</v>
      </c>
      <c r="E7" s="53">
        <f t="shared" ref="E7:N7" si="0">EOMONTH(D7,1)</f>
        <v>42978</v>
      </c>
      <c r="F7" s="53">
        <f t="shared" si="0"/>
        <v>43008</v>
      </c>
      <c r="G7" s="53">
        <f t="shared" si="0"/>
        <v>43039</v>
      </c>
      <c r="H7" s="53">
        <f t="shared" si="0"/>
        <v>43069</v>
      </c>
      <c r="I7" s="53">
        <f t="shared" si="0"/>
        <v>43100</v>
      </c>
      <c r="J7" s="53">
        <f t="shared" si="0"/>
        <v>43131</v>
      </c>
      <c r="K7" s="53">
        <f t="shared" si="0"/>
        <v>43159</v>
      </c>
      <c r="L7" s="53">
        <f t="shared" si="0"/>
        <v>43190</v>
      </c>
      <c r="M7" s="53">
        <f t="shared" si="0"/>
        <v>43220</v>
      </c>
      <c r="N7" s="53">
        <f t="shared" si="0"/>
        <v>43251</v>
      </c>
      <c r="O7" s="53">
        <f t="shared" ref="O7" si="1">EOMONTH(N7,1)</f>
        <v>43281</v>
      </c>
      <c r="P7" s="53">
        <f t="shared" ref="P7" si="2">EOMONTH(O7,1)</f>
        <v>43312</v>
      </c>
      <c r="Q7" s="53">
        <f t="shared" ref="Q7" si="3">EOMONTH(P7,1)</f>
        <v>43343</v>
      </c>
      <c r="R7" s="53">
        <f t="shared" ref="R7" si="4">EOMONTH(Q7,1)</f>
        <v>43373</v>
      </c>
      <c r="S7" s="53">
        <f t="shared" ref="S7" si="5">EOMONTH(R7,1)</f>
        <v>43404</v>
      </c>
      <c r="T7" s="53">
        <f t="shared" ref="T7" si="6">EOMONTH(S7,1)</f>
        <v>43434</v>
      </c>
      <c r="U7" s="53">
        <f t="shared" ref="U7" si="7">EOMONTH(T7,1)</f>
        <v>43465</v>
      </c>
      <c r="V7" s="53">
        <f t="shared" ref="V7" si="8">EOMONTH(U7,1)</f>
        <v>43496</v>
      </c>
      <c r="W7" s="53">
        <f t="shared" ref="W7" si="9">EOMONTH(V7,1)</f>
        <v>43524</v>
      </c>
      <c r="X7" s="53">
        <f t="shared" ref="X7" si="10">EOMONTH(W7,1)</f>
        <v>43555</v>
      </c>
      <c r="Y7" s="53">
        <f t="shared" ref="Y7" si="11">EOMONTH(X7,1)</f>
        <v>43585</v>
      </c>
      <c r="Z7" s="53">
        <f t="shared" ref="Z7" si="12">EOMONTH(Y7,1)</f>
        <v>43616</v>
      </c>
      <c r="AA7" s="5"/>
    </row>
    <row r="8" spans="2:27" x14ac:dyDescent="0.25">
      <c r="C8" s="1"/>
    </row>
    <row r="9" spans="2:27" x14ac:dyDescent="0.25">
      <c r="B9" s="46" t="s">
        <v>1</v>
      </c>
    </row>
    <row r="10" spans="2:27" ht="5.0999999999999996" customHeight="1" x14ac:dyDescent="0.25">
      <c r="B10" s="79"/>
    </row>
    <row r="11" spans="2:27" x14ac:dyDescent="0.25">
      <c r="B11" s="3" t="s">
        <v>34</v>
      </c>
      <c r="C11" s="73">
        <f>'INPUTS Leads - Paid Traffic'!C15</f>
        <v>0</v>
      </c>
      <c r="D11" s="73">
        <f>'INPUTS Leads - Paid Traffic'!D15</f>
        <v>56</v>
      </c>
      <c r="E11" s="73">
        <f>'INPUTS Leads - Paid Traffic'!E15</f>
        <v>79</v>
      </c>
      <c r="F11" s="73">
        <f>'INPUTS Leads - Paid Traffic'!F15</f>
        <v>64</v>
      </c>
      <c r="G11" s="73">
        <f>'INPUTS Leads - Paid Traffic'!G15</f>
        <v>100</v>
      </c>
      <c r="H11" s="73">
        <f>'INPUTS Leads - Paid Traffic'!H15</f>
        <v>70</v>
      </c>
      <c r="I11" s="73">
        <f>'INPUTS Leads - Paid Traffic'!I15</f>
        <v>35</v>
      </c>
      <c r="J11" s="73">
        <f>'INPUTS Leads - Paid Traffic'!J15</f>
        <v>170</v>
      </c>
      <c r="K11" s="73">
        <f>'INPUTS Leads - Paid Traffic'!K15</f>
        <v>212</v>
      </c>
      <c r="L11" s="73">
        <f>'INPUTS Leads - Paid Traffic'!L15</f>
        <v>262</v>
      </c>
      <c r="M11" s="73">
        <f>'INPUTS Leads - Paid Traffic'!M15</f>
        <v>272</v>
      </c>
      <c r="N11" s="73">
        <f>'INPUTS Leads - Paid Traffic'!N15</f>
        <v>266</v>
      </c>
      <c r="O11" s="73">
        <f>'INPUTS Leads - Paid Traffic'!O15</f>
        <v>298</v>
      </c>
      <c r="P11" s="73">
        <f>'INPUTS Leads - Paid Traffic'!P15</f>
        <v>310</v>
      </c>
      <c r="Q11" s="73">
        <f>'INPUTS Leads - Paid Traffic'!Q15</f>
        <v>322</v>
      </c>
      <c r="R11" s="73">
        <f>'INPUTS Leads - Paid Traffic'!R15</f>
        <v>335</v>
      </c>
      <c r="S11" s="73">
        <f>'INPUTS Leads - Paid Traffic'!S15</f>
        <v>348</v>
      </c>
      <c r="T11" s="73">
        <f>'INPUTS Leads - Paid Traffic'!T15</f>
        <v>362</v>
      </c>
      <c r="U11" s="73">
        <f>'INPUTS Leads - Paid Traffic'!U15</f>
        <v>376</v>
      </c>
      <c r="V11" s="73">
        <f>'INPUTS Leads - Paid Traffic'!V15</f>
        <v>391</v>
      </c>
      <c r="W11" s="73">
        <f>'INPUTS Leads - Paid Traffic'!W15</f>
        <v>407</v>
      </c>
      <c r="X11" s="73">
        <f>'INPUTS Leads - Paid Traffic'!X15</f>
        <v>423</v>
      </c>
      <c r="Y11" s="73">
        <f>'INPUTS Leads - Paid Traffic'!Y15</f>
        <v>440</v>
      </c>
      <c r="Z11" s="73">
        <f>'INPUTS Leads - Paid Traffic'!Z15</f>
        <v>457</v>
      </c>
    </row>
    <row r="12" spans="2:27" x14ac:dyDescent="0.25">
      <c r="B12" s="3" t="s">
        <v>53</v>
      </c>
      <c r="C12" s="74">
        <v>0</v>
      </c>
      <c r="D12" s="74">
        <v>0</v>
      </c>
      <c r="E12" s="74">
        <v>3.7974683544303799E-2</v>
      </c>
      <c r="F12" s="74">
        <v>3.125E-2</v>
      </c>
      <c r="G12" s="74">
        <v>7.0000000000000007E-2</v>
      </c>
      <c r="H12" s="74">
        <v>8.5714285714285715E-2</v>
      </c>
      <c r="I12" s="74">
        <v>5.7142857142857141E-2</v>
      </c>
      <c r="J12" s="74">
        <v>0.11764705882352941</v>
      </c>
      <c r="K12" s="74">
        <v>0.20283018867924529</v>
      </c>
      <c r="L12" s="74">
        <v>0.14885496183206107</v>
      </c>
      <c r="M12" s="74">
        <v>0.15808823529411764</v>
      </c>
      <c r="N12" s="74">
        <v>0.11278195488721804</v>
      </c>
      <c r="O12" s="75">
        <f>AVERAGE(L12:N12)</f>
        <v>0.13990838400446556</v>
      </c>
      <c r="P12" s="76">
        <f t="shared" ref="P12:Z12" si="13">AVERAGE(M12:O12)</f>
        <v>0.13692619139526707</v>
      </c>
      <c r="Q12" s="76">
        <f t="shared" si="13"/>
        <v>0.12987217676231688</v>
      </c>
      <c r="R12" s="76">
        <f t="shared" si="13"/>
        <v>0.13556891738734986</v>
      </c>
      <c r="S12" s="76">
        <f t="shared" si="13"/>
        <v>0.13412242851497794</v>
      </c>
      <c r="T12" s="76">
        <f t="shared" si="13"/>
        <v>0.13318784088821489</v>
      </c>
      <c r="U12" s="76">
        <f t="shared" si="13"/>
        <v>0.13429306226351423</v>
      </c>
      <c r="V12" s="76">
        <f t="shared" si="13"/>
        <v>0.13386777722223567</v>
      </c>
      <c r="W12" s="76">
        <f t="shared" si="13"/>
        <v>0.13378289345798824</v>
      </c>
      <c r="X12" s="76">
        <f t="shared" si="13"/>
        <v>0.13398124431457936</v>
      </c>
      <c r="Y12" s="76">
        <f t="shared" si="13"/>
        <v>0.13387730499826775</v>
      </c>
      <c r="Z12" s="76">
        <f t="shared" si="13"/>
        <v>0.13388048092361179</v>
      </c>
    </row>
    <row r="13" spans="2:27" x14ac:dyDescent="0.25">
      <c r="B13" s="20" t="s">
        <v>123</v>
      </c>
      <c r="C13" s="20">
        <f>C12*C11</f>
        <v>0</v>
      </c>
      <c r="D13" s="20">
        <f t="shared" ref="D13:N13" si="14">D12*D11</f>
        <v>0</v>
      </c>
      <c r="E13" s="20">
        <f t="shared" si="14"/>
        <v>3</v>
      </c>
      <c r="F13" s="20">
        <f t="shared" si="14"/>
        <v>2</v>
      </c>
      <c r="G13" s="20">
        <f t="shared" si="14"/>
        <v>7.0000000000000009</v>
      </c>
      <c r="H13" s="20">
        <f t="shared" si="14"/>
        <v>6</v>
      </c>
      <c r="I13" s="20">
        <f t="shared" si="14"/>
        <v>2</v>
      </c>
      <c r="J13" s="20">
        <f t="shared" si="14"/>
        <v>20</v>
      </c>
      <c r="K13" s="20">
        <f t="shared" si="14"/>
        <v>43</v>
      </c>
      <c r="L13" s="20">
        <f t="shared" si="14"/>
        <v>39</v>
      </c>
      <c r="M13" s="20">
        <f t="shared" si="14"/>
        <v>43</v>
      </c>
      <c r="N13" s="20">
        <f t="shared" si="14"/>
        <v>30</v>
      </c>
      <c r="O13" s="20">
        <f>INT(O12*O11)</f>
        <v>41</v>
      </c>
      <c r="P13" s="20">
        <f t="shared" ref="P13:Z13" si="15">INT(P12*P11)</f>
        <v>42</v>
      </c>
      <c r="Q13" s="20">
        <f t="shared" si="15"/>
        <v>41</v>
      </c>
      <c r="R13" s="20">
        <f t="shared" si="15"/>
        <v>45</v>
      </c>
      <c r="S13" s="20">
        <f t="shared" si="15"/>
        <v>46</v>
      </c>
      <c r="T13" s="20">
        <f t="shared" si="15"/>
        <v>48</v>
      </c>
      <c r="U13" s="20">
        <f t="shared" si="15"/>
        <v>50</v>
      </c>
      <c r="V13" s="20">
        <f t="shared" si="15"/>
        <v>52</v>
      </c>
      <c r="W13" s="20">
        <f t="shared" si="15"/>
        <v>54</v>
      </c>
      <c r="X13" s="20">
        <f t="shared" si="15"/>
        <v>56</v>
      </c>
      <c r="Y13" s="20">
        <f t="shared" si="15"/>
        <v>58</v>
      </c>
      <c r="Z13" s="20">
        <f t="shared" si="15"/>
        <v>61</v>
      </c>
    </row>
    <row r="14" spans="2:27" x14ac:dyDescent="0.25"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2:27" x14ac:dyDescent="0.25">
      <c r="B15" s="46" t="s">
        <v>4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2:27" s="80" customFormat="1" ht="5.0999999999999996" customHeight="1" x14ac:dyDescent="0.25">
      <c r="B16" s="79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2:28" x14ac:dyDescent="0.25">
      <c r="B17" s="3" t="s">
        <v>34</v>
      </c>
      <c r="C17" s="73">
        <f>'INPUTS Leads - Paid Traffic'!C23</f>
        <v>1</v>
      </c>
      <c r="D17" s="73">
        <f>'INPUTS Leads - Paid Traffic'!D23</f>
        <v>19</v>
      </c>
      <c r="E17" s="73">
        <f>'INPUTS Leads - Paid Traffic'!E23</f>
        <v>2</v>
      </c>
      <c r="F17" s="73">
        <f>'INPUTS Leads - Paid Traffic'!F23</f>
        <v>5</v>
      </c>
      <c r="G17" s="73">
        <f>'INPUTS Leads - Paid Traffic'!G23</f>
        <v>5</v>
      </c>
      <c r="H17" s="73">
        <f>'INPUTS Leads - Paid Traffic'!H23</f>
        <v>6</v>
      </c>
      <c r="I17" s="73">
        <f>'INPUTS Leads - Paid Traffic'!I23</f>
        <v>5</v>
      </c>
      <c r="J17" s="73">
        <f>'INPUTS Leads - Paid Traffic'!J23</f>
        <v>11</v>
      </c>
      <c r="K17" s="73">
        <f>'INPUTS Leads - Paid Traffic'!K23</f>
        <v>18</v>
      </c>
      <c r="L17" s="73">
        <f>'INPUTS Leads - Paid Traffic'!L23</f>
        <v>16</v>
      </c>
      <c r="M17" s="73">
        <f>'INPUTS Leads - Paid Traffic'!M23</f>
        <v>19</v>
      </c>
      <c r="N17" s="73">
        <f>'INPUTS Leads - Paid Traffic'!N23</f>
        <v>11</v>
      </c>
      <c r="O17" s="73">
        <f>'INPUTS Leads - Paid Traffic'!O23</f>
        <v>12</v>
      </c>
      <c r="P17" s="73">
        <f>'INPUTS Leads - Paid Traffic'!P23</f>
        <v>12</v>
      </c>
      <c r="Q17" s="73">
        <f>'INPUTS Leads - Paid Traffic'!Q23</f>
        <v>13</v>
      </c>
      <c r="R17" s="73">
        <f>'INPUTS Leads - Paid Traffic'!R23</f>
        <v>13</v>
      </c>
      <c r="S17" s="73">
        <f>'INPUTS Leads - Paid Traffic'!S23</f>
        <v>14</v>
      </c>
      <c r="T17" s="73">
        <f>'INPUTS Leads - Paid Traffic'!T23</f>
        <v>14</v>
      </c>
      <c r="U17" s="73">
        <f>'INPUTS Leads - Paid Traffic'!U23</f>
        <v>15</v>
      </c>
      <c r="V17" s="73">
        <f>'INPUTS Leads - Paid Traffic'!V23</f>
        <v>16</v>
      </c>
      <c r="W17" s="73">
        <f>'INPUTS Leads - Paid Traffic'!W23</f>
        <v>16</v>
      </c>
      <c r="X17" s="73">
        <f>'INPUTS Leads - Paid Traffic'!X23</f>
        <v>17</v>
      </c>
      <c r="Y17" s="73">
        <f>'INPUTS Leads - Paid Traffic'!Y23</f>
        <v>18</v>
      </c>
      <c r="Z17" s="73">
        <f>'INPUTS Leads - Paid Traffic'!Z23</f>
        <v>19</v>
      </c>
    </row>
    <row r="18" spans="2:28" x14ac:dyDescent="0.25">
      <c r="B18" s="3" t="s">
        <v>53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0.2</v>
      </c>
      <c r="J18" s="74">
        <v>0</v>
      </c>
      <c r="K18" s="74">
        <v>5.5555555555555552E-2</v>
      </c>
      <c r="L18" s="74">
        <v>6.25E-2</v>
      </c>
      <c r="M18" s="74">
        <v>0.10526315789473684</v>
      </c>
      <c r="N18" s="74">
        <v>9.0909090909090912E-2</v>
      </c>
      <c r="O18" s="75">
        <f>AVERAGE(L18:N18)</f>
        <v>8.6224082934609259E-2</v>
      </c>
      <c r="P18" s="76">
        <f t="shared" ref="P18:Z18" si="16">AVERAGE(M18:O18)</f>
        <v>9.4132110579479011E-2</v>
      </c>
      <c r="Q18" s="76">
        <f t="shared" si="16"/>
        <v>9.042176147439307E-2</v>
      </c>
      <c r="R18" s="76">
        <f t="shared" si="16"/>
        <v>9.0259318329493785E-2</v>
      </c>
      <c r="S18" s="76">
        <f t="shared" si="16"/>
        <v>9.1604396794455298E-2</v>
      </c>
      <c r="T18" s="76">
        <f t="shared" si="16"/>
        <v>9.0761825532780727E-2</v>
      </c>
      <c r="U18" s="76">
        <f t="shared" si="16"/>
        <v>9.0875180218909946E-2</v>
      </c>
      <c r="V18" s="76">
        <f t="shared" si="16"/>
        <v>9.1080467515381999E-2</v>
      </c>
      <c r="W18" s="76">
        <f t="shared" si="16"/>
        <v>9.0905824422357562E-2</v>
      </c>
      <c r="X18" s="76">
        <f t="shared" si="16"/>
        <v>9.0953824052216511E-2</v>
      </c>
      <c r="Y18" s="76">
        <f t="shared" si="16"/>
        <v>9.0980038663318705E-2</v>
      </c>
      <c r="Z18" s="76">
        <f t="shared" si="16"/>
        <v>9.0946562379297602E-2</v>
      </c>
    </row>
    <row r="19" spans="2:28" x14ac:dyDescent="0.25">
      <c r="B19" s="20" t="s">
        <v>124</v>
      </c>
      <c r="C19" s="20">
        <f>C18*C17</f>
        <v>0</v>
      </c>
      <c r="D19" s="20">
        <f t="shared" ref="D19:N19" si="17">D18*D17</f>
        <v>0</v>
      </c>
      <c r="E19" s="20">
        <f t="shared" si="17"/>
        <v>0</v>
      </c>
      <c r="F19" s="20">
        <f t="shared" si="17"/>
        <v>0</v>
      </c>
      <c r="G19" s="20">
        <f t="shared" si="17"/>
        <v>0</v>
      </c>
      <c r="H19" s="20">
        <f t="shared" si="17"/>
        <v>0</v>
      </c>
      <c r="I19" s="20">
        <f t="shared" si="17"/>
        <v>1</v>
      </c>
      <c r="J19" s="20">
        <f t="shared" si="17"/>
        <v>0</v>
      </c>
      <c r="K19" s="20">
        <f t="shared" si="17"/>
        <v>1</v>
      </c>
      <c r="L19" s="20">
        <f t="shared" si="17"/>
        <v>1</v>
      </c>
      <c r="M19" s="20">
        <f t="shared" si="17"/>
        <v>2</v>
      </c>
      <c r="N19" s="20">
        <f t="shared" si="17"/>
        <v>1</v>
      </c>
      <c r="O19" s="20">
        <f>INT(O18*O17)</f>
        <v>1</v>
      </c>
      <c r="P19" s="20">
        <f t="shared" ref="P19:Z19" si="18">INT(P18*P17)</f>
        <v>1</v>
      </c>
      <c r="Q19" s="20">
        <f t="shared" si="18"/>
        <v>1</v>
      </c>
      <c r="R19" s="20">
        <f t="shared" si="18"/>
        <v>1</v>
      </c>
      <c r="S19" s="20">
        <f t="shared" si="18"/>
        <v>1</v>
      </c>
      <c r="T19" s="20">
        <f t="shared" si="18"/>
        <v>1</v>
      </c>
      <c r="U19" s="20">
        <f t="shared" si="18"/>
        <v>1</v>
      </c>
      <c r="V19" s="20">
        <f t="shared" si="18"/>
        <v>1</v>
      </c>
      <c r="W19" s="20">
        <f t="shared" si="18"/>
        <v>1</v>
      </c>
      <c r="X19" s="20">
        <f t="shared" si="18"/>
        <v>1</v>
      </c>
      <c r="Y19" s="20">
        <f t="shared" si="18"/>
        <v>1</v>
      </c>
      <c r="Z19" s="20">
        <f t="shared" si="18"/>
        <v>1</v>
      </c>
    </row>
    <row r="20" spans="2:28" x14ac:dyDescent="0.25"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2:28" x14ac:dyDescent="0.25">
      <c r="B21" s="46" t="s">
        <v>6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2:28" s="80" customFormat="1" ht="5.0999999999999996" customHeight="1" x14ac:dyDescent="0.25">
      <c r="B22" s="79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2:28" x14ac:dyDescent="0.25">
      <c r="B23" s="3" t="s">
        <v>34</v>
      </c>
      <c r="C23" s="73">
        <f>'INPUTS Leads - Paid Traffic'!C31</f>
        <v>0</v>
      </c>
      <c r="D23" s="73">
        <f>'INPUTS Leads - Paid Traffic'!D31</f>
        <v>3</v>
      </c>
      <c r="E23" s="73">
        <f>'INPUTS Leads - Paid Traffic'!E31</f>
        <v>2</v>
      </c>
      <c r="F23" s="73">
        <f>'INPUTS Leads - Paid Traffic'!F31</f>
        <v>4</v>
      </c>
      <c r="G23" s="73">
        <f>'INPUTS Leads - Paid Traffic'!G31</f>
        <v>11</v>
      </c>
      <c r="H23" s="73">
        <f>'INPUTS Leads - Paid Traffic'!H31</f>
        <v>3</v>
      </c>
      <c r="I23" s="73">
        <f>'INPUTS Leads - Paid Traffic'!I31</f>
        <v>1</v>
      </c>
      <c r="J23" s="73">
        <f>'INPUTS Leads - Paid Traffic'!J31</f>
        <v>7</v>
      </c>
      <c r="K23" s="73">
        <f>'INPUTS Leads - Paid Traffic'!K31</f>
        <v>5</v>
      </c>
      <c r="L23" s="73">
        <f>'INPUTS Leads - Paid Traffic'!L31</f>
        <v>8</v>
      </c>
      <c r="M23" s="73">
        <f>'INPUTS Leads - Paid Traffic'!M31</f>
        <v>12</v>
      </c>
      <c r="N23" s="73">
        <f>'INPUTS Leads - Paid Traffic'!N31</f>
        <v>9</v>
      </c>
      <c r="O23" s="73">
        <f>'INPUTS Leads - Paid Traffic'!O31</f>
        <v>10</v>
      </c>
      <c r="P23" s="73">
        <f>'INPUTS Leads - Paid Traffic'!P31</f>
        <v>10</v>
      </c>
      <c r="Q23" s="73">
        <f>'INPUTS Leads - Paid Traffic'!Q31</f>
        <v>11</v>
      </c>
      <c r="R23" s="73">
        <f>'INPUTS Leads - Paid Traffic'!R31</f>
        <v>12</v>
      </c>
      <c r="S23" s="73">
        <f>'INPUTS Leads - Paid Traffic'!S31</f>
        <v>12</v>
      </c>
      <c r="T23" s="73">
        <f>'INPUTS Leads - Paid Traffic'!T31</f>
        <v>13</v>
      </c>
      <c r="U23" s="73">
        <f>'INPUTS Leads - Paid Traffic'!U31</f>
        <v>13</v>
      </c>
      <c r="V23" s="73">
        <f>'INPUTS Leads - Paid Traffic'!V31</f>
        <v>14</v>
      </c>
      <c r="W23" s="73">
        <f>'INPUTS Leads - Paid Traffic'!W31</f>
        <v>15</v>
      </c>
      <c r="X23" s="73">
        <f>'INPUTS Leads - Paid Traffic'!X31</f>
        <v>15</v>
      </c>
      <c r="Y23" s="73">
        <f>'INPUTS Leads - Paid Traffic'!Y31</f>
        <v>16</v>
      </c>
      <c r="Z23" s="73">
        <f>'INPUTS Leads - Paid Traffic'!Z31</f>
        <v>17</v>
      </c>
      <c r="AB23" t="s">
        <v>5</v>
      </c>
    </row>
    <row r="24" spans="2:28" x14ac:dyDescent="0.25">
      <c r="B24" s="3" t="s">
        <v>53</v>
      </c>
      <c r="C24" s="74">
        <v>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0.2857142857142857</v>
      </c>
      <c r="K24" s="74">
        <v>0</v>
      </c>
      <c r="L24" s="74">
        <v>0.125</v>
      </c>
      <c r="M24" s="74">
        <v>0</v>
      </c>
      <c r="N24" s="74">
        <v>0</v>
      </c>
      <c r="O24" s="77">
        <f>Assumptions!$C$39</f>
        <v>0.13</v>
      </c>
      <c r="P24" s="78">
        <f>Assumptions!$C$39</f>
        <v>0.13</v>
      </c>
      <c r="Q24" s="78">
        <f>Assumptions!$C$39</f>
        <v>0.13</v>
      </c>
      <c r="R24" s="78">
        <f>Assumptions!$C$39</f>
        <v>0.13</v>
      </c>
      <c r="S24" s="78">
        <f>Assumptions!$C$39</f>
        <v>0.13</v>
      </c>
      <c r="T24" s="78">
        <f>Assumptions!$C$39</f>
        <v>0.13</v>
      </c>
      <c r="U24" s="78">
        <f>Assumptions!$C$39</f>
        <v>0.13</v>
      </c>
      <c r="V24" s="78">
        <f>Assumptions!$C$39</f>
        <v>0.13</v>
      </c>
      <c r="W24" s="78">
        <f>Assumptions!$C$39</f>
        <v>0.13</v>
      </c>
      <c r="X24" s="78">
        <f>Assumptions!$C$39</f>
        <v>0.13</v>
      </c>
      <c r="Y24" s="78">
        <f>Assumptions!$C$39</f>
        <v>0.13</v>
      </c>
      <c r="Z24" s="78">
        <f>Assumptions!$C$39</f>
        <v>0.13</v>
      </c>
    </row>
    <row r="25" spans="2:28" x14ac:dyDescent="0.25">
      <c r="B25" s="20" t="s">
        <v>125</v>
      </c>
      <c r="C25" s="20">
        <f>C24*C23</f>
        <v>0</v>
      </c>
      <c r="D25" s="20">
        <f t="shared" ref="D25:N25" si="19">D24*D23</f>
        <v>0</v>
      </c>
      <c r="E25" s="20">
        <f t="shared" si="19"/>
        <v>0</v>
      </c>
      <c r="F25" s="20">
        <f t="shared" si="19"/>
        <v>0</v>
      </c>
      <c r="G25" s="20">
        <f t="shared" si="19"/>
        <v>0</v>
      </c>
      <c r="H25" s="20">
        <f t="shared" si="19"/>
        <v>0</v>
      </c>
      <c r="I25" s="20">
        <f t="shared" si="19"/>
        <v>0</v>
      </c>
      <c r="J25" s="20">
        <f t="shared" si="19"/>
        <v>2</v>
      </c>
      <c r="K25" s="20">
        <f t="shared" si="19"/>
        <v>0</v>
      </c>
      <c r="L25" s="20">
        <f t="shared" si="19"/>
        <v>1</v>
      </c>
      <c r="M25" s="20">
        <f t="shared" si="19"/>
        <v>0</v>
      </c>
      <c r="N25" s="20">
        <f t="shared" si="19"/>
        <v>0</v>
      </c>
      <c r="O25" s="20">
        <f>INT(O24*O23)</f>
        <v>1</v>
      </c>
      <c r="P25" s="20">
        <f t="shared" ref="P25:Z25" si="20">INT(P24*P23)</f>
        <v>1</v>
      </c>
      <c r="Q25" s="20">
        <f t="shared" si="20"/>
        <v>1</v>
      </c>
      <c r="R25" s="20">
        <f t="shared" si="20"/>
        <v>1</v>
      </c>
      <c r="S25" s="20">
        <f t="shared" si="20"/>
        <v>1</v>
      </c>
      <c r="T25" s="20">
        <f t="shared" si="20"/>
        <v>1</v>
      </c>
      <c r="U25" s="20">
        <f t="shared" si="20"/>
        <v>1</v>
      </c>
      <c r="V25" s="20">
        <f t="shared" si="20"/>
        <v>1</v>
      </c>
      <c r="W25" s="20">
        <f t="shared" si="20"/>
        <v>1</v>
      </c>
      <c r="X25" s="20">
        <f t="shared" si="20"/>
        <v>1</v>
      </c>
      <c r="Y25" s="20">
        <f t="shared" si="20"/>
        <v>2</v>
      </c>
      <c r="Z25" s="20">
        <f t="shared" si="20"/>
        <v>2</v>
      </c>
    </row>
    <row r="26" spans="2:28" x14ac:dyDescent="0.25"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2:28" x14ac:dyDescent="0.25">
      <c r="B27" s="46" t="s">
        <v>52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2:28" s="80" customFormat="1" ht="5.0999999999999996" customHeight="1" x14ac:dyDescent="0.25">
      <c r="B28" s="79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2:28" x14ac:dyDescent="0.25">
      <c r="B29" s="3" t="s">
        <v>34</v>
      </c>
      <c r="C29" s="63">
        <f>'INPUTS Leads - Organic Traffic'!C14</f>
        <v>0.89999999999999991</v>
      </c>
      <c r="D29" s="63">
        <f>'INPUTS Leads - Organic Traffic'!D14</f>
        <v>18.91</v>
      </c>
      <c r="E29" s="63">
        <f>'INPUTS Leads - Organic Traffic'!E14</f>
        <v>24.82</v>
      </c>
      <c r="F29" s="63">
        <f>'INPUTS Leads - Organic Traffic'!F14</f>
        <v>23.76</v>
      </c>
      <c r="G29" s="63">
        <f>'INPUTS Leads - Organic Traffic'!G14</f>
        <v>30.72</v>
      </c>
      <c r="H29" s="63">
        <f>'INPUTS Leads - Organic Traffic'!H14</f>
        <v>37.799999999999997</v>
      </c>
      <c r="I29" s="63">
        <f>'INPUTS Leads - Organic Traffic'!I14</f>
        <v>11.88</v>
      </c>
      <c r="J29" s="63">
        <f>'INPUTS Leads - Organic Traffic'!J14</f>
        <v>63.86</v>
      </c>
      <c r="K29" s="63">
        <f>'INPUTS Leads - Organic Traffic'!K14</f>
        <v>70.72</v>
      </c>
      <c r="L29" s="63">
        <f>'INPUTS Leads - Organic Traffic'!L14</f>
        <v>76.88</v>
      </c>
      <c r="M29" s="63">
        <f>'INPUTS Leads - Organic Traffic'!M14</f>
        <v>51.9</v>
      </c>
      <c r="N29" s="63">
        <f>'INPUTS Leads - Organic Traffic'!N14</f>
        <v>97.92</v>
      </c>
      <c r="O29" s="63">
        <f>'INPUTS Leads - Organic Traffic'!O14</f>
        <v>91</v>
      </c>
      <c r="P29" s="63">
        <f>'INPUTS Leads - Organic Traffic'!P14</f>
        <v>97</v>
      </c>
      <c r="Q29" s="63">
        <f>'INPUTS Leads - Organic Traffic'!Q14</f>
        <v>104</v>
      </c>
      <c r="R29" s="63">
        <f>'INPUTS Leads - Organic Traffic'!R14</f>
        <v>111</v>
      </c>
      <c r="S29" s="63">
        <f>'INPUTS Leads - Organic Traffic'!S14</f>
        <v>117</v>
      </c>
      <c r="T29" s="63">
        <f>'INPUTS Leads - Organic Traffic'!T14</f>
        <v>124</v>
      </c>
      <c r="U29" s="63">
        <f>'INPUTS Leads - Organic Traffic'!U14</f>
        <v>131</v>
      </c>
      <c r="V29" s="63">
        <f>'INPUTS Leads - Organic Traffic'!V14</f>
        <v>137</v>
      </c>
      <c r="W29" s="63">
        <f>'INPUTS Leads - Organic Traffic'!W14</f>
        <v>144</v>
      </c>
      <c r="X29" s="63">
        <f>'INPUTS Leads - Organic Traffic'!X14</f>
        <v>151</v>
      </c>
      <c r="Y29" s="63">
        <f>'INPUTS Leads - Organic Traffic'!Y14</f>
        <v>157</v>
      </c>
      <c r="Z29" s="63">
        <f>'INPUTS Leads - Organic Traffic'!Z14</f>
        <v>164</v>
      </c>
    </row>
    <row r="30" spans="2:28" x14ac:dyDescent="0.25">
      <c r="B30" s="3" t="s">
        <v>53</v>
      </c>
      <c r="C30" s="74">
        <v>0</v>
      </c>
      <c r="D30" s="74">
        <v>0</v>
      </c>
      <c r="E30" s="74">
        <v>0</v>
      </c>
      <c r="F30" s="74">
        <v>0</v>
      </c>
      <c r="G30" s="74">
        <v>3.3333333333333333E-2</v>
      </c>
      <c r="H30" s="74">
        <v>0</v>
      </c>
      <c r="I30" s="74">
        <v>0</v>
      </c>
      <c r="J30" s="74">
        <v>1.6393442622950821E-2</v>
      </c>
      <c r="K30" s="74">
        <v>5.8823529411764705E-2</v>
      </c>
      <c r="L30" s="74">
        <v>5.4054054054054057E-2</v>
      </c>
      <c r="M30" s="74">
        <v>0.06</v>
      </c>
      <c r="N30" s="74">
        <v>2.1276595744680851E-2</v>
      </c>
      <c r="O30" s="75">
        <f>AVERAGE(L30:N30)</f>
        <v>4.5110216599578305E-2</v>
      </c>
      <c r="P30" s="76">
        <f t="shared" ref="P30:Z30" si="21">AVERAGE(M30:O30)</f>
        <v>4.2128937448086386E-2</v>
      </c>
      <c r="Q30" s="76">
        <f t="shared" si="21"/>
        <v>3.6171916597448513E-2</v>
      </c>
      <c r="R30" s="76">
        <f t="shared" si="21"/>
        <v>4.1137023548371066E-2</v>
      </c>
      <c r="S30" s="76">
        <f t="shared" si="21"/>
        <v>3.9812625864635319E-2</v>
      </c>
      <c r="T30" s="76">
        <f t="shared" si="21"/>
        <v>3.9040522003484963E-2</v>
      </c>
      <c r="U30" s="76">
        <f t="shared" si="21"/>
        <v>3.9996723805497118E-2</v>
      </c>
      <c r="V30" s="76">
        <f t="shared" si="21"/>
        <v>3.96166238912058E-2</v>
      </c>
      <c r="W30" s="76">
        <f t="shared" si="21"/>
        <v>3.9551289900062625E-2</v>
      </c>
      <c r="X30" s="76">
        <f t="shared" si="21"/>
        <v>3.9721545865588515E-2</v>
      </c>
      <c r="Y30" s="76">
        <f t="shared" si="21"/>
        <v>3.9629819885618978E-2</v>
      </c>
      <c r="Z30" s="76">
        <f t="shared" si="21"/>
        <v>3.9634218550423372E-2</v>
      </c>
    </row>
    <row r="31" spans="2:28" x14ac:dyDescent="0.25">
      <c r="B31" s="20" t="s">
        <v>126</v>
      </c>
      <c r="C31" s="20">
        <f>INT(C30*C29)</f>
        <v>0</v>
      </c>
      <c r="D31" s="20">
        <f t="shared" ref="D31:Z31" si="22">INT(D30*D29)</f>
        <v>0</v>
      </c>
      <c r="E31" s="20">
        <f t="shared" si="22"/>
        <v>0</v>
      </c>
      <c r="F31" s="20">
        <f t="shared" si="22"/>
        <v>0</v>
      </c>
      <c r="G31" s="20">
        <f t="shared" si="22"/>
        <v>1</v>
      </c>
      <c r="H31" s="20">
        <f t="shared" si="22"/>
        <v>0</v>
      </c>
      <c r="I31" s="20">
        <f t="shared" si="22"/>
        <v>0</v>
      </c>
      <c r="J31" s="20">
        <f t="shared" si="22"/>
        <v>1</v>
      </c>
      <c r="K31" s="20">
        <f t="shared" si="22"/>
        <v>4</v>
      </c>
      <c r="L31" s="20">
        <f t="shared" si="22"/>
        <v>4</v>
      </c>
      <c r="M31" s="20">
        <f t="shared" si="22"/>
        <v>3</v>
      </c>
      <c r="N31" s="20">
        <f t="shared" si="22"/>
        <v>2</v>
      </c>
      <c r="O31" s="20">
        <f t="shared" si="22"/>
        <v>4</v>
      </c>
      <c r="P31" s="20">
        <f t="shared" si="22"/>
        <v>4</v>
      </c>
      <c r="Q31" s="20">
        <f t="shared" si="22"/>
        <v>3</v>
      </c>
      <c r="R31" s="20">
        <f t="shared" si="22"/>
        <v>4</v>
      </c>
      <c r="S31" s="20">
        <f t="shared" si="22"/>
        <v>4</v>
      </c>
      <c r="T31" s="20">
        <f t="shared" si="22"/>
        <v>4</v>
      </c>
      <c r="U31" s="20">
        <f t="shared" si="22"/>
        <v>5</v>
      </c>
      <c r="V31" s="20">
        <f t="shared" si="22"/>
        <v>5</v>
      </c>
      <c r="W31" s="20">
        <f t="shared" si="22"/>
        <v>5</v>
      </c>
      <c r="X31" s="20">
        <f t="shared" si="22"/>
        <v>5</v>
      </c>
      <c r="Y31" s="20">
        <f t="shared" si="22"/>
        <v>6</v>
      </c>
      <c r="Z31" s="20">
        <f t="shared" si="22"/>
        <v>6</v>
      </c>
    </row>
    <row r="32" spans="2:28" x14ac:dyDescent="0.25"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2:26" x14ac:dyDescent="0.25">
      <c r="B33" s="46" t="s">
        <v>131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2:26" s="80" customFormat="1" ht="5.0999999999999996" customHeight="1" x14ac:dyDescent="0.25">
      <c r="B34" s="79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2:26" x14ac:dyDescent="0.25">
      <c r="B35" s="3" t="s">
        <v>34</v>
      </c>
      <c r="C35" s="63">
        <f>'INPUTS Leads - Organic Traffic'!C20</f>
        <v>2</v>
      </c>
      <c r="D35" s="63">
        <f>'INPUTS Leads - Organic Traffic'!D20</f>
        <v>148.88999999999999</v>
      </c>
      <c r="E35" s="63">
        <f>'INPUTS Leads - Organic Traffic'!E20</f>
        <v>291.83999999999997</v>
      </c>
      <c r="F35" s="63">
        <f>'INPUTS Leads - Organic Traffic'!F20</f>
        <v>225.86</v>
      </c>
      <c r="G35" s="63">
        <f>'INPUTS Leads - Organic Traffic'!G20</f>
        <v>282.92</v>
      </c>
      <c r="H35" s="63">
        <f>'INPUTS Leads - Organic Traffic'!H20</f>
        <v>345</v>
      </c>
      <c r="I35" s="63">
        <f>'INPUTS Leads - Organic Traffic'!I20</f>
        <v>153.87</v>
      </c>
      <c r="J35" s="63">
        <f>'INPUTS Leads - Organic Traffic'!J20</f>
        <v>935.96999999999991</v>
      </c>
      <c r="K35" s="63">
        <f>'INPUTS Leads - Organic Traffic'!K20</f>
        <v>760.98</v>
      </c>
      <c r="L35" s="63">
        <f>'INPUTS Leads - Organic Traffic'!L20</f>
        <v>853.86</v>
      </c>
      <c r="M35" s="63">
        <f>'INPUTS Leads - Organic Traffic'!M20</f>
        <v>1048</v>
      </c>
      <c r="N35" s="63">
        <f>'INPUTS Leads - Organic Traffic'!N20</f>
        <v>968.88</v>
      </c>
      <c r="O35" s="63">
        <f>'INPUTS Leads - Organic Traffic'!O20</f>
        <v>1161</v>
      </c>
      <c r="P35" s="63">
        <f>'INPUTS Leads - Organic Traffic'!P20</f>
        <v>1252</v>
      </c>
      <c r="Q35" s="63">
        <f>'INPUTS Leads - Organic Traffic'!Q20</f>
        <v>1343</v>
      </c>
      <c r="R35" s="63">
        <f>'INPUTS Leads - Organic Traffic'!R20</f>
        <v>1435</v>
      </c>
      <c r="S35" s="63">
        <f>'INPUTS Leads - Organic Traffic'!S20</f>
        <v>1526</v>
      </c>
      <c r="T35" s="63">
        <f>'INPUTS Leads - Organic Traffic'!T20</f>
        <v>1618</v>
      </c>
      <c r="U35" s="63">
        <f>'INPUTS Leads - Organic Traffic'!U20</f>
        <v>1709</v>
      </c>
      <c r="V35" s="63">
        <f>'INPUTS Leads - Organic Traffic'!V20</f>
        <v>1800</v>
      </c>
      <c r="W35" s="63">
        <f>'INPUTS Leads - Organic Traffic'!W20</f>
        <v>1892</v>
      </c>
      <c r="X35" s="63">
        <f>'INPUTS Leads - Organic Traffic'!X20</f>
        <v>1983</v>
      </c>
      <c r="Y35" s="63">
        <f>'INPUTS Leads - Organic Traffic'!Y20</f>
        <v>2074</v>
      </c>
      <c r="Z35" s="63">
        <f>'INPUTS Leads - Organic Traffic'!Z20</f>
        <v>2166</v>
      </c>
    </row>
    <row r="36" spans="2:26" x14ac:dyDescent="0.25">
      <c r="B36" s="3" t="s">
        <v>53</v>
      </c>
      <c r="C36" s="74">
        <v>0</v>
      </c>
      <c r="D36" s="74">
        <v>1.4084507042253521E-2</v>
      </c>
      <c r="E36" s="74">
        <v>2.1505376344086023E-2</v>
      </c>
      <c r="F36" s="74">
        <v>2.3148148148148147E-2</v>
      </c>
      <c r="G36" s="74">
        <v>2.2222222222222223E-2</v>
      </c>
      <c r="H36" s="74">
        <v>3.64741641337386E-2</v>
      </c>
      <c r="I36" s="74">
        <v>5.4421768707482991E-2</v>
      </c>
      <c r="J36" s="74">
        <v>0.14461883408071749</v>
      </c>
      <c r="K36" s="74">
        <v>0.1393103448275862</v>
      </c>
      <c r="L36" s="74">
        <v>0.14987714987714987</v>
      </c>
      <c r="M36" s="74">
        <v>0.13513513513513514</v>
      </c>
      <c r="N36" s="74">
        <v>0.10509209100758396</v>
      </c>
      <c r="O36" s="75">
        <f>AVERAGE(L36:N36)</f>
        <v>0.13003479200662302</v>
      </c>
      <c r="P36" s="76">
        <f t="shared" ref="P36:Z36" si="23">AVERAGE(M36:O36)</f>
        <v>0.12342067271644737</v>
      </c>
      <c r="Q36" s="76">
        <f t="shared" si="23"/>
        <v>0.11951585191021812</v>
      </c>
      <c r="R36" s="76">
        <f t="shared" si="23"/>
        <v>0.12432377221109618</v>
      </c>
      <c r="S36" s="76">
        <f t="shared" si="23"/>
        <v>0.12242009894592056</v>
      </c>
      <c r="T36" s="76">
        <f t="shared" si="23"/>
        <v>0.12208657435574495</v>
      </c>
      <c r="U36" s="76">
        <f t="shared" si="23"/>
        <v>0.12294348183758723</v>
      </c>
      <c r="V36" s="76">
        <f t="shared" si="23"/>
        <v>0.12248338504641758</v>
      </c>
      <c r="W36" s="76">
        <f t="shared" si="23"/>
        <v>0.12250448041324992</v>
      </c>
      <c r="X36" s="76">
        <f t="shared" si="23"/>
        <v>0.12264378243241825</v>
      </c>
      <c r="Y36" s="76">
        <f t="shared" si="23"/>
        <v>0.12254388263069525</v>
      </c>
      <c r="Z36" s="76">
        <f t="shared" si="23"/>
        <v>0.12256404849212114</v>
      </c>
    </row>
    <row r="37" spans="2:26" x14ac:dyDescent="0.25">
      <c r="B37" s="20" t="s">
        <v>132</v>
      </c>
      <c r="C37" s="20">
        <f>INT(C36*C35)</f>
        <v>0</v>
      </c>
      <c r="D37" s="20">
        <f t="shared" ref="D37:Z37" si="24">INT(D36*D35)</f>
        <v>2</v>
      </c>
      <c r="E37" s="20">
        <f t="shared" si="24"/>
        <v>6</v>
      </c>
      <c r="F37" s="20">
        <f t="shared" si="24"/>
        <v>5</v>
      </c>
      <c r="G37" s="20">
        <f t="shared" si="24"/>
        <v>6</v>
      </c>
      <c r="H37" s="20">
        <f t="shared" si="24"/>
        <v>12</v>
      </c>
      <c r="I37" s="20">
        <f t="shared" si="24"/>
        <v>8</v>
      </c>
      <c r="J37" s="20">
        <f t="shared" si="24"/>
        <v>135</v>
      </c>
      <c r="K37" s="20">
        <f t="shared" si="24"/>
        <v>106</v>
      </c>
      <c r="L37" s="20">
        <f t="shared" si="24"/>
        <v>127</v>
      </c>
      <c r="M37" s="20">
        <f t="shared" si="24"/>
        <v>141</v>
      </c>
      <c r="N37" s="20">
        <f t="shared" si="24"/>
        <v>101</v>
      </c>
      <c r="O37" s="20">
        <f t="shared" si="24"/>
        <v>150</v>
      </c>
      <c r="P37" s="20">
        <f t="shared" si="24"/>
        <v>154</v>
      </c>
      <c r="Q37" s="20">
        <f t="shared" si="24"/>
        <v>160</v>
      </c>
      <c r="R37" s="20">
        <f t="shared" si="24"/>
        <v>178</v>
      </c>
      <c r="S37" s="20">
        <f t="shared" si="24"/>
        <v>186</v>
      </c>
      <c r="T37" s="20">
        <f t="shared" si="24"/>
        <v>197</v>
      </c>
      <c r="U37" s="20">
        <f t="shared" si="24"/>
        <v>210</v>
      </c>
      <c r="V37" s="20">
        <f t="shared" si="24"/>
        <v>220</v>
      </c>
      <c r="W37" s="20">
        <f t="shared" si="24"/>
        <v>231</v>
      </c>
      <c r="X37" s="20">
        <f t="shared" si="24"/>
        <v>243</v>
      </c>
      <c r="Y37" s="20">
        <f t="shared" si="24"/>
        <v>254</v>
      </c>
      <c r="Z37" s="20">
        <f t="shared" si="24"/>
        <v>265</v>
      </c>
    </row>
    <row r="38" spans="2:26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2:26" ht="5.25" customHeight="1" x14ac:dyDescent="0.25">
      <c r="U39" t="s">
        <v>5</v>
      </c>
    </row>
    <row r="40" spans="2:26" x14ac:dyDescent="0.25">
      <c r="B40" s="20" t="s">
        <v>93</v>
      </c>
      <c r="C40" s="70">
        <f>SUM(C11+C17+C23+C29+C35)</f>
        <v>3.9</v>
      </c>
      <c r="D40" s="70">
        <f t="shared" ref="D40:Z40" si="25">SUM(D11+D17+D23+D29+D35)</f>
        <v>245.79999999999998</v>
      </c>
      <c r="E40" s="70">
        <f t="shared" si="25"/>
        <v>399.65999999999997</v>
      </c>
      <c r="F40" s="70">
        <f t="shared" si="25"/>
        <v>322.62</v>
      </c>
      <c r="G40" s="70">
        <f t="shared" si="25"/>
        <v>429.64</v>
      </c>
      <c r="H40" s="70">
        <f t="shared" si="25"/>
        <v>461.8</v>
      </c>
      <c r="I40" s="70">
        <f t="shared" si="25"/>
        <v>206.75</v>
      </c>
      <c r="J40" s="70">
        <f t="shared" si="25"/>
        <v>1187.83</v>
      </c>
      <c r="K40" s="70">
        <f t="shared" si="25"/>
        <v>1066.7</v>
      </c>
      <c r="L40" s="70">
        <f t="shared" si="25"/>
        <v>1216.74</v>
      </c>
      <c r="M40" s="70">
        <f t="shared" si="25"/>
        <v>1402.9</v>
      </c>
      <c r="N40" s="70">
        <f t="shared" si="25"/>
        <v>1352.8</v>
      </c>
      <c r="O40" s="70">
        <f t="shared" si="25"/>
        <v>1572</v>
      </c>
      <c r="P40" s="70">
        <f t="shared" si="25"/>
        <v>1681</v>
      </c>
      <c r="Q40" s="70">
        <f t="shared" si="25"/>
        <v>1793</v>
      </c>
      <c r="R40" s="70">
        <f t="shared" si="25"/>
        <v>1906</v>
      </c>
      <c r="S40" s="70">
        <f t="shared" si="25"/>
        <v>2017</v>
      </c>
      <c r="T40" s="70">
        <f t="shared" si="25"/>
        <v>2131</v>
      </c>
      <c r="U40" s="70">
        <f t="shared" si="25"/>
        <v>2244</v>
      </c>
      <c r="V40" s="70">
        <f t="shared" si="25"/>
        <v>2358</v>
      </c>
      <c r="W40" s="70">
        <f t="shared" si="25"/>
        <v>2474</v>
      </c>
      <c r="X40" s="70">
        <f t="shared" si="25"/>
        <v>2589</v>
      </c>
      <c r="Y40" s="70">
        <f t="shared" si="25"/>
        <v>2705</v>
      </c>
      <c r="Z40" s="70">
        <f t="shared" si="25"/>
        <v>2823</v>
      </c>
    </row>
    <row r="41" spans="2:26" x14ac:dyDescent="0.25">
      <c r="B41" s="20" t="s">
        <v>94</v>
      </c>
      <c r="C41" s="70">
        <f>SUM(C37+C31+C25+C19+C13)</f>
        <v>0</v>
      </c>
      <c r="D41" s="70">
        <f t="shared" ref="D41:Z41" si="26">SUM(D37+D31+D25+D19+D13)</f>
        <v>2</v>
      </c>
      <c r="E41" s="70">
        <f t="shared" si="26"/>
        <v>9</v>
      </c>
      <c r="F41" s="70">
        <f t="shared" si="26"/>
        <v>7</v>
      </c>
      <c r="G41" s="70">
        <f t="shared" si="26"/>
        <v>14</v>
      </c>
      <c r="H41" s="70">
        <f t="shared" si="26"/>
        <v>18</v>
      </c>
      <c r="I41" s="70">
        <f t="shared" si="26"/>
        <v>11</v>
      </c>
      <c r="J41" s="70">
        <f t="shared" si="26"/>
        <v>158</v>
      </c>
      <c r="K41" s="70">
        <f t="shared" si="26"/>
        <v>154</v>
      </c>
      <c r="L41" s="70">
        <f t="shared" si="26"/>
        <v>172</v>
      </c>
      <c r="M41" s="70">
        <f t="shared" si="26"/>
        <v>189</v>
      </c>
      <c r="N41" s="70">
        <f t="shared" si="26"/>
        <v>134</v>
      </c>
      <c r="O41" s="70">
        <f t="shared" si="26"/>
        <v>197</v>
      </c>
      <c r="P41" s="70">
        <f t="shared" si="26"/>
        <v>202</v>
      </c>
      <c r="Q41" s="70">
        <f t="shared" si="26"/>
        <v>206</v>
      </c>
      <c r="R41" s="70">
        <f t="shared" si="26"/>
        <v>229</v>
      </c>
      <c r="S41" s="70">
        <f t="shared" si="26"/>
        <v>238</v>
      </c>
      <c r="T41" s="70">
        <f t="shared" si="26"/>
        <v>251</v>
      </c>
      <c r="U41" s="70">
        <f t="shared" si="26"/>
        <v>267</v>
      </c>
      <c r="V41" s="70">
        <f t="shared" si="26"/>
        <v>279</v>
      </c>
      <c r="W41" s="70">
        <f t="shared" si="26"/>
        <v>292</v>
      </c>
      <c r="X41" s="70">
        <f t="shared" si="26"/>
        <v>306</v>
      </c>
      <c r="Y41" s="70">
        <f t="shared" si="26"/>
        <v>321</v>
      </c>
      <c r="Z41" s="70">
        <f t="shared" si="26"/>
        <v>335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6645-C69B-4060-AAE9-91ECAE729055}">
  <dimension ref="B1:P3"/>
  <sheetViews>
    <sheetView showGridLines="0" topLeftCell="A31" workbookViewId="0">
      <selection activeCell="A58" sqref="A58"/>
    </sheetView>
  </sheetViews>
  <sheetFormatPr defaultRowHeight="15" x14ac:dyDescent="0.25"/>
  <cols>
    <col min="2" max="2" width="9.140625" customWidth="1"/>
  </cols>
  <sheetData>
    <row r="1" spans="2:16" x14ac:dyDescent="0.25">
      <c r="B1" s="86"/>
    </row>
    <row r="3" spans="2:16" ht="26.25" x14ac:dyDescent="0.4">
      <c r="P3" s="5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6007-30BB-4BAB-B1C7-6E6092C937C9}">
  <dimension ref="A1"/>
  <sheetViews>
    <sheetView showGridLines="0" topLeftCell="A32" workbookViewId="0">
      <selection activeCell="A59" sqref="A59"/>
    </sheetView>
  </sheetViews>
  <sheetFormatPr defaultRowHeight="15" x14ac:dyDescent="0.25"/>
  <sheetData>
    <row r="1" ht="6.75" customHeight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F488-EC4F-4AE2-9F20-67EC7606F0AC}">
  <dimension ref="A1"/>
  <sheetViews>
    <sheetView showGridLines="0" zoomScaleNormal="100" workbookViewId="0">
      <selection activeCell="P14" sqref="P14"/>
    </sheetView>
  </sheetViews>
  <sheetFormatPr defaultRowHeight="15" x14ac:dyDescent="0.25"/>
  <sheetData>
    <row r="1" customFormat="1" ht="6" customHeigh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698B-D28D-48C5-AD46-35D76ACFB3A0}">
  <dimension ref="C3:O16"/>
  <sheetViews>
    <sheetView workbookViewId="0">
      <selection activeCell="J25" sqref="J25"/>
    </sheetView>
  </sheetViews>
  <sheetFormatPr defaultRowHeight="15" x14ac:dyDescent="0.25"/>
  <cols>
    <col min="3" max="3" width="15.5703125" bestFit="1" customWidth="1"/>
  </cols>
  <sheetData>
    <row r="3" spans="3:15" x14ac:dyDescent="0.25">
      <c r="D3" s="53" t="s">
        <v>16</v>
      </c>
      <c r="E3" s="53" t="s">
        <v>18</v>
      </c>
      <c r="F3" s="53" t="s">
        <v>19</v>
      </c>
      <c r="G3" s="53" t="s">
        <v>20</v>
      </c>
      <c r="H3" s="53" t="s">
        <v>21</v>
      </c>
      <c r="I3" s="53" t="s">
        <v>22</v>
      </c>
      <c r="J3" s="53" t="s">
        <v>23</v>
      </c>
      <c r="K3" s="53" t="s">
        <v>24</v>
      </c>
      <c r="L3" s="53" t="s">
        <v>25</v>
      </c>
      <c r="M3" s="53" t="s">
        <v>26</v>
      </c>
      <c r="N3" s="53" t="s">
        <v>27</v>
      </c>
      <c r="O3" s="53" t="s">
        <v>28</v>
      </c>
    </row>
    <row r="4" spans="3:15" x14ac:dyDescent="0.25">
      <c r="C4" s="85" t="s">
        <v>118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0.2</v>
      </c>
      <c r="K4" s="7">
        <v>0.21951219512195122</v>
      </c>
      <c r="L4" s="7">
        <v>0.13846153846153847</v>
      </c>
      <c r="M4" s="7">
        <v>8.7499999999999994E-2</v>
      </c>
      <c r="N4" s="7">
        <v>0.17333333333333334</v>
      </c>
      <c r="O4" s="7">
        <v>8.9743589743589744E-2</v>
      </c>
    </row>
    <row r="5" spans="3:15" x14ac:dyDescent="0.25">
      <c r="C5" s="85" t="s">
        <v>119</v>
      </c>
      <c r="D5" s="7">
        <v>0</v>
      </c>
      <c r="E5" s="7">
        <v>3.8461538461538464E-2</v>
      </c>
      <c r="F5" s="7">
        <v>1.3513513513513514E-2</v>
      </c>
      <c r="G5" s="7">
        <v>0</v>
      </c>
      <c r="H5" s="7">
        <v>4.8387096774193547E-2</v>
      </c>
      <c r="I5" s="7">
        <v>5.9701492537313432E-2</v>
      </c>
      <c r="J5" s="7">
        <v>6.8965517241379309E-2</v>
      </c>
      <c r="K5" s="7">
        <v>0.18974358974358974</v>
      </c>
      <c r="L5" s="7">
        <v>0.19553072625698323</v>
      </c>
      <c r="M5" s="7">
        <v>0.20737327188940091</v>
      </c>
      <c r="N5" s="7">
        <v>0.19024390243902439</v>
      </c>
      <c r="O5" s="7">
        <v>0.16201117318435754</v>
      </c>
    </row>
    <row r="6" spans="3:15" x14ac:dyDescent="0.25">
      <c r="C6" s="85" t="s">
        <v>120</v>
      </c>
      <c r="D6" s="7">
        <v>0</v>
      </c>
      <c r="E6" s="7">
        <v>0</v>
      </c>
      <c r="F6" s="7">
        <v>1.6393442622950821E-2</v>
      </c>
      <c r="G6" s="7">
        <v>6.4102564102564097E-2</v>
      </c>
      <c r="H6" s="7">
        <v>8.0000000000000002E-3</v>
      </c>
      <c r="I6" s="7">
        <v>3.3057851239669422E-2</v>
      </c>
      <c r="J6" s="7">
        <v>6.6666666666666666E-2</v>
      </c>
      <c r="K6" s="7">
        <v>0.15291262135922329</v>
      </c>
      <c r="L6" s="7">
        <v>0.13402061855670103</v>
      </c>
      <c r="M6" s="7">
        <v>0.15294117647058825</v>
      </c>
      <c r="N6" s="7">
        <v>0.16905444126074498</v>
      </c>
      <c r="O6" s="7">
        <v>0.12209302325581395</v>
      </c>
    </row>
    <row r="7" spans="3:15" x14ac:dyDescent="0.25">
      <c r="C7" s="85" t="s">
        <v>121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7.3170731707317069E-2</v>
      </c>
      <c r="L7" s="7">
        <v>8.8235294117647065E-2</v>
      </c>
      <c r="M7" s="7">
        <v>5.2631578947368418E-2</v>
      </c>
      <c r="N7" s="7">
        <v>0.17777777777777778</v>
      </c>
      <c r="O7" s="7">
        <v>0.15094339622641509</v>
      </c>
    </row>
    <row r="8" spans="3:15" x14ac:dyDescent="0.25">
      <c r="C8" s="85" t="s">
        <v>122</v>
      </c>
      <c r="D8" s="7">
        <v>0</v>
      </c>
      <c r="E8" s="7">
        <v>0</v>
      </c>
      <c r="F8" s="7">
        <v>6.6666666666666666E-2</v>
      </c>
      <c r="G8" s="7">
        <v>0</v>
      </c>
      <c r="H8" s="7">
        <v>3.8461538461538464E-2</v>
      </c>
      <c r="I8" s="7">
        <v>4.2105263157894736E-2</v>
      </c>
      <c r="J8" s="7">
        <v>0</v>
      </c>
      <c r="K8" s="7">
        <v>4.9382716049382713E-2</v>
      </c>
      <c r="L8" s="7">
        <v>9.6153846153846159E-2</v>
      </c>
      <c r="M8" s="7">
        <v>0.11510791366906475</v>
      </c>
      <c r="N8" s="7">
        <v>4.9230769230769231E-2</v>
      </c>
      <c r="O8" s="7">
        <v>4.0892193308550186E-2</v>
      </c>
    </row>
    <row r="11" spans="3:15" x14ac:dyDescent="0.25">
      <c r="D11" s="53" t="s">
        <v>16</v>
      </c>
      <c r="E11" s="53" t="s">
        <v>18</v>
      </c>
      <c r="F11" s="53" t="s">
        <v>19</v>
      </c>
      <c r="G11" s="53" t="s">
        <v>20</v>
      </c>
      <c r="H11" s="53" t="s">
        <v>21</v>
      </c>
      <c r="I11" s="53" t="s">
        <v>22</v>
      </c>
      <c r="J11" s="53" t="s">
        <v>23</v>
      </c>
      <c r="K11" s="53" t="s">
        <v>24</v>
      </c>
      <c r="L11" s="53" t="s">
        <v>25</v>
      </c>
      <c r="M11" s="53" t="s">
        <v>26</v>
      </c>
      <c r="N11" s="53" t="s">
        <v>27</v>
      </c>
      <c r="O11" s="53" t="s">
        <v>28</v>
      </c>
    </row>
    <row r="12" spans="3:15" x14ac:dyDescent="0.25">
      <c r="C12" s="85" t="s">
        <v>118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18</v>
      </c>
      <c r="L12">
        <v>9</v>
      </c>
      <c r="M12">
        <v>7</v>
      </c>
      <c r="N12">
        <v>13</v>
      </c>
      <c r="O12">
        <v>7</v>
      </c>
    </row>
    <row r="13" spans="3:15" x14ac:dyDescent="0.25">
      <c r="C13" s="85" t="s">
        <v>119</v>
      </c>
      <c r="E13">
        <v>2</v>
      </c>
      <c r="F13">
        <v>1</v>
      </c>
      <c r="G13">
        <v>0</v>
      </c>
      <c r="H13">
        <v>3</v>
      </c>
      <c r="I13">
        <v>4</v>
      </c>
      <c r="J13">
        <v>2</v>
      </c>
      <c r="K13">
        <v>37</v>
      </c>
      <c r="L13">
        <v>35</v>
      </c>
      <c r="M13">
        <v>45</v>
      </c>
      <c r="N13">
        <v>39</v>
      </c>
      <c r="O13">
        <v>29</v>
      </c>
    </row>
    <row r="14" spans="3:15" x14ac:dyDescent="0.25">
      <c r="C14" s="85" t="s">
        <v>120</v>
      </c>
      <c r="E14">
        <v>0</v>
      </c>
      <c r="F14">
        <v>2</v>
      </c>
      <c r="G14">
        <v>5</v>
      </c>
      <c r="H14">
        <v>1</v>
      </c>
      <c r="I14">
        <v>4</v>
      </c>
      <c r="J14">
        <v>4</v>
      </c>
      <c r="K14">
        <v>63</v>
      </c>
      <c r="L14">
        <v>39</v>
      </c>
      <c r="M14">
        <v>52</v>
      </c>
      <c r="N14">
        <v>59</v>
      </c>
      <c r="O14">
        <v>42</v>
      </c>
    </row>
    <row r="15" spans="3:15" x14ac:dyDescent="0.25">
      <c r="C15" s="85" t="s">
        <v>121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2</v>
      </c>
      <c r="N15">
        <v>8</v>
      </c>
      <c r="O15">
        <v>8</v>
      </c>
    </row>
    <row r="16" spans="3:15" x14ac:dyDescent="0.25">
      <c r="C16" s="85" t="s">
        <v>122</v>
      </c>
      <c r="E16">
        <v>0</v>
      </c>
      <c r="F16">
        <v>3</v>
      </c>
      <c r="G16">
        <v>0</v>
      </c>
      <c r="H16">
        <v>2</v>
      </c>
      <c r="I16">
        <v>4</v>
      </c>
      <c r="J16">
        <v>0</v>
      </c>
      <c r="K16">
        <v>8</v>
      </c>
      <c r="L16">
        <v>15</v>
      </c>
      <c r="M16">
        <v>16</v>
      </c>
      <c r="N16">
        <v>16</v>
      </c>
      <c r="O1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F184-D5E1-443C-9CF6-55097A2A1F45}">
  <dimension ref="A2:K43"/>
  <sheetViews>
    <sheetView showGridLines="0" topLeftCell="A17" zoomScale="90" zoomScaleNormal="90" workbookViewId="0">
      <selection activeCell="G39" sqref="G39"/>
    </sheetView>
  </sheetViews>
  <sheetFormatPr defaultRowHeight="15" x14ac:dyDescent="0.25"/>
  <cols>
    <col min="1" max="1" width="6.42578125" customWidth="1"/>
    <col min="2" max="2" width="17.7109375" bestFit="1" customWidth="1"/>
    <col min="3" max="3" width="15.28515625" bestFit="1" customWidth="1"/>
    <col min="4" max="4" width="16.85546875" customWidth="1"/>
    <col min="5" max="5" width="12.140625" customWidth="1"/>
    <col min="6" max="6" width="12" customWidth="1"/>
    <col min="7" max="7" width="10.42578125" customWidth="1"/>
    <col min="8" max="9" width="12" bestFit="1" customWidth="1"/>
    <col min="10" max="10" width="11.140625" customWidth="1"/>
    <col min="11" max="11" width="10.42578125" customWidth="1"/>
  </cols>
  <sheetData>
    <row r="2" spans="2:3" ht="18" customHeight="1" x14ac:dyDescent="0.25">
      <c r="B2" s="2" t="s">
        <v>75</v>
      </c>
    </row>
    <row r="3" spans="2:3" ht="6" customHeight="1" x14ac:dyDescent="0.25"/>
    <row r="4" spans="2:3" ht="21" customHeight="1" x14ac:dyDescent="0.25">
      <c r="B4" s="28" t="s">
        <v>73</v>
      </c>
      <c r="C4" s="25" t="s">
        <v>74</v>
      </c>
    </row>
    <row r="5" spans="2:3" x14ac:dyDescent="0.25">
      <c r="B5" s="21" t="s">
        <v>16</v>
      </c>
      <c r="C5" s="3">
        <v>2</v>
      </c>
    </row>
    <row r="6" spans="2:3" x14ac:dyDescent="0.25">
      <c r="B6" s="21" t="s">
        <v>18</v>
      </c>
      <c r="C6" s="3">
        <v>142</v>
      </c>
    </row>
    <row r="7" spans="2:3" x14ac:dyDescent="0.25">
      <c r="B7" s="21" t="s">
        <v>19</v>
      </c>
      <c r="C7" s="3">
        <v>279</v>
      </c>
    </row>
    <row r="8" spans="2:3" x14ac:dyDescent="0.25">
      <c r="B8" s="21" t="s">
        <v>20</v>
      </c>
      <c r="C8" s="3">
        <v>216</v>
      </c>
    </row>
    <row r="9" spans="2:3" x14ac:dyDescent="0.25">
      <c r="B9" s="21" t="s">
        <v>21</v>
      </c>
      <c r="C9" s="3">
        <v>270</v>
      </c>
    </row>
    <row r="10" spans="2:3" x14ac:dyDescent="0.25">
      <c r="B10" s="21" t="s">
        <v>22</v>
      </c>
      <c r="C10" s="3">
        <v>329</v>
      </c>
    </row>
    <row r="11" spans="2:3" x14ac:dyDescent="0.25">
      <c r="B11" s="21" t="s">
        <v>23</v>
      </c>
      <c r="C11" s="3">
        <v>147</v>
      </c>
    </row>
    <row r="12" spans="2:3" x14ac:dyDescent="0.25">
      <c r="B12" s="21" t="s">
        <v>24</v>
      </c>
      <c r="C12" s="3">
        <v>892</v>
      </c>
    </row>
    <row r="13" spans="2:3" x14ac:dyDescent="0.25">
      <c r="B13" s="21" t="s">
        <v>25</v>
      </c>
      <c r="C13" s="3">
        <v>725</v>
      </c>
    </row>
    <row r="14" spans="2:3" x14ac:dyDescent="0.25">
      <c r="B14" s="21" t="s">
        <v>26</v>
      </c>
      <c r="C14" s="3">
        <v>814</v>
      </c>
    </row>
    <row r="15" spans="2:3" x14ac:dyDescent="0.25">
      <c r="B15" s="21" t="s">
        <v>27</v>
      </c>
      <c r="C15" s="3">
        <v>999</v>
      </c>
    </row>
    <row r="16" spans="2:3" x14ac:dyDescent="0.25">
      <c r="B16" s="21" t="s">
        <v>28</v>
      </c>
      <c r="C16" s="3">
        <v>923</v>
      </c>
    </row>
    <row r="17" spans="1:11" ht="20.25" customHeight="1" x14ac:dyDescent="0.25"/>
    <row r="18" spans="1:11" ht="30" x14ac:dyDescent="0.25">
      <c r="B18" s="27" t="s">
        <v>60</v>
      </c>
      <c r="F18" s="22" t="s">
        <v>55</v>
      </c>
      <c r="I18" t="s">
        <v>5</v>
      </c>
    </row>
    <row r="19" spans="1:11" ht="5.25" customHeight="1" x14ac:dyDescent="0.25"/>
    <row r="20" spans="1:11" x14ac:dyDescent="0.25">
      <c r="B20" s="21" t="s">
        <v>56</v>
      </c>
      <c r="C20" s="3">
        <v>0.42490895785354266</v>
      </c>
      <c r="F20" s="21" t="s">
        <v>57</v>
      </c>
      <c r="G20" s="10">
        <v>91.382000000000005</v>
      </c>
    </row>
    <row r="21" spans="1:11" x14ac:dyDescent="0.25">
      <c r="B21" s="20" t="s">
        <v>58</v>
      </c>
      <c r="C21" s="11">
        <v>0.57509104214645734</v>
      </c>
      <c r="F21" s="21" t="s">
        <v>59</v>
      </c>
      <c r="G21" s="10">
        <v>-26.835999999999999</v>
      </c>
    </row>
    <row r="22" spans="1:11" x14ac:dyDescent="0.25">
      <c r="C22">
        <f>SUM(C20:C21)</f>
        <v>1</v>
      </c>
    </row>
    <row r="24" spans="1:11" ht="30" customHeight="1" x14ac:dyDescent="0.25">
      <c r="B24" s="24" t="s">
        <v>76</v>
      </c>
      <c r="C24" s="25" t="s">
        <v>34</v>
      </c>
      <c r="D24" s="26" t="s">
        <v>60</v>
      </c>
      <c r="E24" s="26" t="s">
        <v>61</v>
      </c>
      <c r="F24" s="26" t="s">
        <v>62</v>
      </c>
      <c r="G24" s="26" t="s">
        <v>63</v>
      </c>
      <c r="H24" s="26" t="s">
        <v>64</v>
      </c>
      <c r="I24" s="26" t="s">
        <v>65</v>
      </c>
      <c r="J24" s="26" t="s">
        <v>66</v>
      </c>
      <c r="K24" s="26" t="s">
        <v>67</v>
      </c>
    </row>
    <row r="25" spans="1:11" x14ac:dyDescent="0.25">
      <c r="A25">
        <v>1</v>
      </c>
      <c r="B25" s="21" t="s">
        <v>16</v>
      </c>
      <c r="C25" s="12" cm="1">
        <f t="array" ref="C25:C36">C5:C16</f>
        <v>2</v>
      </c>
      <c r="D25" s="12"/>
      <c r="E25" s="3"/>
      <c r="F25" s="3"/>
      <c r="G25" s="3"/>
      <c r="H25" s="3"/>
      <c r="I25" s="3"/>
      <c r="J25" s="3"/>
      <c r="K25" s="3"/>
    </row>
    <row r="26" spans="1:11" x14ac:dyDescent="0.25">
      <c r="A26">
        <v>2</v>
      </c>
      <c r="B26" s="21" t="s">
        <v>18</v>
      </c>
      <c r="C26" s="12">
        <v>142</v>
      </c>
      <c r="D26" s="12"/>
      <c r="E26" s="3"/>
      <c r="F26" s="3"/>
      <c r="G26" s="3"/>
      <c r="H26" s="3"/>
      <c r="I26" s="3"/>
      <c r="J26" s="3"/>
      <c r="K26" s="3"/>
    </row>
    <row r="27" spans="1:11" x14ac:dyDescent="0.25">
      <c r="A27">
        <v>3</v>
      </c>
      <c r="B27" s="21" t="s">
        <v>19</v>
      </c>
      <c r="C27" s="12">
        <v>279</v>
      </c>
      <c r="D27" s="12">
        <f>C26</f>
        <v>142</v>
      </c>
      <c r="E27" s="12">
        <f>($G$20*A27)+$G$21</f>
        <v>247.31</v>
      </c>
      <c r="F27" s="12">
        <f>D27-C27</f>
        <v>-137</v>
      </c>
      <c r="G27" s="12">
        <f>E27-C27</f>
        <v>-31.689999999999998</v>
      </c>
      <c r="H27" s="12">
        <f>ABS(F27)</f>
        <v>137</v>
      </c>
      <c r="I27" s="12">
        <f>ABS(G27)</f>
        <v>31.689999999999998</v>
      </c>
      <c r="J27" s="13">
        <f>H27/C27</f>
        <v>0.49103942652329752</v>
      </c>
      <c r="K27" s="13">
        <f>I27/C27</f>
        <v>0.113584229390681</v>
      </c>
    </row>
    <row r="28" spans="1:11" x14ac:dyDescent="0.25">
      <c r="A28">
        <v>4</v>
      </c>
      <c r="B28" s="21" t="s">
        <v>20</v>
      </c>
      <c r="C28" s="12">
        <v>216</v>
      </c>
      <c r="D28" s="12">
        <f>SUMPRODUCT(($C$20:$C$21),C26:C27)</f>
        <v>220.78747277406467</v>
      </c>
      <c r="E28" s="12">
        <f t="shared" ref="E28:E36" si="0">($G$20*A28)+$G$21</f>
        <v>338.69200000000001</v>
      </c>
      <c r="F28" s="12">
        <f t="shared" ref="F28:F36" si="1">D28-C28</f>
        <v>4.7874727740646676</v>
      </c>
      <c r="G28" s="12">
        <f t="shared" ref="G28:G36" si="2">E28-C28</f>
        <v>122.69200000000001</v>
      </c>
      <c r="H28" s="12">
        <f t="shared" ref="H28:I36" si="3">ABS(F28)</f>
        <v>4.7874727740646676</v>
      </c>
      <c r="I28" s="12">
        <f t="shared" si="3"/>
        <v>122.69200000000001</v>
      </c>
      <c r="J28" s="13">
        <f t="shared" ref="J28:J36" si="4">H28/C28</f>
        <v>2.2164225805854944E-2</v>
      </c>
      <c r="K28" s="13">
        <f t="shared" ref="K28:K36" si="5">I28/C28</f>
        <v>0.56801851851851859</v>
      </c>
    </row>
    <row r="29" spans="1:11" x14ac:dyDescent="0.25">
      <c r="A29">
        <v>5</v>
      </c>
      <c r="B29" s="21" t="s">
        <v>21</v>
      </c>
      <c r="C29" s="12">
        <v>270</v>
      </c>
      <c r="D29" s="12">
        <f t="shared" ref="D29:D36" si="6">SUMPRODUCT(($C$20:$C$21),C27:C28)</f>
        <v>242.76926434477318</v>
      </c>
      <c r="E29" s="12">
        <f t="shared" si="0"/>
        <v>430.07400000000001</v>
      </c>
      <c r="F29" s="12">
        <f t="shared" si="1"/>
        <v>-27.230735655226823</v>
      </c>
      <c r="G29" s="12">
        <f t="shared" si="2"/>
        <v>160.07400000000001</v>
      </c>
      <c r="H29" s="12">
        <f t="shared" si="3"/>
        <v>27.230735655226823</v>
      </c>
      <c r="I29" s="12">
        <f t="shared" si="3"/>
        <v>160.07400000000001</v>
      </c>
      <c r="J29" s="13">
        <f t="shared" si="4"/>
        <v>0.10085457650084008</v>
      </c>
      <c r="K29" s="13">
        <f t="shared" si="5"/>
        <v>0.59286666666666676</v>
      </c>
    </row>
    <row r="30" spans="1:11" x14ac:dyDescent="0.25">
      <c r="A30">
        <v>6</v>
      </c>
      <c r="B30" s="21" t="s">
        <v>22</v>
      </c>
      <c r="C30" s="12">
        <v>329</v>
      </c>
      <c r="D30" s="12">
        <f t="shared" si="6"/>
        <v>247.05491627590871</v>
      </c>
      <c r="E30" s="12">
        <f t="shared" si="0"/>
        <v>521.45600000000002</v>
      </c>
      <c r="F30" s="12">
        <f t="shared" si="1"/>
        <v>-81.94508372409129</v>
      </c>
      <c r="G30" s="12">
        <f t="shared" si="2"/>
        <v>192.45600000000002</v>
      </c>
      <c r="H30" s="12">
        <f t="shared" si="3"/>
        <v>81.94508372409129</v>
      </c>
      <c r="I30" s="12">
        <f t="shared" si="3"/>
        <v>192.45600000000002</v>
      </c>
      <c r="J30" s="13">
        <f t="shared" si="4"/>
        <v>0.24907320280878811</v>
      </c>
      <c r="K30" s="13">
        <f t="shared" si="5"/>
        <v>0.58497264437689978</v>
      </c>
    </row>
    <row r="31" spans="1:11" x14ac:dyDescent="0.25">
      <c r="A31">
        <v>7</v>
      </c>
      <c r="B31" s="21" t="s">
        <v>23</v>
      </c>
      <c r="C31" s="12">
        <v>147</v>
      </c>
      <c r="D31" s="12">
        <f t="shared" si="6"/>
        <v>303.93037148664098</v>
      </c>
      <c r="E31" s="12">
        <f t="shared" si="0"/>
        <v>612.83799999999997</v>
      </c>
      <c r="F31" s="12">
        <f t="shared" si="1"/>
        <v>156.93037148664098</v>
      </c>
      <c r="G31" s="12">
        <f t="shared" si="2"/>
        <v>465.83799999999997</v>
      </c>
      <c r="H31" s="12">
        <f t="shared" si="3"/>
        <v>156.93037148664098</v>
      </c>
      <c r="I31" s="12">
        <f t="shared" si="3"/>
        <v>465.83799999999997</v>
      </c>
      <c r="J31" s="13">
        <f t="shared" si="4"/>
        <v>1.0675535475281699</v>
      </c>
      <c r="K31" s="13">
        <f t="shared" si="5"/>
        <v>3.1689659863945576</v>
      </c>
    </row>
    <row r="32" spans="1:11" x14ac:dyDescent="0.25">
      <c r="A32">
        <v>8</v>
      </c>
      <c r="B32" s="21" t="s">
        <v>24</v>
      </c>
      <c r="C32" s="12">
        <v>892</v>
      </c>
      <c r="D32" s="12">
        <f t="shared" si="6"/>
        <v>224.33343032934476</v>
      </c>
      <c r="E32" s="12">
        <f t="shared" si="0"/>
        <v>704.22</v>
      </c>
      <c r="F32" s="12">
        <f t="shared" si="1"/>
        <v>-667.66656967065524</v>
      </c>
      <c r="G32" s="12">
        <f t="shared" si="2"/>
        <v>-187.77999999999997</v>
      </c>
      <c r="H32" s="12">
        <f t="shared" si="3"/>
        <v>667.66656967065524</v>
      </c>
      <c r="I32" s="12">
        <f t="shared" si="3"/>
        <v>187.77999999999997</v>
      </c>
      <c r="J32" s="13">
        <f t="shared" si="4"/>
        <v>0.74850512294916505</v>
      </c>
      <c r="K32" s="13">
        <f t="shared" si="5"/>
        <v>0.21051569506726453</v>
      </c>
    </row>
    <row r="33" spans="1:11" x14ac:dyDescent="0.25">
      <c r="A33">
        <v>9</v>
      </c>
      <c r="B33" s="21" t="s">
        <v>25</v>
      </c>
      <c r="C33" s="12">
        <v>725</v>
      </c>
      <c r="D33" s="12">
        <f t="shared" si="6"/>
        <v>575.44282639911069</v>
      </c>
      <c r="E33" s="12">
        <f t="shared" si="0"/>
        <v>795.60200000000009</v>
      </c>
      <c r="F33" s="12">
        <f t="shared" si="1"/>
        <v>-149.55717360088931</v>
      </c>
      <c r="G33" s="12">
        <f t="shared" si="2"/>
        <v>70.602000000000089</v>
      </c>
      <c r="H33" s="12">
        <f t="shared" si="3"/>
        <v>149.55717360088931</v>
      </c>
      <c r="I33" s="12">
        <f t="shared" si="3"/>
        <v>70.602000000000089</v>
      </c>
      <c r="J33" s="13">
        <f t="shared" si="4"/>
        <v>0.20628575669088181</v>
      </c>
      <c r="K33" s="13">
        <f t="shared" si="5"/>
        <v>9.7382068965517363E-2</v>
      </c>
    </row>
    <row r="34" spans="1:11" x14ac:dyDescent="0.25">
      <c r="A34">
        <v>10</v>
      </c>
      <c r="B34" s="21" t="s">
        <v>26</v>
      </c>
      <c r="C34" s="12">
        <v>814</v>
      </c>
      <c r="D34" s="12">
        <f t="shared" si="6"/>
        <v>795.95979596154166</v>
      </c>
      <c r="E34" s="12">
        <f t="shared" si="0"/>
        <v>886.98400000000004</v>
      </c>
      <c r="F34" s="12">
        <f t="shared" si="1"/>
        <v>-18.040204038458342</v>
      </c>
      <c r="G34" s="12">
        <f t="shared" si="2"/>
        <v>72.984000000000037</v>
      </c>
      <c r="H34" s="12">
        <f t="shared" si="3"/>
        <v>18.040204038458342</v>
      </c>
      <c r="I34" s="12">
        <f t="shared" si="3"/>
        <v>72.984000000000037</v>
      </c>
      <c r="J34" s="13">
        <f t="shared" si="4"/>
        <v>2.2162412823658897E-2</v>
      </c>
      <c r="K34" s="13">
        <f t="shared" si="5"/>
        <v>8.9660933660933709E-2</v>
      </c>
    </row>
    <row r="35" spans="1:11" x14ac:dyDescent="0.25">
      <c r="A35">
        <v>11</v>
      </c>
      <c r="B35" s="21" t="s">
        <v>27</v>
      </c>
      <c r="C35" s="12">
        <v>999</v>
      </c>
      <c r="D35" s="12">
        <f t="shared" si="6"/>
        <v>776.18310275103477</v>
      </c>
      <c r="E35" s="12">
        <f t="shared" si="0"/>
        <v>978.36599999999999</v>
      </c>
      <c r="F35" s="12">
        <f t="shared" si="1"/>
        <v>-222.81689724896523</v>
      </c>
      <c r="G35" s="12">
        <f t="shared" si="2"/>
        <v>-20.634000000000015</v>
      </c>
      <c r="H35" s="12">
        <f t="shared" si="3"/>
        <v>222.81689724896523</v>
      </c>
      <c r="I35" s="12">
        <f t="shared" si="3"/>
        <v>20.634000000000015</v>
      </c>
      <c r="J35" s="13">
        <f t="shared" si="4"/>
        <v>0.22303993718615139</v>
      </c>
      <c r="K35" s="13">
        <f t="shared" si="5"/>
        <v>2.0654654654654669E-2</v>
      </c>
    </row>
    <row r="36" spans="1:11" x14ac:dyDescent="0.25">
      <c r="A36">
        <v>12</v>
      </c>
      <c r="B36" s="21" t="s">
        <v>28</v>
      </c>
      <c r="C36" s="12">
        <v>923</v>
      </c>
      <c r="D36" s="12">
        <f t="shared" si="6"/>
        <v>920.39184279709457</v>
      </c>
      <c r="E36" s="12">
        <f t="shared" si="0"/>
        <v>1069.748</v>
      </c>
      <c r="F36" s="12">
        <f t="shared" si="1"/>
        <v>-2.6081572029054314</v>
      </c>
      <c r="G36" s="12">
        <f t="shared" si="2"/>
        <v>146.74800000000005</v>
      </c>
      <c r="H36" s="12">
        <f t="shared" si="3"/>
        <v>2.6081572029054314</v>
      </c>
      <c r="I36" s="12">
        <f t="shared" si="3"/>
        <v>146.74800000000005</v>
      </c>
      <c r="J36" s="13">
        <f t="shared" si="4"/>
        <v>2.8257391147404457E-3</v>
      </c>
      <c r="K36" s="13">
        <f t="shared" si="5"/>
        <v>0.15899024918743235</v>
      </c>
    </row>
    <row r="39" spans="1:11" ht="30" x14ac:dyDescent="0.25">
      <c r="B39" s="24" t="s">
        <v>68</v>
      </c>
      <c r="C39" s="26" t="s">
        <v>60</v>
      </c>
      <c r="D39" s="26" t="s">
        <v>61</v>
      </c>
    </row>
    <row r="40" spans="1:11" x14ac:dyDescent="0.25">
      <c r="B40" s="21" t="s">
        <v>69</v>
      </c>
      <c r="C40" s="13">
        <f>SUM(F27:F36)/SUM(C27:C36)</f>
        <v>-0.20470986358249663</v>
      </c>
      <c r="D40" s="14">
        <f>SUM(G27:G36)/SUM(C27:C36)</f>
        <v>0.17720593493028247</v>
      </c>
    </row>
    <row r="41" spans="1:11" x14ac:dyDescent="0.25">
      <c r="B41" s="20" t="s">
        <v>70</v>
      </c>
      <c r="C41" s="15">
        <f>AVERAGE(J27:J36)</f>
        <v>0.31335039479315485</v>
      </c>
      <c r="D41" s="4">
        <f>AVERAGE(K27:K36)</f>
        <v>0.56056116468831263</v>
      </c>
    </row>
    <row r="42" spans="1:11" x14ac:dyDescent="0.25">
      <c r="B42" s="20" t="s">
        <v>71</v>
      </c>
      <c r="C42" s="13">
        <f>SUM(H27:H36)/SUM(C27:C36)</f>
        <v>0.26252818473398232</v>
      </c>
      <c r="D42" s="13">
        <f>SUM(I27:I36)/SUM(C27:C36)</f>
        <v>0.26304933857704682</v>
      </c>
    </row>
    <row r="43" spans="1:11" x14ac:dyDescent="0.25">
      <c r="B43" s="20" t="s">
        <v>72</v>
      </c>
      <c r="C43" s="12">
        <f>SQRT(SUMSQ(F27:F36)/COUNTA(F27:F36))</f>
        <v>238.53745799727923</v>
      </c>
      <c r="D43" s="16">
        <f>SQRT(SUMSQ(G27:G36)/COUNTA(G27:G36))</f>
        <v>190.5935453104328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48A3-2C38-4DFD-BD42-AA89FD014FA6}">
  <dimension ref="A2:K43"/>
  <sheetViews>
    <sheetView showGridLines="0" topLeftCell="A19" workbookViewId="0">
      <selection activeCell="J17" sqref="J17"/>
    </sheetView>
  </sheetViews>
  <sheetFormatPr defaultRowHeight="15" x14ac:dyDescent="0.25"/>
  <cols>
    <col min="1" max="1" width="6.42578125" customWidth="1"/>
    <col min="2" max="2" width="17.7109375" bestFit="1" customWidth="1"/>
    <col min="3" max="3" width="15.28515625" bestFit="1" customWidth="1"/>
    <col min="4" max="4" width="14.140625" customWidth="1"/>
    <col min="5" max="5" width="12.42578125" customWidth="1"/>
    <col min="6" max="6" width="12" customWidth="1"/>
    <col min="7" max="7" width="10.42578125" customWidth="1"/>
    <col min="8" max="9" width="12" bestFit="1" customWidth="1"/>
    <col min="10" max="10" width="11.140625" customWidth="1"/>
    <col min="11" max="11" width="12.7109375" customWidth="1"/>
  </cols>
  <sheetData>
    <row r="2" spans="2:3" x14ac:dyDescent="0.25">
      <c r="B2" s="2" t="s">
        <v>77</v>
      </c>
    </row>
    <row r="3" spans="2:3" ht="4.5" customHeight="1" x14ac:dyDescent="0.25"/>
    <row r="4" spans="2:3" ht="20.25" customHeight="1" x14ac:dyDescent="0.25">
      <c r="B4" s="28" t="s">
        <v>73</v>
      </c>
      <c r="C4" s="25" t="s">
        <v>78</v>
      </c>
    </row>
    <row r="5" spans="2:3" x14ac:dyDescent="0.25">
      <c r="B5" s="21" t="s">
        <v>16</v>
      </c>
      <c r="C5" s="3">
        <v>1</v>
      </c>
    </row>
    <row r="6" spans="2:3" x14ac:dyDescent="0.25">
      <c r="B6" s="21" t="s">
        <v>18</v>
      </c>
      <c r="C6" s="3">
        <v>19</v>
      </c>
    </row>
    <row r="7" spans="2:3" x14ac:dyDescent="0.25">
      <c r="B7" s="21" t="s">
        <v>19</v>
      </c>
      <c r="C7" s="3">
        <v>24</v>
      </c>
    </row>
    <row r="8" spans="2:3" x14ac:dyDescent="0.25">
      <c r="B8" s="21" t="s">
        <v>20</v>
      </c>
      <c r="C8" s="3">
        <v>23</v>
      </c>
    </row>
    <row r="9" spans="2:3" x14ac:dyDescent="0.25">
      <c r="B9" s="21" t="s">
        <v>21</v>
      </c>
      <c r="C9" s="3">
        <v>30</v>
      </c>
    </row>
    <row r="10" spans="2:3" x14ac:dyDescent="0.25">
      <c r="B10" s="21" t="s">
        <v>22</v>
      </c>
      <c r="C10" s="3">
        <v>37</v>
      </c>
    </row>
    <row r="11" spans="2:3" x14ac:dyDescent="0.25">
      <c r="B11" s="21" t="s">
        <v>23</v>
      </c>
      <c r="C11" s="3">
        <v>12</v>
      </c>
    </row>
    <row r="12" spans="2:3" x14ac:dyDescent="0.25">
      <c r="B12" s="21" t="s">
        <v>24</v>
      </c>
      <c r="C12" s="3">
        <v>61</v>
      </c>
    </row>
    <row r="13" spans="2:3" x14ac:dyDescent="0.25">
      <c r="B13" s="21" t="s">
        <v>25</v>
      </c>
      <c r="C13" s="3">
        <v>68</v>
      </c>
    </row>
    <row r="14" spans="2:3" x14ac:dyDescent="0.25">
      <c r="B14" s="21" t="s">
        <v>26</v>
      </c>
      <c r="C14" s="3">
        <v>74</v>
      </c>
    </row>
    <row r="15" spans="2:3" x14ac:dyDescent="0.25">
      <c r="B15" s="21" t="s">
        <v>27</v>
      </c>
      <c r="C15" s="3">
        <v>50</v>
      </c>
    </row>
    <row r="16" spans="2:3" x14ac:dyDescent="0.25">
      <c r="B16" s="21" t="s">
        <v>28</v>
      </c>
      <c r="C16" s="3">
        <v>94</v>
      </c>
    </row>
    <row r="17" spans="1:11" ht="21.75" customHeight="1" x14ac:dyDescent="0.25">
      <c r="C17" s="23"/>
    </row>
    <row r="18" spans="1:11" ht="30" x14ac:dyDescent="0.25">
      <c r="B18" s="27" t="s">
        <v>60</v>
      </c>
      <c r="F18" s="22" t="s">
        <v>55</v>
      </c>
      <c r="I18" t="s">
        <v>5</v>
      </c>
    </row>
    <row r="19" spans="1:11" ht="6.75" customHeight="1" x14ac:dyDescent="0.25"/>
    <row r="20" spans="1:11" x14ac:dyDescent="0.25">
      <c r="B20" s="21" t="s">
        <v>56</v>
      </c>
      <c r="C20" s="3">
        <v>0.57150356505229472</v>
      </c>
      <c r="F20" s="21" t="s">
        <v>57</v>
      </c>
      <c r="G20" s="10">
        <v>6.6544999999999996</v>
      </c>
    </row>
    <row r="21" spans="1:11" x14ac:dyDescent="0.25">
      <c r="B21" s="20" t="s">
        <v>58</v>
      </c>
      <c r="C21" s="11">
        <v>0.42849643920704211</v>
      </c>
      <c r="F21" s="21" t="s">
        <v>59</v>
      </c>
      <c r="G21" s="10">
        <v>4.8</v>
      </c>
    </row>
    <row r="22" spans="1:11" x14ac:dyDescent="0.25">
      <c r="C22">
        <f>SUM(C20:C21)</f>
        <v>1.0000000042593369</v>
      </c>
    </row>
    <row r="24" spans="1:11" ht="30" customHeight="1" x14ac:dyDescent="0.25">
      <c r="B24" s="24" t="s">
        <v>76</v>
      </c>
      <c r="C24" s="25" t="s">
        <v>34</v>
      </c>
      <c r="D24" s="26" t="s">
        <v>60</v>
      </c>
      <c r="E24" s="26" t="s">
        <v>61</v>
      </c>
      <c r="F24" s="26" t="s">
        <v>62</v>
      </c>
      <c r="G24" s="26" t="s">
        <v>63</v>
      </c>
      <c r="H24" s="26" t="s">
        <v>64</v>
      </c>
      <c r="I24" s="26" t="s">
        <v>65</v>
      </c>
      <c r="J24" s="26" t="s">
        <v>66</v>
      </c>
      <c r="K24" s="26" t="s">
        <v>67</v>
      </c>
    </row>
    <row r="25" spans="1:11" x14ac:dyDescent="0.25">
      <c r="A25">
        <v>1</v>
      </c>
      <c r="B25" s="21" t="s">
        <v>16</v>
      </c>
      <c r="C25" s="12" cm="1">
        <f t="array" ref="C25:C36">C5:C16</f>
        <v>1</v>
      </c>
      <c r="D25" s="12"/>
      <c r="E25" s="3"/>
      <c r="F25" s="3"/>
      <c r="G25" s="3"/>
      <c r="H25" s="3"/>
      <c r="I25" s="3"/>
      <c r="J25" s="3"/>
      <c r="K25" s="3"/>
    </row>
    <row r="26" spans="1:11" x14ac:dyDescent="0.25">
      <c r="A26">
        <v>2</v>
      </c>
      <c r="B26" s="21" t="s">
        <v>18</v>
      </c>
      <c r="C26" s="12">
        <v>19</v>
      </c>
      <c r="D26" s="12"/>
      <c r="E26" s="3"/>
      <c r="F26" s="3"/>
      <c r="G26" s="3"/>
      <c r="H26" s="3"/>
      <c r="I26" s="3"/>
      <c r="J26" s="3"/>
      <c r="K26" s="3"/>
    </row>
    <row r="27" spans="1:11" x14ac:dyDescent="0.25">
      <c r="A27">
        <v>3</v>
      </c>
      <c r="B27" s="21" t="s">
        <v>19</v>
      </c>
      <c r="C27" s="12">
        <v>24</v>
      </c>
      <c r="D27" s="12">
        <v>19</v>
      </c>
      <c r="E27" s="12">
        <f>($G$20*A27)+$G$21</f>
        <v>24.763500000000001</v>
      </c>
      <c r="F27" s="12">
        <f>D27-C27</f>
        <v>-5</v>
      </c>
      <c r="G27" s="12">
        <f>E27-C27</f>
        <v>0.76350000000000051</v>
      </c>
      <c r="H27" s="12">
        <f>ABS(F27)</f>
        <v>5</v>
      </c>
      <c r="I27" s="12">
        <f>ABS(G27)</f>
        <v>0.76350000000000051</v>
      </c>
      <c r="J27" s="13">
        <f>H27/C27</f>
        <v>0.20833333333333334</v>
      </c>
      <c r="K27" s="13">
        <f>I27/C27</f>
        <v>3.1812500000000021E-2</v>
      </c>
    </row>
    <row r="28" spans="1:11" x14ac:dyDescent="0.25">
      <c r="A28">
        <v>4</v>
      </c>
      <c r="B28" s="21" t="s">
        <v>20</v>
      </c>
      <c r="C28" s="12">
        <v>23</v>
      </c>
      <c r="D28" s="12">
        <f>SUMPRODUCT(($C$20:$C$21),C26:C27)</f>
        <v>21.14248227696261</v>
      </c>
      <c r="E28" s="12">
        <f t="shared" ref="E28:E36" si="0">($G$20*A28)+$G$21</f>
        <v>31.417999999999999</v>
      </c>
      <c r="F28" s="12">
        <f t="shared" ref="F28:F36" si="1">D28-C28</f>
        <v>-1.8575177230373896</v>
      </c>
      <c r="G28" s="12">
        <f t="shared" ref="G28:G36" si="2">E28-C28</f>
        <v>8.4179999999999993</v>
      </c>
      <c r="H28" s="12">
        <f t="shared" ref="H28:I36" si="3">ABS(F28)</f>
        <v>1.8575177230373896</v>
      </c>
      <c r="I28" s="12">
        <f t="shared" si="3"/>
        <v>8.4179999999999993</v>
      </c>
      <c r="J28" s="13">
        <f t="shared" ref="J28:J36" si="4">H28/C28</f>
        <v>8.0761640132060414E-2</v>
      </c>
      <c r="K28" s="13">
        <f t="shared" ref="K28:K36" si="5">I28/C28</f>
        <v>0.36599999999999999</v>
      </c>
    </row>
    <row r="29" spans="1:11" x14ac:dyDescent="0.25">
      <c r="A29">
        <v>5</v>
      </c>
      <c r="B29" s="21" t="s">
        <v>21</v>
      </c>
      <c r="C29" s="12">
        <v>30</v>
      </c>
      <c r="D29" s="12">
        <f t="shared" ref="D29:D36" si="6">SUMPRODUCT(($C$20:$C$21),C27:C28)</f>
        <v>23.57150366301704</v>
      </c>
      <c r="E29" s="12">
        <f t="shared" si="0"/>
        <v>38.072499999999998</v>
      </c>
      <c r="F29" s="12">
        <f t="shared" si="1"/>
        <v>-6.4284963369829597</v>
      </c>
      <c r="G29" s="12">
        <f t="shared" si="2"/>
        <v>8.072499999999998</v>
      </c>
      <c r="H29" s="12">
        <f t="shared" si="3"/>
        <v>6.4284963369829597</v>
      </c>
      <c r="I29" s="12">
        <f t="shared" si="3"/>
        <v>8.072499999999998</v>
      </c>
      <c r="J29" s="13">
        <f t="shared" si="4"/>
        <v>0.21428321123276534</v>
      </c>
      <c r="K29" s="13">
        <f t="shared" si="5"/>
        <v>0.26908333333333329</v>
      </c>
    </row>
    <row r="30" spans="1:11" x14ac:dyDescent="0.25">
      <c r="A30">
        <v>6</v>
      </c>
      <c r="B30" s="21" t="s">
        <v>22</v>
      </c>
      <c r="C30" s="12">
        <v>37</v>
      </c>
      <c r="D30" s="12">
        <f t="shared" si="6"/>
        <v>25.999475172414041</v>
      </c>
      <c r="E30" s="12">
        <f t="shared" si="0"/>
        <v>44.726999999999997</v>
      </c>
      <c r="F30" s="12">
        <f t="shared" si="1"/>
        <v>-11.000524827585959</v>
      </c>
      <c r="G30" s="12">
        <f t="shared" si="2"/>
        <v>7.7269999999999968</v>
      </c>
      <c r="H30" s="12">
        <f t="shared" si="3"/>
        <v>11.000524827585959</v>
      </c>
      <c r="I30" s="12">
        <f t="shared" si="3"/>
        <v>7.7269999999999968</v>
      </c>
      <c r="J30" s="13">
        <f t="shared" si="4"/>
        <v>0.29731148182664757</v>
      </c>
      <c r="K30" s="13">
        <f t="shared" si="5"/>
        <v>0.20883783783783774</v>
      </c>
    </row>
    <row r="31" spans="1:11" x14ac:dyDescent="0.25">
      <c r="A31">
        <v>7</v>
      </c>
      <c r="B31" s="21" t="s">
        <v>23</v>
      </c>
      <c r="C31" s="12">
        <v>12</v>
      </c>
      <c r="D31" s="12">
        <f t="shared" si="6"/>
        <v>32.999475202229398</v>
      </c>
      <c r="E31" s="12">
        <f t="shared" si="0"/>
        <v>51.381499999999996</v>
      </c>
      <c r="F31" s="12">
        <f t="shared" si="1"/>
        <v>20.999475202229398</v>
      </c>
      <c r="G31" s="12">
        <f t="shared" si="2"/>
        <v>39.381499999999996</v>
      </c>
      <c r="H31" s="12">
        <f t="shared" si="3"/>
        <v>20.999475202229398</v>
      </c>
      <c r="I31" s="12">
        <f t="shared" si="3"/>
        <v>39.381499999999996</v>
      </c>
      <c r="J31" s="13">
        <f t="shared" si="4"/>
        <v>1.7499562668524498</v>
      </c>
      <c r="K31" s="13">
        <f t="shared" si="5"/>
        <v>3.2817916666666664</v>
      </c>
    </row>
    <row r="32" spans="1:11" x14ac:dyDescent="0.25">
      <c r="A32">
        <v>8</v>
      </c>
      <c r="B32" s="21" t="s">
        <v>24</v>
      </c>
      <c r="C32" s="12">
        <v>61</v>
      </c>
      <c r="D32" s="12">
        <f t="shared" si="6"/>
        <v>26.287589177419413</v>
      </c>
      <c r="E32" s="12">
        <f t="shared" si="0"/>
        <v>58.035999999999994</v>
      </c>
      <c r="F32" s="12">
        <f t="shared" si="1"/>
        <v>-34.712410822580587</v>
      </c>
      <c r="G32" s="12">
        <f t="shared" si="2"/>
        <v>-2.9640000000000057</v>
      </c>
      <c r="H32" s="12">
        <f t="shared" si="3"/>
        <v>34.712410822580587</v>
      </c>
      <c r="I32" s="12">
        <f t="shared" si="3"/>
        <v>2.9640000000000057</v>
      </c>
      <c r="J32" s="13">
        <f t="shared" si="4"/>
        <v>0.56905591512427189</v>
      </c>
      <c r="K32" s="13">
        <f t="shared" si="5"/>
        <v>4.8590163934426327E-2</v>
      </c>
    </row>
    <row r="33" spans="1:11" x14ac:dyDescent="0.25">
      <c r="A33">
        <v>9</v>
      </c>
      <c r="B33" s="21" t="s">
        <v>25</v>
      </c>
      <c r="C33" s="12">
        <v>68</v>
      </c>
      <c r="D33" s="12">
        <f t="shared" si="6"/>
        <v>32.996325572257106</v>
      </c>
      <c r="E33" s="12">
        <f t="shared" si="0"/>
        <v>64.6905</v>
      </c>
      <c r="F33" s="12">
        <f t="shared" si="1"/>
        <v>-35.003674427742894</v>
      </c>
      <c r="G33" s="12">
        <f t="shared" si="2"/>
        <v>-3.3094999999999999</v>
      </c>
      <c r="H33" s="12">
        <f t="shared" si="3"/>
        <v>35.003674427742894</v>
      </c>
      <c r="I33" s="12">
        <f t="shared" si="3"/>
        <v>3.3094999999999999</v>
      </c>
      <c r="J33" s="13">
        <f t="shared" si="4"/>
        <v>0.51475991805504251</v>
      </c>
      <c r="K33" s="13">
        <f t="shared" si="5"/>
        <v>4.8669117647058821E-2</v>
      </c>
    </row>
    <row r="34" spans="1:11" x14ac:dyDescent="0.25">
      <c r="A34">
        <v>10</v>
      </c>
      <c r="B34" s="21" t="s">
        <v>26</v>
      </c>
      <c r="C34" s="12">
        <v>74</v>
      </c>
      <c r="D34" s="12">
        <f t="shared" si="6"/>
        <v>63.999475334268844</v>
      </c>
      <c r="E34" s="12">
        <f t="shared" si="0"/>
        <v>71.344999999999999</v>
      </c>
      <c r="F34" s="12">
        <f t="shared" si="1"/>
        <v>-10.000524665731156</v>
      </c>
      <c r="G34" s="12">
        <f t="shared" si="2"/>
        <v>-2.6550000000000011</v>
      </c>
      <c r="H34" s="12">
        <f t="shared" si="3"/>
        <v>10.000524665731156</v>
      </c>
      <c r="I34" s="12">
        <f t="shared" si="3"/>
        <v>2.6550000000000011</v>
      </c>
      <c r="J34" s="13">
        <f t="shared" si="4"/>
        <v>0.13514222521258318</v>
      </c>
      <c r="K34" s="13">
        <f t="shared" si="5"/>
        <v>3.5878378378378394E-2</v>
      </c>
    </row>
    <row r="35" spans="1:11" x14ac:dyDescent="0.25">
      <c r="A35">
        <v>11</v>
      </c>
      <c r="B35" s="21" t="s">
        <v>27</v>
      </c>
      <c r="C35" s="12">
        <v>50</v>
      </c>
      <c r="D35" s="12">
        <f t="shared" si="6"/>
        <v>70.570978924877153</v>
      </c>
      <c r="E35" s="12">
        <f t="shared" si="0"/>
        <v>77.999499999999998</v>
      </c>
      <c r="F35" s="12">
        <f t="shared" si="1"/>
        <v>20.570978924877153</v>
      </c>
      <c r="G35" s="12">
        <f t="shared" si="2"/>
        <v>27.999499999999998</v>
      </c>
      <c r="H35" s="12">
        <f t="shared" si="3"/>
        <v>20.570978924877153</v>
      </c>
      <c r="I35" s="12">
        <f t="shared" si="3"/>
        <v>27.999499999999998</v>
      </c>
      <c r="J35" s="13">
        <f t="shared" si="4"/>
        <v>0.41141957849754307</v>
      </c>
      <c r="K35" s="13">
        <f t="shared" si="5"/>
        <v>0.55998999999999999</v>
      </c>
    </row>
    <row r="36" spans="1:11" x14ac:dyDescent="0.25">
      <c r="A36">
        <v>12</v>
      </c>
      <c r="B36" s="21" t="s">
        <v>28</v>
      </c>
      <c r="C36" s="12">
        <v>94</v>
      </c>
      <c r="D36" s="12">
        <f t="shared" si="6"/>
        <v>63.716085774221916</v>
      </c>
      <c r="E36" s="12">
        <f t="shared" si="0"/>
        <v>84.653999999999996</v>
      </c>
      <c r="F36" s="12">
        <f t="shared" si="1"/>
        <v>-30.283914225778084</v>
      </c>
      <c r="G36" s="12">
        <f t="shared" si="2"/>
        <v>-9.3460000000000036</v>
      </c>
      <c r="H36" s="12">
        <f t="shared" si="3"/>
        <v>30.283914225778084</v>
      </c>
      <c r="I36" s="12">
        <f t="shared" si="3"/>
        <v>9.3460000000000036</v>
      </c>
      <c r="J36" s="13">
        <f t="shared" si="4"/>
        <v>0.3221693002742349</v>
      </c>
      <c r="K36" s="13">
        <f t="shared" si="5"/>
        <v>9.9425531914893658E-2</v>
      </c>
    </row>
    <row r="39" spans="1:11" ht="30" x14ac:dyDescent="0.25">
      <c r="B39" s="24" t="s">
        <v>68</v>
      </c>
      <c r="C39" s="26" t="s">
        <v>60</v>
      </c>
      <c r="D39" s="26" t="s">
        <v>61</v>
      </c>
    </row>
    <row r="40" spans="1:11" x14ac:dyDescent="0.25">
      <c r="B40" s="21" t="s">
        <v>69</v>
      </c>
      <c r="C40" s="17">
        <f>(SUM(F27:F36)/SUM($C$27:$C$36))</f>
        <v>-0.19601820063918074</v>
      </c>
      <c r="D40" s="14">
        <f>(SUM(G27:G36)/SUM($C$27:$C$36))</f>
        <v>0.1566331923890063</v>
      </c>
    </row>
    <row r="41" spans="1:11" x14ac:dyDescent="0.25">
      <c r="B41" s="20" t="s">
        <v>70</v>
      </c>
      <c r="C41" s="15">
        <f>AVERAGE(J27:J36)</f>
        <v>0.45031928705409319</v>
      </c>
      <c r="D41" s="18">
        <f>AVERAGE(K27:K36)</f>
        <v>0.49500785297125943</v>
      </c>
    </row>
    <row r="42" spans="1:11" x14ac:dyDescent="0.25">
      <c r="B42" s="20" t="s">
        <v>71</v>
      </c>
      <c r="C42" s="17">
        <f>SUM(F27:F36)/SUM($C$27:$C$36)</f>
        <v>-0.19601820063918074</v>
      </c>
      <c r="D42" s="14">
        <f>SUM(G27:G36)/SUM($C$27:$C$36)</f>
        <v>0.1566331923890063</v>
      </c>
    </row>
    <row r="43" spans="1:11" x14ac:dyDescent="0.25">
      <c r="B43" s="20" t="s">
        <v>72</v>
      </c>
      <c r="C43" s="19">
        <f>SQRT(SUMSQ(F27:F36)/COUNTA(C27:C36))</f>
        <v>21.218542031459975</v>
      </c>
      <c r="D43" s="16">
        <f>SQRT(SUMSQ(G27:G36)/COUNTA(C27:C36))</f>
        <v>16.264460677348019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Assumptions</vt:lpstr>
      <vt:lpstr>INPUTS Leads - Paid Traffic</vt:lpstr>
      <vt:lpstr>Source - Paid Traffic</vt:lpstr>
      <vt:lpstr>INPUTS Leads - Organic Traffic</vt:lpstr>
      <vt:lpstr>Source - Organic Traffic</vt:lpstr>
      <vt:lpstr>OUTPUTS Sales Performace</vt:lpstr>
      <vt:lpstr>Charts Paid Traffic</vt:lpstr>
      <vt:lpstr>Charts Organic Traffic</vt:lpstr>
      <vt:lpstr>Charts Sales Performance</vt:lpstr>
      <vt:lpstr>Organic Traffic details</vt:lpstr>
      <vt:lpstr>Study forecast organic</vt:lpstr>
      <vt:lpstr>Study forecast 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</dc:creator>
  <cp:lastModifiedBy>Isabela</cp:lastModifiedBy>
  <dcterms:created xsi:type="dcterms:W3CDTF">2015-06-05T18:17:20Z</dcterms:created>
  <dcterms:modified xsi:type="dcterms:W3CDTF">2022-06-20T20:03:28Z</dcterms:modified>
</cp:coreProperties>
</file>